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46-玖瀛府项目和硅谷SOHO项目\"/>
    </mc:Choice>
  </mc:AlternateContent>
  <xr:revisionPtr revIDLastSave="0" documentId="13_ncr:1_{BF867255-14CA-4428-B4A9-D504226146D7}" xr6:coauthVersionLast="47" xr6:coauthVersionMax="47" xr10:uidLastSave="{00000000-0000-0000-0000-000000000000}"/>
  <bookViews>
    <workbookView xWindow="15" yWindow="420" windowWidth="13155" windowHeight="1248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比较法-办公租金" sheetId="85" r:id="rId25"/>
    <sheet name="收益法 (元)" sheetId="67" r:id="rId26"/>
    <sheet name="收益法-酒店模型" sheetId="77" state="hidden" r:id="rId27"/>
    <sheet name="收益法（汇总）" sheetId="70" state="hidden" r:id="rId28"/>
    <sheet name="比较法-住宅" sheetId="21" state="hidden" r:id="rId29"/>
    <sheet name="典型户型修正" sheetId="31" r:id="rId30"/>
    <sheet name="租金" sheetId="81" r:id="rId31"/>
    <sheet name="结果表商" sheetId="83" r:id="rId32"/>
    <sheet name="比较法-商业" sheetId="33" r:id="rId33"/>
    <sheet name="比较法-商业租金" sheetId="86" r:id="rId34"/>
    <sheet name="收益法商" sheetId="82" r:id="rId35"/>
    <sheet name="典型户型修正商" sheetId="84"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19" hidden="1">'比较法-办公'!$A$1:$L$50</definedName>
    <definedName name="_xlnm._FilterDatabase" localSheetId="24"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4">'比较法-办公租金'!$A$1:$K$55,'比较法-办公租金'!$A$58:$M$132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8">结果表!$A$1:$I$127</definedName>
    <definedName name="_xlnm.Print_Area" localSheetId="31">结果表商!$A$1:$I$127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4">收益法商!$A$1:$F$43,收益法商!$H$3:$M$29,收益法商!$A$45:$F$71,收益法商!$I$46:$N$65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'比较法-办公租金'!$B$119:$M$119</definedName>
    <definedName name="办公层高" localSheetId="16">'[1]比较法-办公'!$B$119:$M$119</definedName>
    <definedName name="办公层高">'比较法-办公'!$B$119:$M$119</definedName>
    <definedName name="办公朝向" localSheetId="24">'比较法-办公租金'!$B$91:$M$91</definedName>
    <definedName name="办公朝向" localSheetId="16">'[1]比较法-办公'!$B$91:$M$91</definedName>
    <definedName name="办公朝向">'比较法-办公'!$B$91:$M$91</definedName>
    <definedName name="办公道路级别" localSheetId="24">'比较法-办公租金'!$B$87:$M$87</definedName>
    <definedName name="办公道路级别" localSheetId="16">'[1]比较法-办公'!$B$87:$M$87</definedName>
    <definedName name="办公道路级别">'比较法-办公'!$B$87:$M$87</definedName>
    <definedName name="办公公共部分装修" localSheetId="24">'比较法-办公租金'!$B$108:$M$108</definedName>
    <definedName name="办公公共部分装修" localSheetId="16">'[1]比较法-办公'!$B$108:$M$108</definedName>
    <definedName name="办公公共部分装修">'比较法-办公'!$B$108:$M$108</definedName>
    <definedName name="办公基础设施水平" localSheetId="24">'比较法-办公租金'!$B$117:$M$117</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24">'比较法-办公租金'!$B$106:$M$106</definedName>
    <definedName name="办公建筑结构" localSheetId="16">'[1]比较法-办公'!$B$106:$M$106</definedName>
    <definedName name="办公建筑结构">'比较法-办公'!$B$106:$M$106</definedName>
    <definedName name="办公建筑类型" localSheetId="24">'比较法-办公租金'!$B$101:$M$101</definedName>
    <definedName name="办公建筑类型" localSheetId="16">'[1]比较法-办公'!$B$101:$M$101</definedName>
    <definedName name="办公建筑类型">'比较法-办公'!$B$101:$M$101</definedName>
    <definedName name="办公交易情况" localSheetId="24">'比较法-办公租金'!$A$62:$M$62</definedName>
    <definedName name="办公交易情况" localSheetId="16">'[1]比较法-办公'!$A$62:$M$62</definedName>
    <definedName name="办公交易情况">'比较法-办公'!$A$62:$M$62</definedName>
    <definedName name="办公楼层" localSheetId="24">'比较法-办公租金'!$B$89:$M$89</definedName>
    <definedName name="办公楼层" localSheetId="16">'[1]比较法-办公'!$B$89:$M$89</definedName>
    <definedName name="办公楼层">'比较法-办公'!$B$89:$M$89</definedName>
    <definedName name="办公内部装修" localSheetId="24">'比较法-办公租金'!$B$123:$M$123</definedName>
    <definedName name="办公内部装修" localSheetId="16">'[1]比较法-办公'!$B$123:$M$123</definedName>
    <definedName name="办公内部装修">'比较法-办公'!$B$123:$M$123</definedName>
    <definedName name="办公物业管理" localSheetId="24">'比较法-办公租金'!$B$115:$M$115</definedName>
    <definedName name="办公物业管理" localSheetId="16">'[1]比较法-办公'!$B$115:$M$115</definedName>
    <definedName name="办公物业管理">'比较法-办公'!$B$115:$M$115</definedName>
    <definedName name="办公用途" localSheetId="24">'比较法-办公租金'!$B$64:$M$64</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33">'比较法-商业租金'!$B$116:$M$116</definedName>
    <definedName name="商业层高" localSheetId="16">'[1]比较法-商业'!$B$116:$M$116</definedName>
    <definedName name="商业层高">'比较法-商业'!$B$116:$M$116</definedName>
    <definedName name="商业成新度" localSheetId="33">'比较法-商业租金'!$B$109:$M$109</definedName>
    <definedName name="商业成新度">'比较法-商业'!$B$109:$M$109</definedName>
    <definedName name="商业繁华度" localSheetId="16">[1]定义!$L$1:$L$6</definedName>
    <definedName name="商业繁华度">定义!$L$1:$L$6</definedName>
    <definedName name="商业公共部分装修" localSheetId="33">'比较法-商业租金'!$B$107:$M$107</definedName>
    <definedName name="商业公共部分装修" localSheetId="16">'[1]比较法-商业'!$B$107:$M$107</definedName>
    <definedName name="商业公共部分装修">'比较法-商业'!$B$107:$M$107</definedName>
    <definedName name="商业基础设施水平" localSheetId="33">'比较法-商业租金'!$B$112:$M$112</definedName>
    <definedName name="商业基础设施水平" localSheetId="16">'[1]比较法-商业'!$B$112:$M$112</definedName>
    <definedName name="商业基础设施水平">'比较法-商业'!$B$112:$M$112</definedName>
    <definedName name="商业建筑结构" localSheetId="33">'比较法-商业租金'!$B$105:$M$105</definedName>
    <definedName name="商业建筑结构" localSheetId="16">'[1]比较法-商业'!$B$105:$M$105</definedName>
    <definedName name="商业建筑结构">'比较法-商业'!$B$105:$M$105</definedName>
    <definedName name="商业交易情况" localSheetId="33">'比较法-商业租金'!$A$61:$M$61</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33">'比较法-商业租金'!$B$120:$M$120</definedName>
    <definedName name="商业进深比" localSheetId="16">'[1]比较法-商业'!$B$120:$M$120</definedName>
    <definedName name="商业进深比">'比较法-商业'!$B$120:$M$120</definedName>
    <definedName name="商业类型" localSheetId="33">'比较法-商业租金'!$B$100:$M$100</definedName>
    <definedName name="商业类型" localSheetId="16">'[1]比较法-商业'!$B$100:$M$100</definedName>
    <definedName name="商业类型">'比较法-商业'!$B$100:$M$100</definedName>
    <definedName name="商业临街状况" localSheetId="33">'比较法-商业租金'!$B$86:$M$86</definedName>
    <definedName name="商业临街状况" localSheetId="16">'[1]比较法-商业'!$B$86:$M$86</definedName>
    <definedName name="商业临街状况">'比较法-商业'!$B$86:$M$86</definedName>
    <definedName name="商业楼层" localSheetId="33">'比较法-商业租金'!$B$92:$M$92</definedName>
    <definedName name="商业楼层" localSheetId="16">'[1]比较法-商业'!$B$92:$M$92</definedName>
    <definedName name="商业楼层">'比较法-商业'!$B$92:$M$92</definedName>
    <definedName name="商业内部装修" localSheetId="33">'比较法-商业租金'!$B$122:$M$122</definedName>
    <definedName name="商业内部装修" localSheetId="16">'[1]比较法-商业'!$B$122:$M$122</definedName>
    <definedName name="商业内部装修">'比较法-商业'!$B$122:$M$122</definedName>
    <definedName name="商业人流量" localSheetId="33">'比较法-商业租金'!$B$90:$M$90</definedName>
    <definedName name="商业人流量" localSheetId="16">'[1]比较法-商业'!$B$90:$M$90</definedName>
    <definedName name="商业人流量">'比较法-商业'!$B$90:$M$90</definedName>
    <definedName name="商业业态" localSheetId="33">'比较法-商业租金'!$B$114:$M$114</definedName>
    <definedName name="商业业态" localSheetId="16">'[1]比较法-商业'!$B$114:$M$114</definedName>
    <definedName name="商业业态">'比较法-商业'!$B$114:$M$114</definedName>
    <definedName name="商业用途" localSheetId="33">'比较法-商业租金'!$B$63:$M$63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'[1]土地比较法-住宅、综合'!$A$72:$M$72</definedName>
    <definedName name="套工交易情况">'土地比较法-住宅、综合'!$A$72:$M$72</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26">'[2]数据-汇总表'!$C$17:$C$26</definedName>
    <definedName name="项目类型">'数据-汇总表'!$C$17:$C$26</definedName>
    <definedName name="写字楼等级" localSheetId="24">'比较法-办公租金'!$B$113:$M$113</definedName>
    <definedName name="写字楼等级" localSheetId="16">'[1]比较法-办公'!$B$113:$M$113</definedName>
    <definedName name="写字楼等级">'比较法-办公'!$B$113:$M$113</definedName>
    <definedName name="一级">区片价!$I$1:$I$6</definedName>
    <definedName name="一修多修正项2" localSheetId="35">典型户型修正商!$5:$5</definedName>
    <definedName name="一修多修正项2" localSheetId="16">'[1]典型户型修正-办公'!$5:$5</definedName>
    <definedName name="一修多修正项2">典型户型修正!$5:$5</definedName>
    <definedName name="一修多修正项3" localSheetId="35">典型户型修正商!$7:$7</definedName>
    <definedName name="一修多修正项3" localSheetId="16">'[1]典型户型修正-办公'!$7:$7</definedName>
    <definedName name="一修多修正项3">典型户型修正!$7:$7</definedName>
    <definedName name="一修多修正项4" localSheetId="35">典型户型修正商!$9:$9</definedName>
    <definedName name="一修多修正项4" localSheetId="16">'[1]典型户型修正-办公'!$9:$9</definedName>
    <definedName name="一修多修正项4">典型户型修正!$9:$9</definedName>
    <definedName name="一修多修正项5" localSheetId="35">典型户型修正商!$11:$11</definedName>
    <definedName name="一修多修正项5" localSheetId="16">'[1]典型户型修正-办公'!$11:$11</definedName>
    <definedName name="一修多修正项5">典型户型修正!$11:$11</definedName>
    <definedName name="一修多修正项6" localSheetId="35">典型户型修正商!$13:$13</definedName>
    <definedName name="一修多修正项6" localSheetId="16">'[1]典型户型修正-办公'!$13:$13</definedName>
    <definedName name="一修多修正项6">典型户型修正!$13:$13</definedName>
    <definedName name="一修多修正项7" localSheetId="35">典型户型修正商!$15:$15</definedName>
    <definedName name="一修多修正项7" localSheetId="16">'[1]典型户型修正-办公'!$15:$15</definedName>
    <definedName name="一修多修正项7">典型户型修正!$15:$15</definedName>
    <definedName name="一修多修正项8" localSheetId="35">典型户型修正商!$17:$17</definedName>
    <definedName name="一修多修正项8" localSheetId="16">'[1]典型户型修正-办公'!$17:$17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30" i="86" l="1"/>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G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E104" i="86"/>
  <c r="D104" i="86"/>
  <c r="M102" i="86"/>
  <c r="L102" i="86"/>
  <c r="K102" i="86"/>
  <c r="J102" i="86"/>
  <c r="I102" i="86"/>
  <c r="H102" i="86"/>
  <c r="G102" i="86"/>
  <c r="F102" i="86"/>
  <c r="E102" i="86"/>
  <c r="D102" i="86"/>
  <c r="C102" i="86"/>
  <c r="D101" i="86"/>
  <c r="E101" i="86" s="1"/>
  <c r="F32" i="86" s="1"/>
  <c r="B98" i="86"/>
  <c r="B96" i="86"/>
  <c r="J30" i="86" s="1"/>
  <c r="B94" i="86"/>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Q46" i="86"/>
  <c r="Z46" i="86" s="1"/>
  <c r="J46" i="86"/>
  <c r="AC46" i="86" s="1"/>
  <c r="H46" i="86"/>
  <c r="AB46" i="86" s="1"/>
  <c r="F46" i="86"/>
  <c r="AA46" i="86" s="1"/>
  <c r="AC45" i="86"/>
  <c r="Q45" i="86"/>
  <c r="Z45" i="86" s="1"/>
  <c r="J45" i="86"/>
  <c r="W45" i="86" s="1"/>
  <c r="H45" i="86"/>
  <c r="AB45" i="86" s="1"/>
  <c r="F45" i="86"/>
  <c r="AA45" i="86" s="1"/>
  <c r="U44" i="86"/>
  <c r="Q44" i="86"/>
  <c r="Z44" i="86" s="1"/>
  <c r="J44" i="86"/>
  <c r="AC44" i="86" s="1"/>
  <c r="H44" i="86"/>
  <c r="AB44" i="86" s="1"/>
  <c r="F44" i="86"/>
  <c r="AA44" i="86" s="1"/>
  <c r="AA43" i="86"/>
  <c r="Q43" i="86"/>
  <c r="Z43" i="86" s="1"/>
  <c r="J43" i="86"/>
  <c r="AC43" i="86" s="1"/>
  <c r="H43" i="86"/>
  <c r="AB43" i="86" s="1"/>
  <c r="F43" i="86"/>
  <c r="S43" i="86" s="1"/>
  <c r="Q42" i="86"/>
  <c r="Z42" i="86" s="1"/>
  <c r="J42" i="86"/>
  <c r="AC42" i="86" s="1"/>
  <c r="H42" i="86"/>
  <c r="AB42" i="86" s="1"/>
  <c r="F42" i="86"/>
  <c r="AA42" i="86" s="1"/>
  <c r="W41" i="86"/>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Z38" i="86"/>
  <c r="Q38" i="86"/>
  <c r="J38" i="86"/>
  <c r="AC38" i="86" s="1"/>
  <c r="H38" i="86"/>
  <c r="AB38" i="86" s="1"/>
  <c r="F38" i="86"/>
  <c r="AA38" i="86" s="1"/>
  <c r="Q37" i="86"/>
  <c r="Z37" i="86" s="1"/>
  <c r="J37" i="86"/>
  <c r="AC37" i="86" s="1"/>
  <c r="H37" i="86"/>
  <c r="AB37" i="86" s="1"/>
  <c r="F37" i="86"/>
  <c r="AA37" i="86" s="1"/>
  <c r="Q36" i="86"/>
  <c r="Z36" i="86" s="1"/>
  <c r="AA35" i="86"/>
  <c r="Q35" i="86"/>
  <c r="Z35" i="86" s="1"/>
  <c r="J35" i="86"/>
  <c r="AC35" i="86" s="1"/>
  <c r="H35" i="86"/>
  <c r="AB35" i="86" s="1"/>
  <c r="F35" i="86"/>
  <c r="S35" i="86" s="1"/>
  <c r="Q34" i="86"/>
  <c r="Z34" i="86" s="1"/>
  <c r="J34" i="86"/>
  <c r="AC34" i="86" s="1"/>
  <c r="H34" i="86"/>
  <c r="AB34" i="86" s="1"/>
  <c r="F34" i="86"/>
  <c r="AA34" i="86" s="1"/>
  <c r="Q33" i="86"/>
  <c r="Z33" i="86" s="1"/>
  <c r="J33" i="86"/>
  <c r="W33" i="86" s="1"/>
  <c r="F33" i="86"/>
  <c r="S33" i="86" s="1"/>
  <c r="Q32" i="86"/>
  <c r="Z32" i="86" s="1"/>
  <c r="J32" i="86"/>
  <c r="W32" i="86" s="1"/>
  <c r="AC31" i="86"/>
  <c r="Q31" i="86"/>
  <c r="Z31" i="86" s="1"/>
  <c r="J31" i="86"/>
  <c r="W31" i="86" s="1"/>
  <c r="H31" i="86"/>
  <c r="AB31" i="86" s="1"/>
  <c r="F31" i="86"/>
  <c r="S31" i="86" s="1"/>
  <c r="Z30" i="86"/>
  <c r="Q30" i="86"/>
  <c r="H30" i="86"/>
  <c r="U30" i="86" s="1"/>
  <c r="F30" i="86"/>
  <c r="S30" i="86" s="1"/>
  <c r="Z29" i="86"/>
  <c r="Q29" i="86"/>
  <c r="J29" i="86"/>
  <c r="W29" i="86" s="1"/>
  <c r="H29" i="86"/>
  <c r="AB29" i="86" s="1"/>
  <c r="F29" i="86"/>
  <c r="S29" i="86" s="1"/>
  <c r="AB28" i="86"/>
  <c r="Q28" i="86"/>
  <c r="Z28" i="86" s="1"/>
  <c r="J28" i="86"/>
  <c r="W28" i="86" s="1"/>
  <c r="H28" i="86"/>
  <c r="U28" i="86" s="1"/>
  <c r="F28" i="86"/>
  <c r="AA28" i="86" s="1"/>
  <c r="Q27" i="86"/>
  <c r="Z27" i="86" s="1"/>
  <c r="J27" i="86"/>
  <c r="W27" i="86" s="1"/>
  <c r="H27" i="86"/>
  <c r="AB27" i="86" s="1"/>
  <c r="F27" i="86"/>
  <c r="S27" i="86" s="1"/>
  <c r="Z26" i="86"/>
  <c r="Q26" i="86"/>
  <c r="J26" i="86"/>
  <c r="AC26" i="86" s="1"/>
  <c r="H26" i="86"/>
  <c r="U26" i="86" s="1"/>
  <c r="F26" i="86"/>
  <c r="S26"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C8" i="86"/>
  <c r="W8" i="86"/>
  <c r="J8" i="86"/>
  <c r="H8" i="86"/>
  <c r="U8" i="86" s="1"/>
  <c r="F8" i="86"/>
  <c r="S8" i="86" s="1"/>
  <c r="C7" i="86"/>
  <c r="C58" i="86" s="1"/>
  <c r="D58" i="86" s="1"/>
  <c r="E58" i="86" s="1"/>
  <c r="D3" i="86"/>
  <c r="D2" i="86"/>
  <c r="AC33" i="86" l="1"/>
  <c r="AC32" i="86"/>
  <c r="AC27" i="86"/>
  <c r="AA33" i="86"/>
  <c r="F58" i="86"/>
  <c r="G58" i="86" s="1"/>
  <c r="H58" i="86" s="1"/>
  <c r="I58" i="86" s="1"/>
  <c r="J58" i="86" s="1"/>
  <c r="K58" i="86" s="1"/>
  <c r="L58" i="86" s="1"/>
  <c r="M58" i="86" s="1"/>
  <c r="N58" i="86" s="1"/>
  <c r="O58" i="86" s="1"/>
  <c r="H7" i="86"/>
  <c r="J7" i="86"/>
  <c r="U10" i="86"/>
  <c r="U14" i="86"/>
  <c r="U17" i="86"/>
  <c r="U21" i="86"/>
  <c r="S39" i="86"/>
  <c r="H25" i="86"/>
  <c r="F87" i="86"/>
  <c r="G87" i="86" s="1"/>
  <c r="H87" i="86" s="1"/>
  <c r="I87" i="86" s="1"/>
  <c r="J87" i="86" s="1"/>
  <c r="K87" i="86" s="1"/>
  <c r="L87" i="86" s="1"/>
  <c r="M87" i="86" s="1"/>
  <c r="H111" i="86"/>
  <c r="I111" i="86" s="1"/>
  <c r="J111" i="86" s="1"/>
  <c r="K111" i="86" s="1"/>
  <c r="L111" i="86" s="1"/>
  <c r="M111" i="86" s="1"/>
  <c r="F36" i="86"/>
  <c r="J36" i="86"/>
  <c r="AA8" i="86"/>
  <c r="U9" i="86"/>
  <c r="W10" i="86"/>
  <c r="S12" i="86"/>
  <c r="U13" i="86"/>
  <c r="W14" i="86"/>
  <c r="W15" i="86"/>
  <c r="J17" i="86"/>
  <c r="W19" i="86"/>
  <c r="W21" i="86"/>
  <c r="W23" i="86"/>
  <c r="AA26" i="86"/>
  <c r="AC28" i="86"/>
  <c r="AA29" i="86"/>
  <c r="AA30" i="86"/>
  <c r="H32" i="86"/>
  <c r="U34" i="86"/>
  <c r="H36" i="86"/>
  <c r="W37" i="86"/>
  <c r="F101" i="86"/>
  <c r="G101" i="86" s="1"/>
  <c r="H101" i="86" s="1"/>
  <c r="I101" i="86" s="1"/>
  <c r="J101" i="86" s="1"/>
  <c r="K101" i="86" s="1"/>
  <c r="L101" i="86" s="1"/>
  <c r="M101" i="86" s="1"/>
  <c r="S9" i="86"/>
  <c r="W11" i="86"/>
  <c r="S13" i="86"/>
  <c r="U15" i="86"/>
  <c r="U19" i="86"/>
  <c r="U23" i="86"/>
  <c r="U27" i="86"/>
  <c r="U31" i="86"/>
  <c r="AA32" i="86"/>
  <c r="S32" i="86"/>
  <c r="F7" i="86"/>
  <c r="AB8" i="86"/>
  <c r="W9" i="86"/>
  <c r="S11" i="86"/>
  <c r="U12" i="86"/>
  <c r="W13" i="86"/>
  <c r="F25" i="86"/>
  <c r="AB26" i="86"/>
  <c r="AA27" i="86"/>
  <c r="AC29" i="86"/>
  <c r="AB30" i="86"/>
  <c r="AA31" i="86"/>
  <c r="U40" i="86"/>
  <c r="AC30" i="86"/>
  <c r="W30" i="86"/>
  <c r="S10" i="86"/>
  <c r="U11" i="86"/>
  <c r="W12" i="86"/>
  <c r="S14" i="86"/>
  <c r="S15" i="86"/>
  <c r="S17" i="86"/>
  <c r="S19" i="86"/>
  <c r="S21" i="86"/>
  <c r="S23" i="86"/>
  <c r="J25" i="86"/>
  <c r="H33" i="86"/>
  <c r="F104" i="86"/>
  <c r="S34" i="86"/>
  <c r="U35" i="86"/>
  <c r="S38" i="86"/>
  <c r="U39" i="86"/>
  <c r="W40" i="86"/>
  <c r="S42" i="86"/>
  <c r="U43" i="86"/>
  <c r="W44" i="86"/>
  <c r="S46" i="86"/>
  <c r="W35" i="86"/>
  <c r="S37" i="86"/>
  <c r="U38" i="86"/>
  <c r="W39" i="86"/>
  <c r="S41" i="86"/>
  <c r="U42" i="86"/>
  <c r="W43" i="86"/>
  <c r="S45" i="86"/>
  <c r="U46" i="86"/>
  <c r="W26" i="86"/>
  <c r="S28" i="86"/>
  <c r="U29" i="86"/>
  <c r="W34" i="86"/>
  <c r="U37" i="86"/>
  <c r="W38" i="86"/>
  <c r="S40" i="86"/>
  <c r="U41" i="86"/>
  <c r="W42" i="86"/>
  <c r="S44" i="86"/>
  <c r="U45" i="86"/>
  <c r="W46" i="86"/>
  <c r="U36" i="86" l="1"/>
  <c r="AB36" i="86"/>
  <c r="AA25" i="86"/>
  <c r="S25" i="86"/>
  <c r="W7" i="86"/>
  <c r="AC7" i="86"/>
  <c r="AB33" i="86"/>
  <c r="U33" i="86"/>
  <c r="AB32" i="86"/>
  <c r="U32" i="86"/>
  <c r="AC17" i="86"/>
  <c r="W17" i="86"/>
  <c r="AC36" i="86"/>
  <c r="W36" i="86"/>
  <c r="AB25" i="86"/>
  <c r="U25" i="86"/>
  <c r="U7" i="86"/>
  <c r="AB7" i="86"/>
  <c r="W25" i="86"/>
  <c r="AC25" i="86"/>
  <c r="S7" i="86"/>
  <c r="AA7" i="86"/>
  <c r="R48" i="86" s="1"/>
  <c r="AA36" i="86"/>
  <c r="S36" i="86"/>
  <c r="T48" i="86" l="1"/>
  <c r="G48" i="86" s="1"/>
  <c r="G52" i="86" s="1"/>
  <c r="H52" i="86" s="1"/>
  <c r="V48" i="86"/>
  <c r="I48" i="86" s="1"/>
  <c r="E48" i="86"/>
  <c r="I53" i="86" l="1"/>
  <c r="J53" i="86" s="1"/>
  <c r="I52" i="86"/>
  <c r="J52" i="86" s="1"/>
  <c r="G53" i="86"/>
  <c r="H53" i="86" s="1"/>
  <c r="R49" i="86"/>
  <c r="E53" i="86"/>
  <c r="F53" i="86" s="1"/>
  <c r="E52" i="86"/>
  <c r="F52" i="86" s="1"/>
  <c r="C49" i="86" l="1"/>
  <c r="C48" i="86"/>
  <c r="U6" i="1" s="1"/>
  <c r="B3" i="86" l="1"/>
  <c r="B2" i="86"/>
  <c r="B131" i="85" l="1"/>
  <c r="B129" i="85"/>
  <c r="B127" i="85"/>
  <c r="G126" i="85"/>
  <c r="D126" i="85"/>
  <c r="E126" i="85" s="1"/>
  <c r="F126" i="85" s="1"/>
  <c r="D124" i="85"/>
  <c r="E124" i="85" s="1"/>
  <c r="F124" i="85" s="1"/>
  <c r="D120" i="85"/>
  <c r="E120" i="85" s="1"/>
  <c r="D118" i="85"/>
  <c r="E118" i="85" s="1"/>
  <c r="F118" i="85" s="1"/>
  <c r="G118" i="85" s="1"/>
  <c r="I116" i="85"/>
  <c r="J116" i="85" s="1"/>
  <c r="K116" i="85" s="1"/>
  <c r="L116" i="85" s="1"/>
  <c r="M116" i="85" s="1"/>
  <c r="E116" i="85"/>
  <c r="F116" i="85" s="1"/>
  <c r="G116" i="85" s="1"/>
  <c r="H116" i="85" s="1"/>
  <c r="D116" i="85"/>
  <c r="G114" i="85"/>
  <c r="H114" i="85" s="1"/>
  <c r="I114" i="85" s="1"/>
  <c r="J114" i="85" s="1"/>
  <c r="K114" i="85" s="1"/>
  <c r="L114" i="85" s="1"/>
  <c r="M114" i="85" s="1"/>
  <c r="D114" i="85"/>
  <c r="E114" i="85" s="1"/>
  <c r="F114" i="85" s="1"/>
  <c r="E112" i="85"/>
  <c r="F112" i="85" s="1"/>
  <c r="G112" i="85" s="1"/>
  <c r="H112" i="85" s="1"/>
  <c r="I112" i="85" s="1"/>
  <c r="J112" i="85" s="1"/>
  <c r="K112" i="85" s="1"/>
  <c r="L112" i="85" s="1"/>
  <c r="M112" i="85" s="1"/>
  <c r="D112" i="85"/>
  <c r="G110" i="85"/>
  <c r="F110" i="85"/>
  <c r="E110" i="85"/>
  <c r="D110" i="85"/>
  <c r="C110" i="85"/>
  <c r="H109" i="85"/>
  <c r="I109" i="85" s="1"/>
  <c r="J109" i="85" s="1"/>
  <c r="K109" i="85" s="1"/>
  <c r="L109" i="85" s="1"/>
  <c r="M109" i="85" s="1"/>
  <c r="D109" i="85"/>
  <c r="E109" i="85" s="1"/>
  <c r="F109" i="85" s="1"/>
  <c r="G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F32" i="85" s="1"/>
  <c r="B97" i="85"/>
  <c r="B95" i="85"/>
  <c r="B93" i="85"/>
  <c r="E92" i="85"/>
  <c r="F92" i="85" s="1"/>
  <c r="G92" i="85" s="1"/>
  <c r="H92" i="85" s="1"/>
  <c r="I92" i="85" s="1"/>
  <c r="J92" i="85" s="1"/>
  <c r="K92" i="85" s="1"/>
  <c r="L92" i="85" s="1"/>
  <c r="M92" i="85" s="1"/>
  <c r="D92" i="85"/>
  <c r="B91" i="85"/>
  <c r="H90" i="85"/>
  <c r="I90" i="85" s="1"/>
  <c r="J90" i="85" s="1"/>
  <c r="K90" i="85" s="1"/>
  <c r="L90" i="85" s="1"/>
  <c r="M90" i="85" s="1"/>
  <c r="D90" i="85"/>
  <c r="E90" i="85" s="1"/>
  <c r="F90" i="85" s="1"/>
  <c r="G90" i="85" s="1"/>
  <c r="B89" i="85"/>
  <c r="G88" i="85"/>
  <c r="H88" i="85" s="1"/>
  <c r="I88" i="85" s="1"/>
  <c r="J88" i="85" s="1"/>
  <c r="K88" i="85" s="1"/>
  <c r="L88" i="85" s="1"/>
  <c r="M88" i="85" s="1"/>
  <c r="E88" i="85"/>
  <c r="F88" i="85" s="1"/>
  <c r="D88" i="85"/>
  <c r="E86" i="85"/>
  <c r="F86" i="85" s="1"/>
  <c r="G86" i="85" s="1"/>
  <c r="D86" i="85"/>
  <c r="G84" i="85"/>
  <c r="E84" i="85"/>
  <c r="F84" i="85" s="1"/>
  <c r="D84" i="85"/>
  <c r="E82" i="85"/>
  <c r="F82" i="85" s="1"/>
  <c r="G82" i="85" s="1"/>
  <c r="D82" i="85"/>
  <c r="G80" i="85"/>
  <c r="E80" i="85"/>
  <c r="F80" i="85" s="1"/>
  <c r="D80" i="85"/>
  <c r="E78" i="85"/>
  <c r="F78" i="85" s="1"/>
  <c r="G78" i="85" s="1"/>
  <c r="D78" i="85"/>
  <c r="B75" i="85"/>
  <c r="B73" i="85"/>
  <c r="B71" i="85"/>
  <c r="H70" i="85"/>
  <c r="I70" i="85" s="1"/>
  <c r="J70" i="85" s="1"/>
  <c r="K70" i="85" s="1"/>
  <c r="L70" i="85" s="1"/>
  <c r="M70" i="85" s="1"/>
  <c r="D70" i="85"/>
  <c r="E70" i="85" s="1"/>
  <c r="F70" i="85" s="1"/>
  <c r="G70" i="85" s="1"/>
  <c r="M68" i="85"/>
  <c r="L68" i="85"/>
  <c r="K68" i="85"/>
  <c r="J68" i="85"/>
  <c r="I68" i="85"/>
  <c r="H68" i="85"/>
  <c r="G68" i="85"/>
  <c r="F68" i="85"/>
  <c r="E68" i="85"/>
  <c r="D68" i="85"/>
  <c r="C68" i="85"/>
  <c r="D67" i="85"/>
  <c r="E67" i="85" s="1"/>
  <c r="F67" i="85" s="1"/>
  <c r="G67" i="85" s="1"/>
  <c r="H67" i="85" s="1"/>
  <c r="C64" i="85"/>
  <c r="I55" i="85"/>
  <c r="J55" i="85" s="1"/>
  <c r="G55" i="85"/>
  <c r="H55" i="85" s="1"/>
  <c r="E55" i="85"/>
  <c r="F55" i="85" s="1"/>
  <c r="P50" i="85"/>
  <c r="P49" i="85"/>
  <c r="K49" i="85"/>
  <c r="V48" i="85"/>
  <c r="T48" i="85"/>
  <c r="R48" i="85"/>
  <c r="P48" i="85"/>
  <c r="Z47" i="85"/>
  <c r="Q47" i="85"/>
  <c r="J47" i="85"/>
  <c r="AC47" i="85" s="1"/>
  <c r="H47" i="85"/>
  <c r="AB47" i="85" s="1"/>
  <c r="F47" i="85"/>
  <c r="AA47" i="85" s="1"/>
  <c r="W46"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Z43" i="85"/>
  <c r="Q43" i="85"/>
  <c r="W42" i="85"/>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Q36" i="85"/>
  <c r="Z36" i="85" s="1"/>
  <c r="J36" i="85"/>
  <c r="AC36" i="85" s="1"/>
  <c r="H36" i="85"/>
  <c r="AB36" i="85" s="1"/>
  <c r="F36" i="85"/>
  <c r="AA36" i="85" s="1"/>
  <c r="Z35" i="85"/>
  <c r="Q35" i="85"/>
  <c r="J35" i="85"/>
  <c r="AC35" i="85" s="1"/>
  <c r="H35" i="85"/>
  <c r="AB35" i="85" s="1"/>
  <c r="F35" i="85"/>
  <c r="S35" i="85" s="1"/>
  <c r="Q34" i="85"/>
  <c r="Z34" i="85" s="1"/>
  <c r="C34" i="85"/>
  <c r="J34" i="85" s="1"/>
  <c r="AC34" i="85" s="1"/>
  <c r="Q33" i="85"/>
  <c r="Z33" i="85" s="1"/>
  <c r="J33" i="85"/>
  <c r="W33" i="85" s="1"/>
  <c r="H33" i="85"/>
  <c r="AB33" i="85" s="1"/>
  <c r="F33" i="85"/>
  <c r="AA33" i="85" s="1"/>
  <c r="Q32" i="85"/>
  <c r="Z32" i="85" s="1"/>
  <c r="AB31" i="85"/>
  <c r="Q31" i="85"/>
  <c r="Z31" i="85" s="1"/>
  <c r="J31" i="85"/>
  <c r="W31" i="85" s="1"/>
  <c r="H31" i="85"/>
  <c r="U31" i="85" s="1"/>
  <c r="F31" i="85"/>
  <c r="AA31" i="85" s="1"/>
  <c r="AA30" i="85"/>
  <c r="Q30" i="85"/>
  <c r="Z30" i="85" s="1"/>
  <c r="J30" i="85"/>
  <c r="AC30" i="85" s="1"/>
  <c r="H30" i="85"/>
  <c r="AB30" i="85" s="1"/>
  <c r="F30" i="85"/>
  <c r="S30" i="85" s="1"/>
  <c r="Z29" i="85"/>
  <c r="Q29" i="85"/>
  <c r="J29" i="85"/>
  <c r="W29" i="85" s="1"/>
  <c r="H29" i="85"/>
  <c r="AB29" i="85" s="1"/>
  <c r="F29" i="85"/>
  <c r="S29" i="85" s="1"/>
  <c r="AB28" i="85"/>
  <c r="W28" i="85"/>
  <c r="Q28" i="85"/>
  <c r="Z28" i="85" s="1"/>
  <c r="J28" i="85"/>
  <c r="AC28" i="85" s="1"/>
  <c r="H28" i="85"/>
  <c r="U28" i="85" s="1"/>
  <c r="F28" i="85"/>
  <c r="AA28" i="85" s="1"/>
  <c r="Q27" i="85"/>
  <c r="Z27" i="85" s="1"/>
  <c r="J27" i="85"/>
  <c r="W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W9" i="85" s="1"/>
  <c r="H9" i="85"/>
  <c r="AB9" i="85" s="1"/>
  <c r="F9" i="85"/>
  <c r="AA9" i="85" s="1"/>
  <c r="J8" i="85"/>
  <c r="AC8" i="85" s="1"/>
  <c r="H8" i="85"/>
  <c r="U8" i="85" s="1"/>
  <c r="F8" i="85"/>
  <c r="AA8" i="85" s="1"/>
  <c r="D3" i="85"/>
  <c r="N6" i="1"/>
  <c r="D2" i="85"/>
  <c r="AC27" i="85" l="1"/>
  <c r="W8" i="85"/>
  <c r="S8" i="85"/>
  <c r="AB8" i="85"/>
  <c r="AA27" i="85"/>
  <c r="W34" i="85"/>
  <c r="AC9" i="85"/>
  <c r="S25" i="85"/>
  <c r="U27" i="85"/>
  <c r="U30" i="85"/>
  <c r="S31" i="85"/>
  <c r="AC33" i="85"/>
  <c r="S44" i="85"/>
  <c r="AA32" i="85"/>
  <c r="S32" i="85"/>
  <c r="F120" i="85"/>
  <c r="G120" i="85" s="1"/>
  <c r="H120" i="85" s="1"/>
  <c r="I120" i="85" s="1"/>
  <c r="J120" i="85" s="1"/>
  <c r="K120" i="85" s="1"/>
  <c r="L120" i="85" s="1"/>
  <c r="M120" i="85" s="1"/>
  <c r="F41" i="85"/>
  <c r="J41" i="85"/>
  <c r="J43" i="85"/>
  <c r="G124" i="85"/>
  <c r="H124" i="85" s="1"/>
  <c r="I124" i="85" s="1"/>
  <c r="J124" i="85" s="1"/>
  <c r="K124" i="85" s="1"/>
  <c r="L124" i="85" s="1"/>
  <c r="M124" i="85" s="1"/>
  <c r="H43" i="85"/>
  <c r="F43" i="85"/>
  <c r="S11" i="85"/>
  <c r="U12" i="85"/>
  <c r="W13" i="85"/>
  <c r="S10" i="85"/>
  <c r="U11" i="85"/>
  <c r="W12" i="85"/>
  <c r="S14" i="85"/>
  <c r="S15" i="85"/>
  <c r="S17" i="85"/>
  <c r="S19" i="85"/>
  <c r="S21" i="85"/>
  <c r="S23" i="85"/>
  <c r="U25" i="85"/>
  <c r="AA29" i="85"/>
  <c r="AC31" i="85"/>
  <c r="H34" i="85"/>
  <c r="F34" i="85"/>
  <c r="AA35" i="85"/>
  <c r="F37" i="85"/>
  <c r="S9" i="85"/>
  <c r="U10" i="85"/>
  <c r="W11" i="85"/>
  <c r="S13" i="85"/>
  <c r="U14" i="85"/>
  <c r="U15" i="85"/>
  <c r="U17" i="85"/>
  <c r="U19" i="85"/>
  <c r="U21" i="85"/>
  <c r="U23" i="85"/>
  <c r="W25" i="85"/>
  <c r="AC29" i="85"/>
  <c r="H32" i="85"/>
  <c r="S36" i="85"/>
  <c r="H37" i="85"/>
  <c r="S40" i="85"/>
  <c r="U41" i="85"/>
  <c r="U45" i="85"/>
  <c r="U9" i="85"/>
  <c r="W10" i="85"/>
  <c r="S12" i="85"/>
  <c r="U13" i="85"/>
  <c r="W14" i="85"/>
  <c r="W15" i="85"/>
  <c r="W17" i="85"/>
  <c r="W19" i="85"/>
  <c r="W21" i="85"/>
  <c r="W23" i="85"/>
  <c r="J32" i="85"/>
  <c r="J37" i="85"/>
  <c r="U36" i="85"/>
  <c r="S39" i="85"/>
  <c r="U40" i="85"/>
  <c r="U44" i="85"/>
  <c r="W45" i="85"/>
  <c r="S47" i="85"/>
  <c r="S33" i="85"/>
  <c r="U35" i="85"/>
  <c r="W36" i="85"/>
  <c r="S38" i="85"/>
  <c r="U39" i="85"/>
  <c r="W40" i="85"/>
  <c r="S42" i="85"/>
  <c r="W44" i="85"/>
  <c r="S46" i="85"/>
  <c r="U47" i="85"/>
  <c r="S28" i="85"/>
  <c r="U29" i="85"/>
  <c r="W30" i="85"/>
  <c r="U33" i="85"/>
  <c r="W35" i="85"/>
  <c r="U38" i="85"/>
  <c r="W39" i="85"/>
  <c r="U42" i="85"/>
  <c r="S45" i="85"/>
  <c r="U46" i="85"/>
  <c r="W47" i="85"/>
  <c r="C16" i="74"/>
  <c r="B16" i="74"/>
  <c r="AB37" i="85" l="1"/>
  <c r="U37" i="85"/>
  <c r="AC37" i="85"/>
  <c r="W37" i="85"/>
  <c r="AB34" i="85"/>
  <c r="U34" i="85"/>
  <c r="AC43" i="85"/>
  <c r="W43" i="85"/>
  <c r="AA37" i="85"/>
  <c r="S37" i="85"/>
  <c r="AC41" i="85"/>
  <c r="W41" i="85"/>
  <c r="AA43" i="85"/>
  <c r="S43" i="85"/>
  <c r="AB43" i="85"/>
  <c r="U43" i="85"/>
  <c r="AA41" i="85"/>
  <c r="S41" i="85"/>
  <c r="W32" i="85"/>
  <c r="AC32" i="85"/>
  <c r="U32" i="85"/>
  <c r="AB32" i="85"/>
  <c r="AA34" i="85"/>
  <c r="S34" i="85"/>
  <c r="D3" i="84" l="1"/>
  <c r="E3" i="84"/>
  <c r="F3" i="84"/>
  <c r="C4" i="84"/>
  <c r="C3" i="84"/>
  <c r="E104" i="33"/>
  <c r="E4" i="84" s="1"/>
  <c r="F104" i="33"/>
  <c r="F4" i="84" s="1"/>
  <c r="D104" i="33"/>
  <c r="D4" i="84" s="1"/>
  <c r="C32" i="84" s="1"/>
  <c r="T26" i="84"/>
  <c r="T27" i="84"/>
  <c r="T28" i="84"/>
  <c r="T29" i="84"/>
  <c r="T30" i="84"/>
  <c r="T31" i="84"/>
  <c r="T32" i="84"/>
  <c r="T33" i="84"/>
  <c r="T34" i="84"/>
  <c r="T25" i="84"/>
  <c r="A26" i="84"/>
  <c r="B26" i="84"/>
  <c r="A27" i="84"/>
  <c r="B27" i="84"/>
  <c r="A28" i="84"/>
  <c r="B28" i="84"/>
  <c r="A29" i="84"/>
  <c r="B29" i="84"/>
  <c r="A30" i="84"/>
  <c r="B30" i="84"/>
  <c r="A31" i="84"/>
  <c r="B31" i="84"/>
  <c r="A32" i="84"/>
  <c r="B32" i="84"/>
  <c r="A33" i="84"/>
  <c r="A34" i="84"/>
  <c r="B34" i="84"/>
  <c r="B25" i="84"/>
  <c r="A25" i="84"/>
  <c r="B24" i="84"/>
  <c r="A24" i="84"/>
  <c r="B1007" i="84"/>
  <c r="A1007" i="84"/>
  <c r="B1006" i="84"/>
  <c r="A1006" i="84"/>
  <c r="B1005" i="84"/>
  <c r="A1005" i="84"/>
  <c r="T996" i="84"/>
  <c r="T995" i="84"/>
  <c r="R995" i="84"/>
  <c r="S995" i="84" s="1"/>
  <c r="Q995" i="84"/>
  <c r="O995" i="84"/>
  <c r="M995" i="84"/>
  <c r="K995" i="84"/>
  <c r="G995" i="84"/>
  <c r="C995" i="84"/>
  <c r="T994" i="84"/>
  <c r="Q994" i="84"/>
  <c r="O994" i="84"/>
  <c r="M994" i="84"/>
  <c r="K994" i="84"/>
  <c r="G994" i="84"/>
  <c r="T993" i="84"/>
  <c r="Q993" i="84"/>
  <c r="O993" i="84"/>
  <c r="M993" i="84"/>
  <c r="K993" i="84"/>
  <c r="G993" i="84"/>
  <c r="T992" i="84"/>
  <c r="Q992" i="84"/>
  <c r="O992" i="84"/>
  <c r="M992" i="84"/>
  <c r="K992" i="84"/>
  <c r="G992" i="84"/>
  <c r="T991" i="84"/>
  <c r="Q991" i="84"/>
  <c r="O991" i="84"/>
  <c r="M991" i="84"/>
  <c r="K991" i="84"/>
  <c r="G991" i="84"/>
  <c r="T990" i="84"/>
  <c r="Q990" i="84"/>
  <c r="O990" i="84"/>
  <c r="M990" i="84"/>
  <c r="K990" i="84"/>
  <c r="G990" i="84"/>
  <c r="T989" i="84"/>
  <c r="Q989" i="84"/>
  <c r="O989" i="84"/>
  <c r="M989" i="84"/>
  <c r="K989" i="84"/>
  <c r="G989" i="84"/>
  <c r="T988" i="84"/>
  <c r="Q988" i="84"/>
  <c r="O988" i="84"/>
  <c r="M988" i="84"/>
  <c r="K988" i="84"/>
  <c r="G988" i="84"/>
  <c r="T987" i="84"/>
  <c r="Q987" i="84"/>
  <c r="O987" i="84"/>
  <c r="M987" i="84"/>
  <c r="K987" i="84"/>
  <c r="G987" i="84"/>
  <c r="T986" i="84"/>
  <c r="Q986" i="84"/>
  <c r="O986" i="84"/>
  <c r="M986" i="84"/>
  <c r="K986" i="84"/>
  <c r="G986" i="84"/>
  <c r="T985" i="84"/>
  <c r="Q985" i="84"/>
  <c r="O985" i="84"/>
  <c r="M985" i="84"/>
  <c r="K985" i="84"/>
  <c r="G985" i="84"/>
  <c r="T984" i="84"/>
  <c r="Q984" i="84"/>
  <c r="O984" i="84"/>
  <c r="M984" i="84"/>
  <c r="K984" i="84"/>
  <c r="G984" i="84"/>
  <c r="T983" i="84"/>
  <c r="Q983" i="84"/>
  <c r="O983" i="84"/>
  <c r="M983" i="84"/>
  <c r="K983" i="84"/>
  <c r="G983" i="84"/>
  <c r="T982" i="84"/>
  <c r="Q982" i="84"/>
  <c r="O982" i="84"/>
  <c r="M982" i="84"/>
  <c r="K982" i="84"/>
  <c r="G982" i="84"/>
  <c r="T981" i="84"/>
  <c r="Q981" i="84"/>
  <c r="O981" i="84"/>
  <c r="M981" i="84"/>
  <c r="K981" i="84"/>
  <c r="G981" i="84"/>
  <c r="T980" i="84"/>
  <c r="Q980" i="84"/>
  <c r="O980" i="84"/>
  <c r="M980" i="84"/>
  <c r="K980" i="84"/>
  <c r="G980" i="84"/>
  <c r="T979" i="84"/>
  <c r="Q979" i="84"/>
  <c r="O979" i="84"/>
  <c r="M979" i="84"/>
  <c r="K979" i="84"/>
  <c r="G979" i="84"/>
  <c r="T978" i="84"/>
  <c r="Q978" i="84"/>
  <c r="O978" i="84"/>
  <c r="M978" i="84"/>
  <c r="K978" i="84"/>
  <c r="G978" i="84"/>
  <c r="T977" i="84"/>
  <c r="Q977" i="84"/>
  <c r="O977" i="84"/>
  <c r="M977" i="84"/>
  <c r="K977" i="84"/>
  <c r="G977" i="84"/>
  <c r="T976" i="84"/>
  <c r="Q976" i="84"/>
  <c r="O976" i="84"/>
  <c r="M976" i="84"/>
  <c r="K976" i="84"/>
  <c r="G976" i="84"/>
  <c r="T975" i="84"/>
  <c r="Q975" i="84"/>
  <c r="O975" i="84"/>
  <c r="M975" i="84"/>
  <c r="K975" i="84"/>
  <c r="G975" i="84"/>
  <c r="T974" i="84"/>
  <c r="Q974" i="84"/>
  <c r="O974" i="84"/>
  <c r="M974" i="84"/>
  <c r="K974" i="84"/>
  <c r="G974" i="84"/>
  <c r="T973" i="84"/>
  <c r="Q973" i="84"/>
  <c r="O973" i="84"/>
  <c r="M973" i="84"/>
  <c r="K973" i="84"/>
  <c r="G973" i="84"/>
  <c r="T972" i="84"/>
  <c r="Q972" i="84"/>
  <c r="O972" i="84"/>
  <c r="M972" i="84"/>
  <c r="K972" i="84"/>
  <c r="G972" i="84"/>
  <c r="T971" i="84"/>
  <c r="Q971" i="84"/>
  <c r="O971" i="84"/>
  <c r="M971" i="84"/>
  <c r="K971" i="84"/>
  <c r="G971" i="84"/>
  <c r="T970" i="84"/>
  <c r="Q970" i="84"/>
  <c r="O970" i="84"/>
  <c r="M970" i="84"/>
  <c r="K970" i="84"/>
  <c r="G970" i="84"/>
  <c r="T969" i="84"/>
  <c r="Q969" i="84"/>
  <c r="O969" i="84"/>
  <c r="M969" i="84"/>
  <c r="K969" i="84"/>
  <c r="G969" i="84"/>
  <c r="T968" i="84"/>
  <c r="Q968" i="84"/>
  <c r="O968" i="84"/>
  <c r="M968" i="84"/>
  <c r="K968" i="84"/>
  <c r="G968" i="84"/>
  <c r="T967" i="84"/>
  <c r="Q967" i="84"/>
  <c r="O967" i="84"/>
  <c r="M967" i="84"/>
  <c r="K967" i="84"/>
  <c r="G967" i="84"/>
  <c r="T966" i="84"/>
  <c r="Q966" i="84"/>
  <c r="O966" i="84"/>
  <c r="M966" i="84"/>
  <c r="K966" i="84"/>
  <c r="G966" i="84"/>
  <c r="T965" i="84"/>
  <c r="Q965" i="84"/>
  <c r="O965" i="84"/>
  <c r="M965" i="84"/>
  <c r="K965" i="84"/>
  <c r="G965" i="84"/>
  <c r="T964" i="84"/>
  <c r="Q964" i="84"/>
  <c r="O964" i="84"/>
  <c r="M964" i="84"/>
  <c r="K964" i="84"/>
  <c r="G964" i="84"/>
  <c r="T963" i="84"/>
  <c r="Q963" i="84"/>
  <c r="O963" i="84"/>
  <c r="M963" i="84"/>
  <c r="K963" i="84"/>
  <c r="G963" i="84"/>
  <c r="T962" i="84"/>
  <c r="Q962" i="84"/>
  <c r="O962" i="84"/>
  <c r="M962" i="84"/>
  <c r="K962" i="84"/>
  <c r="G962" i="84"/>
  <c r="T961" i="84"/>
  <c r="Q961" i="84"/>
  <c r="O961" i="84"/>
  <c r="M961" i="84"/>
  <c r="K961" i="84"/>
  <c r="G961" i="84"/>
  <c r="T960" i="84"/>
  <c r="Q960" i="84"/>
  <c r="O960" i="84"/>
  <c r="M960" i="84"/>
  <c r="K960" i="84"/>
  <c r="G960" i="84"/>
  <c r="T959" i="84"/>
  <c r="Q959" i="84"/>
  <c r="O959" i="84"/>
  <c r="M959" i="84"/>
  <c r="K959" i="84"/>
  <c r="G959" i="84"/>
  <c r="T958" i="84"/>
  <c r="Q958" i="84"/>
  <c r="O958" i="84"/>
  <c r="M958" i="84"/>
  <c r="K958" i="84"/>
  <c r="G958" i="84"/>
  <c r="T957" i="84"/>
  <c r="Q957" i="84"/>
  <c r="O957" i="84"/>
  <c r="M957" i="84"/>
  <c r="K957" i="84"/>
  <c r="G957" i="84"/>
  <c r="T956" i="84"/>
  <c r="Q956" i="84"/>
  <c r="O956" i="84"/>
  <c r="M956" i="84"/>
  <c r="K956" i="84"/>
  <c r="G956" i="84"/>
  <c r="T955" i="84"/>
  <c r="Q955" i="84"/>
  <c r="O955" i="84"/>
  <c r="M955" i="84"/>
  <c r="K955" i="84"/>
  <c r="G955" i="84"/>
  <c r="T954" i="84"/>
  <c r="Q954" i="84"/>
  <c r="O954" i="84"/>
  <c r="M954" i="84"/>
  <c r="K954" i="84"/>
  <c r="G954" i="84"/>
  <c r="T953" i="84"/>
  <c r="Q953" i="84"/>
  <c r="O953" i="84"/>
  <c r="M953" i="84"/>
  <c r="K953" i="84"/>
  <c r="G953" i="84"/>
  <c r="T952" i="84"/>
  <c r="Q952" i="84"/>
  <c r="O952" i="84"/>
  <c r="M952" i="84"/>
  <c r="K952" i="84"/>
  <c r="G952" i="84"/>
  <c r="T951" i="84"/>
  <c r="Q951" i="84"/>
  <c r="O951" i="84"/>
  <c r="M951" i="84"/>
  <c r="K951" i="84"/>
  <c r="G951" i="84"/>
  <c r="T950" i="84"/>
  <c r="Q950" i="84"/>
  <c r="O950" i="84"/>
  <c r="M950" i="84"/>
  <c r="K950" i="84"/>
  <c r="G950" i="84"/>
  <c r="T949" i="84"/>
  <c r="Q949" i="84"/>
  <c r="O949" i="84"/>
  <c r="M949" i="84"/>
  <c r="K949" i="84"/>
  <c r="G949" i="84"/>
  <c r="T948" i="84"/>
  <c r="Q948" i="84"/>
  <c r="O948" i="84"/>
  <c r="M948" i="84"/>
  <c r="K948" i="84"/>
  <c r="G948" i="84"/>
  <c r="T947" i="84"/>
  <c r="Q947" i="84"/>
  <c r="O947" i="84"/>
  <c r="M947" i="84"/>
  <c r="K947" i="84"/>
  <c r="G947" i="84"/>
  <c r="T946" i="84"/>
  <c r="Q946" i="84"/>
  <c r="O946" i="84"/>
  <c r="M946" i="84"/>
  <c r="K946" i="84"/>
  <c r="G946" i="84"/>
  <c r="T945" i="84"/>
  <c r="Q945" i="84"/>
  <c r="O945" i="84"/>
  <c r="M945" i="84"/>
  <c r="K945" i="84"/>
  <c r="G945" i="84"/>
  <c r="T944" i="84"/>
  <c r="Q944" i="84"/>
  <c r="O944" i="84"/>
  <c r="M944" i="84"/>
  <c r="K944" i="84"/>
  <c r="G944" i="84"/>
  <c r="T943" i="84"/>
  <c r="Q943" i="84"/>
  <c r="O943" i="84"/>
  <c r="M943" i="84"/>
  <c r="K943" i="84"/>
  <c r="G943" i="84"/>
  <c r="T942" i="84"/>
  <c r="Q942" i="84"/>
  <c r="O942" i="84"/>
  <c r="M942" i="84"/>
  <c r="K942" i="84"/>
  <c r="G942" i="84"/>
  <c r="T941" i="84"/>
  <c r="Q941" i="84"/>
  <c r="O941" i="84"/>
  <c r="M941" i="84"/>
  <c r="K941" i="84"/>
  <c r="G941" i="84"/>
  <c r="T940" i="84"/>
  <c r="Q940" i="84"/>
  <c r="O940" i="84"/>
  <c r="M940" i="84"/>
  <c r="K940" i="84"/>
  <c r="G940" i="84"/>
  <c r="T939" i="84"/>
  <c r="Q939" i="84"/>
  <c r="O939" i="84"/>
  <c r="M939" i="84"/>
  <c r="K939" i="84"/>
  <c r="G939" i="84"/>
  <c r="T938" i="84"/>
  <c r="Q938" i="84"/>
  <c r="O938" i="84"/>
  <c r="M938" i="84"/>
  <c r="K938" i="84"/>
  <c r="G938" i="84"/>
  <c r="T937" i="84"/>
  <c r="Q937" i="84"/>
  <c r="O937" i="84"/>
  <c r="M937" i="84"/>
  <c r="K937" i="84"/>
  <c r="G937" i="84"/>
  <c r="T936" i="84"/>
  <c r="Q936" i="84"/>
  <c r="O936" i="84"/>
  <c r="M936" i="84"/>
  <c r="K936" i="84"/>
  <c r="G936" i="84"/>
  <c r="T935" i="84"/>
  <c r="Q935" i="84"/>
  <c r="O935" i="84"/>
  <c r="M935" i="84"/>
  <c r="K935" i="84"/>
  <c r="G935" i="84"/>
  <c r="T934" i="84"/>
  <c r="Q934" i="84"/>
  <c r="O934" i="84"/>
  <c r="M934" i="84"/>
  <c r="K934" i="84"/>
  <c r="G934" i="84"/>
  <c r="T933" i="84"/>
  <c r="Q933" i="84"/>
  <c r="O933" i="84"/>
  <c r="M933" i="84"/>
  <c r="K933" i="84"/>
  <c r="G933" i="84"/>
  <c r="T932" i="84"/>
  <c r="Q932" i="84"/>
  <c r="O932" i="84"/>
  <c r="M932" i="84"/>
  <c r="K932" i="84"/>
  <c r="G932" i="84"/>
  <c r="T931" i="84"/>
  <c r="Q931" i="84"/>
  <c r="O931" i="84"/>
  <c r="M931" i="84"/>
  <c r="K931" i="84"/>
  <c r="G931" i="84"/>
  <c r="T930" i="84"/>
  <c r="Q930" i="84"/>
  <c r="O930" i="84"/>
  <c r="M930" i="84"/>
  <c r="K930" i="84"/>
  <c r="G930" i="84"/>
  <c r="T929" i="84"/>
  <c r="Q929" i="84"/>
  <c r="O929" i="84"/>
  <c r="M929" i="84"/>
  <c r="K929" i="84"/>
  <c r="G929" i="84"/>
  <c r="T928" i="84"/>
  <c r="Q928" i="84"/>
  <c r="O928" i="84"/>
  <c r="M928" i="84"/>
  <c r="K928" i="84"/>
  <c r="G928" i="84"/>
  <c r="T927" i="84"/>
  <c r="Q927" i="84"/>
  <c r="O927" i="84"/>
  <c r="M927" i="84"/>
  <c r="K927" i="84"/>
  <c r="G927" i="84"/>
  <c r="T926" i="84"/>
  <c r="Q926" i="84"/>
  <c r="O926" i="84"/>
  <c r="M926" i="84"/>
  <c r="K926" i="84"/>
  <c r="G926" i="84"/>
  <c r="T925" i="84"/>
  <c r="Q925" i="84"/>
  <c r="O925" i="84"/>
  <c r="M925" i="84"/>
  <c r="K925" i="84"/>
  <c r="G925" i="84"/>
  <c r="T924" i="84"/>
  <c r="Q924" i="84"/>
  <c r="O924" i="84"/>
  <c r="M924" i="84"/>
  <c r="K924" i="84"/>
  <c r="G924" i="84"/>
  <c r="T923" i="84"/>
  <c r="Q923" i="84"/>
  <c r="O923" i="84"/>
  <c r="M923" i="84"/>
  <c r="K923" i="84"/>
  <c r="G923" i="84"/>
  <c r="T922" i="84"/>
  <c r="Q922" i="84"/>
  <c r="O922" i="84"/>
  <c r="M922" i="84"/>
  <c r="K922" i="84"/>
  <c r="G922" i="84"/>
  <c r="T921" i="84"/>
  <c r="Q921" i="84"/>
  <c r="O921" i="84"/>
  <c r="M921" i="84"/>
  <c r="K921" i="84"/>
  <c r="G921" i="84"/>
  <c r="T920" i="84"/>
  <c r="Q920" i="84"/>
  <c r="O920" i="84"/>
  <c r="M920" i="84"/>
  <c r="K920" i="84"/>
  <c r="G920" i="84"/>
  <c r="T919" i="84"/>
  <c r="Q919" i="84"/>
  <c r="O919" i="84"/>
  <c r="M919" i="84"/>
  <c r="K919" i="84"/>
  <c r="G919" i="84"/>
  <c r="T918" i="84"/>
  <c r="Q918" i="84"/>
  <c r="O918" i="84"/>
  <c r="M918" i="84"/>
  <c r="K918" i="84"/>
  <c r="G918" i="84"/>
  <c r="T917" i="84"/>
  <c r="Q917" i="84"/>
  <c r="O917" i="84"/>
  <c r="M917" i="84"/>
  <c r="K917" i="84"/>
  <c r="G917" i="84"/>
  <c r="T916" i="84"/>
  <c r="Q916" i="84"/>
  <c r="O916" i="84"/>
  <c r="M916" i="84"/>
  <c r="K916" i="84"/>
  <c r="G916" i="84"/>
  <c r="T915" i="84"/>
  <c r="Q915" i="84"/>
  <c r="O915" i="84"/>
  <c r="M915" i="84"/>
  <c r="K915" i="84"/>
  <c r="G915" i="84"/>
  <c r="T914" i="84"/>
  <c r="Q914" i="84"/>
  <c r="O914" i="84"/>
  <c r="M914" i="84"/>
  <c r="K914" i="84"/>
  <c r="G914" i="84"/>
  <c r="T913" i="84"/>
  <c r="Q913" i="84"/>
  <c r="O913" i="84"/>
  <c r="M913" i="84"/>
  <c r="K913" i="84"/>
  <c r="G913" i="84"/>
  <c r="T912" i="84"/>
  <c r="Q912" i="84"/>
  <c r="O912" i="84"/>
  <c r="M912" i="84"/>
  <c r="K912" i="84"/>
  <c r="G912" i="84"/>
  <c r="T911" i="84"/>
  <c r="Q911" i="84"/>
  <c r="O911" i="84"/>
  <c r="M911" i="84"/>
  <c r="K911" i="84"/>
  <c r="G911" i="84"/>
  <c r="T910" i="84"/>
  <c r="Q910" i="84"/>
  <c r="O910" i="84"/>
  <c r="M910" i="84"/>
  <c r="K910" i="84"/>
  <c r="G910" i="84"/>
  <c r="T909" i="84"/>
  <c r="Q909" i="84"/>
  <c r="O909" i="84"/>
  <c r="M909" i="84"/>
  <c r="K909" i="84"/>
  <c r="G909" i="84"/>
  <c r="T908" i="84"/>
  <c r="Q908" i="84"/>
  <c r="O908" i="84"/>
  <c r="M908" i="84"/>
  <c r="K908" i="84"/>
  <c r="G908" i="84"/>
  <c r="T907" i="84"/>
  <c r="Q907" i="84"/>
  <c r="O907" i="84"/>
  <c r="M907" i="84"/>
  <c r="K907" i="84"/>
  <c r="G907" i="84"/>
  <c r="T906" i="84"/>
  <c r="Q906" i="84"/>
  <c r="O906" i="84"/>
  <c r="M906" i="84"/>
  <c r="K906" i="84"/>
  <c r="G906" i="84"/>
  <c r="T905" i="84"/>
  <c r="Q905" i="84"/>
  <c r="O905" i="84"/>
  <c r="M905" i="84"/>
  <c r="K905" i="84"/>
  <c r="G905" i="84"/>
  <c r="T904" i="84"/>
  <c r="Q904" i="84"/>
  <c r="O904" i="84"/>
  <c r="M904" i="84"/>
  <c r="K904" i="84"/>
  <c r="G904" i="84"/>
  <c r="T903" i="84"/>
  <c r="Q903" i="84"/>
  <c r="O903" i="84"/>
  <c r="M903" i="84"/>
  <c r="K903" i="84"/>
  <c r="G903" i="84"/>
  <c r="T902" i="84"/>
  <c r="Q902" i="84"/>
  <c r="O902" i="84"/>
  <c r="M902" i="84"/>
  <c r="K902" i="84"/>
  <c r="G902" i="84"/>
  <c r="T901" i="84"/>
  <c r="Q901" i="84"/>
  <c r="O901" i="84"/>
  <c r="M901" i="84"/>
  <c r="K901" i="84"/>
  <c r="G901" i="84"/>
  <c r="T900" i="84"/>
  <c r="Q900" i="84"/>
  <c r="O900" i="84"/>
  <c r="M900" i="84"/>
  <c r="K900" i="84"/>
  <c r="G900" i="84"/>
  <c r="T899" i="84"/>
  <c r="Q899" i="84"/>
  <c r="O899" i="84"/>
  <c r="M899" i="84"/>
  <c r="K899" i="84"/>
  <c r="G899" i="84"/>
  <c r="T898" i="84"/>
  <c r="Q898" i="84"/>
  <c r="O898" i="84"/>
  <c r="M898" i="84"/>
  <c r="K898" i="84"/>
  <c r="G898" i="84"/>
  <c r="T897" i="84"/>
  <c r="Q897" i="84"/>
  <c r="O897" i="84"/>
  <c r="M897" i="84"/>
  <c r="K897" i="84"/>
  <c r="G897" i="84"/>
  <c r="T896" i="84"/>
  <c r="Q896" i="84"/>
  <c r="O896" i="84"/>
  <c r="M896" i="84"/>
  <c r="K896" i="84"/>
  <c r="G896" i="84"/>
  <c r="T895" i="84"/>
  <c r="Q895" i="84"/>
  <c r="O895" i="84"/>
  <c r="M895" i="84"/>
  <c r="K895" i="84"/>
  <c r="G895" i="84"/>
  <c r="T894" i="84"/>
  <c r="Q894" i="84"/>
  <c r="O894" i="84"/>
  <c r="M894" i="84"/>
  <c r="K894" i="84"/>
  <c r="G894" i="84"/>
  <c r="T893" i="84"/>
  <c r="Q893" i="84"/>
  <c r="O893" i="84"/>
  <c r="M893" i="84"/>
  <c r="K893" i="84"/>
  <c r="G893" i="84"/>
  <c r="T892" i="84"/>
  <c r="Q892" i="84"/>
  <c r="O892" i="84"/>
  <c r="M892" i="84"/>
  <c r="K892" i="84"/>
  <c r="G892" i="84"/>
  <c r="T891" i="84"/>
  <c r="Q891" i="84"/>
  <c r="O891" i="84"/>
  <c r="M891" i="84"/>
  <c r="K891" i="84"/>
  <c r="G891" i="84"/>
  <c r="T890" i="84"/>
  <c r="Q890" i="84"/>
  <c r="O890" i="84"/>
  <c r="M890" i="84"/>
  <c r="K890" i="84"/>
  <c r="G890" i="84"/>
  <c r="T889" i="84"/>
  <c r="Q889" i="84"/>
  <c r="O889" i="84"/>
  <c r="M889" i="84"/>
  <c r="K889" i="84"/>
  <c r="G889" i="84"/>
  <c r="T888" i="84"/>
  <c r="Q888" i="84"/>
  <c r="O888" i="84"/>
  <c r="M888" i="84"/>
  <c r="K888" i="84"/>
  <c r="G888" i="84"/>
  <c r="T887" i="84"/>
  <c r="Q887" i="84"/>
  <c r="O887" i="84"/>
  <c r="M887" i="84"/>
  <c r="K887" i="84"/>
  <c r="G887" i="84"/>
  <c r="T886" i="84"/>
  <c r="Q886" i="84"/>
  <c r="O886" i="84"/>
  <c r="M886" i="84"/>
  <c r="K886" i="84"/>
  <c r="G886" i="84"/>
  <c r="T885" i="84"/>
  <c r="Q885" i="84"/>
  <c r="O885" i="84"/>
  <c r="M885" i="84"/>
  <c r="K885" i="84"/>
  <c r="G885" i="84"/>
  <c r="T884" i="84"/>
  <c r="Q884" i="84"/>
  <c r="O884" i="84"/>
  <c r="M884" i="84"/>
  <c r="K884" i="84"/>
  <c r="G884" i="84"/>
  <c r="T883" i="84"/>
  <c r="Q883" i="84"/>
  <c r="O883" i="84"/>
  <c r="M883" i="84"/>
  <c r="K883" i="84"/>
  <c r="G883" i="84"/>
  <c r="T882" i="84"/>
  <c r="Q882" i="84"/>
  <c r="O882" i="84"/>
  <c r="M882" i="84"/>
  <c r="K882" i="84"/>
  <c r="G882" i="84"/>
  <c r="T881" i="84"/>
  <c r="Q881" i="84"/>
  <c r="O881" i="84"/>
  <c r="M881" i="84"/>
  <c r="K881" i="84"/>
  <c r="G881" i="84"/>
  <c r="T880" i="84"/>
  <c r="Q880" i="84"/>
  <c r="O880" i="84"/>
  <c r="M880" i="84"/>
  <c r="K880" i="84"/>
  <c r="G880" i="84"/>
  <c r="T879" i="84"/>
  <c r="Q879" i="84"/>
  <c r="O879" i="84"/>
  <c r="M879" i="84"/>
  <c r="K879" i="84"/>
  <c r="G879" i="84"/>
  <c r="T878" i="84"/>
  <c r="Q878" i="84"/>
  <c r="O878" i="84"/>
  <c r="M878" i="84"/>
  <c r="K878" i="84"/>
  <c r="G878" i="84"/>
  <c r="T877" i="84"/>
  <c r="Q877" i="84"/>
  <c r="O877" i="84"/>
  <c r="M877" i="84"/>
  <c r="K877" i="84"/>
  <c r="G877" i="84"/>
  <c r="T876" i="84"/>
  <c r="Q876" i="84"/>
  <c r="O876" i="84"/>
  <c r="M876" i="84"/>
  <c r="K876" i="84"/>
  <c r="G876" i="84"/>
  <c r="T875" i="84"/>
  <c r="Q875" i="84"/>
  <c r="O875" i="84"/>
  <c r="M875" i="84"/>
  <c r="K875" i="84"/>
  <c r="G875" i="84"/>
  <c r="T874" i="84"/>
  <c r="Q874" i="84"/>
  <c r="O874" i="84"/>
  <c r="M874" i="84"/>
  <c r="K874" i="84"/>
  <c r="G874" i="84"/>
  <c r="T873" i="84"/>
  <c r="Q873" i="84"/>
  <c r="O873" i="84"/>
  <c r="M873" i="84"/>
  <c r="K873" i="84"/>
  <c r="G873" i="84"/>
  <c r="T872" i="84"/>
  <c r="Q872" i="84"/>
  <c r="O872" i="84"/>
  <c r="M872" i="84"/>
  <c r="K872" i="84"/>
  <c r="G872" i="84"/>
  <c r="T871" i="84"/>
  <c r="Q871" i="84"/>
  <c r="O871" i="84"/>
  <c r="M871" i="84"/>
  <c r="K871" i="84"/>
  <c r="G871" i="84"/>
  <c r="T870" i="84"/>
  <c r="Q870" i="84"/>
  <c r="O870" i="84"/>
  <c r="M870" i="84"/>
  <c r="K870" i="84"/>
  <c r="G870" i="84"/>
  <c r="T869" i="84"/>
  <c r="Q869" i="84"/>
  <c r="O869" i="84"/>
  <c r="M869" i="84"/>
  <c r="K869" i="84"/>
  <c r="G869" i="84"/>
  <c r="T868" i="84"/>
  <c r="Q868" i="84"/>
  <c r="O868" i="84"/>
  <c r="M868" i="84"/>
  <c r="K868" i="84"/>
  <c r="G868" i="84"/>
  <c r="T867" i="84"/>
  <c r="Q867" i="84"/>
  <c r="O867" i="84"/>
  <c r="M867" i="84"/>
  <c r="K867" i="84"/>
  <c r="G867" i="84"/>
  <c r="T866" i="84"/>
  <c r="Q866" i="84"/>
  <c r="O866" i="84"/>
  <c r="M866" i="84"/>
  <c r="K866" i="84"/>
  <c r="G866" i="84"/>
  <c r="T865" i="84"/>
  <c r="Q865" i="84"/>
  <c r="O865" i="84"/>
  <c r="M865" i="84"/>
  <c r="K865" i="84"/>
  <c r="G865" i="84"/>
  <c r="T864" i="84"/>
  <c r="Q864" i="84"/>
  <c r="O864" i="84"/>
  <c r="M864" i="84"/>
  <c r="K864" i="84"/>
  <c r="G864" i="84"/>
  <c r="T863" i="84"/>
  <c r="Q863" i="84"/>
  <c r="O863" i="84"/>
  <c r="M863" i="84"/>
  <c r="K863" i="84"/>
  <c r="G863" i="84"/>
  <c r="T862" i="84"/>
  <c r="Q862" i="84"/>
  <c r="O862" i="84"/>
  <c r="M862" i="84"/>
  <c r="K862" i="84"/>
  <c r="G862" i="84"/>
  <c r="T861" i="84"/>
  <c r="Q861" i="84"/>
  <c r="O861" i="84"/>
  <c r="M861" i="84"/>
  <c r="K861" i="84"/>
  <c r="G861" i="84"/>
  <c r="T860" i="84"/>
  <c r="Q860" i="84"/>
  <c r="O860" i="84"/>
  <c r="M860" i="84"/>
  <c r="K860" i="84"/>
  <c r="G860" i="84"/>
  <c r="T859" i="84"/>
  <c r="Q859" i="84"/>
  <c r="O859" i="84"/>
  <c r="M859" i="84"/>
  <c r="K859" i="84"/>
  <c r="G859" i="84"/>
  <c r="T858" i="84"/>
  <c r="Q858" i="84"/>
  <c r="O858" i="84"/>
  <c r="M858" i="84"/>
  <c r="K858" i="84"/>
  <c r="G858" i="84"/>
  <c r="T857" i="84"/>
  <c r="Q857" i="84"/>
  <c r="O857" i="84"/>
  <c r="M857" i="84"/>
  <c r="K857" i="84"/>
  <c r="G857" i="84"/>
  <c r="T856" i="84"/>
  <c r="Q856" i="84"/>
  <c r="O856" i="84"/>
  <c r="M856" i="84"/>
  <c r="K856" i="84"/>
  <c r="G856" i="84"/>
  <c r="T855" i="84"/>
  <c r="Q855" i="84"/>
  <c r="O855" i="84"/>
  <c r="M855" i="84"/>
  <c r="K855" i="84"/>
  <c r="G855" i="84"/>
  <c r="T854" i="84"/>
  <c r="Q854" i="84"/>
  <c r="O854" i="84"/>
  <c r="M854" i="84"/>
  <c r="K854" i="84"/>
  <c r="G854" i="84"/>
  <c r="T853" i="84"/>
  <c r="Q853" i="84"/>
  <c r="O853" i="84"/>
  <c r="M853" i="84"/>
  <c r="K853" i="84"/>
  <c r="G853" i="84"/>
  <c r="T852" i="84"/>
  <c r="Q852" i="84"/>
  <c r="O852" i="84"/>
  <c r="M852" i="84"/>
  <c r="K852" i="84"/>
  <c r="G852" i="84"/>
  <c r="T851" i="84"/>
  <c r="Q851" i="84"/>
  <c r="O851" i="84"/>
  <c r="M851" i="84"/>
  <c r="K851" i="84"/>
  <c r="G851" i="84"/>
  <c r="T850" i="84"/>
  <c r="Q850" i="84"/>
  <c r="O850" i="84"/>
  <c r="M850" i="84"/>
  <c r="K850" i="84"/>
  <c r="G850" i="84"/>
  <c r="T849" i="84"/>
  <c r="Q849" i="84"/>
  <c r="O849" i="84"/>
  <c r="M849" i="84"/>
  <c r="K849" i="84"/>
  <c r="G849" i="84"/>
  <c r="T848" i="84"/>
  <c r="Q848" i="84"/>
  <c r="O848" i="84"/>
  <c r="M848" i="84"/>
  <c r="K848" i="84"/>
  <c r="G848" i="84"/>
  <c r="T847" i="84"/>
  <c r="Q847" i="84"/>
  <c r="O847" i="84"/>
  <c r="M847" i="84"/>
  <c r="K847" i="84"/>
  <c r="G847" i="84"/>
  <c r="T846" i="84"/>
  <c r="Q846" i="84"/>
  <c r="O846" i="84"/>
  <c r="M846" i="84"/>
  <c r="K846" i="84"/>
  <c r="G846" i="84"/>
  <c r="T845" i="84"/>
  <c r="Q845" i="84"/>
  <c r="O845" i="84"/>
  <c r="M845" i="84"/>
  <c r="K845" i="84"/>
  <c r="G845" i="84"/>
  <c r="T844" i="84"/>
  <c r="Q844" i="84"/>
  <c r="O844" i="84"/>
  <c r="M844" i="84"/>
  <c r="K844" i="84"/>
  <c r="G844" i="84"/>
  <c r="T843" i="84"/>
  <c r="Q843" i="84"/>
  <c r="O843" i="84"/>
  <c r="M843" i="84"/>
  <c r="K843" i="84"/>
  <c r="G843" i="84"/>
  <c r="T842" i="84"/>
  <c r="Q842" i="84"/>
  <c r="O842" i="84"/>
  <c r="M842" i="84"/>
  <c r="K842" i="84"/>
  <c r="G842" i="84"/>
  <c r="T841" i="84"/>
  <c r="Q841" i="84"/>
  <c r="O841" i="84"/>
  <c r="M841" i="84"/>
  <c r="K841" i="84"/>
  <c r="G841" i="84"/>
  <c r="T840" i="84"/>
  <c r="Q840" i="84"/>
  <c r="O840" i="84"/>
  <c r="M840" i="84"/>
  <c r="K840" i="84"/>
  <c r="G840" i="84"/>
  <c r="T839" i="84"/>
  <c r="Q839" i="84"/>
  <c r="O839" i="84"/>
  <c r="M839" i="84"/>
  <c r="K839" i="84"/>
  <c r="G839" i="84"/>
  <c r="T838" i="84"/>
  <c r="Q838" i="84"/>
  <c r="O838" i="84"/>
  <c r="M838" i="84"/>
  <c r="K838" i="84"/>
  <c r="G838" i="84"/>
  <c r="T837" i="84"/>
  <c r="Q837" i="84"/>
  <c r="O837" i="84"/>
  <c r="M837" i="84"/>
  <c r="K837" i="84"/>
  <c r="G837" i="84"/>
  <c r="T836" i="84"/>
  <c r="Q836" i="84"/>
  <c r="O836" i="84"/>
  <c r="M836" i="84"/>
  <c r="K836" i="84"/>
  <c r="G836" i="84"/>
  <c r="T835" i="84"/>
  <c r="Q835" i="84"/>
  <c r="O835" i="84"/>
  <c r="M835" i="84"/>
  <c r="K835" i="84"/>
  <c r="G835" i="84"/>
  <c r="T834" i="84"/>
  <c r="Q834" i="84"/>
  <c r="O834" i="84"/>
  <c r="M834" i="84"/>
  <c r="K834" i="84"/>
  <c r="G834" i="84"/>
  <c r="T833" i="84"/>
  <c r="Q833" i="84"/>
  <c r="O833" i="84"/>
  <c r="M833" i="84"/>
  <c r="K833" i="84"/>
  <c r="G833" i="84"/>
  <c r="T832" i="84"/>
  <c r="Q832" i="84"/>
  <c r="O832" i="84"/>
  <c r="M832" i="84"/>
  <c r="K832" i="84"/>
  <c r="G832" i="84"/>
  <c r="T831" i="84"/>
  <c r="Q831" i="84"/>
  <c r="O831" i="84"/>
  <c r="M831" i="84"/>
  <c r="K831" i="84"/>
  <c r="G831" i="84"/>
  <c r="T830" i="84"/>
  <c r="Q830" i="84"/>
  <c r="O830" i="84"/>
  <c r="M830" i="84"/>
  <c r="K830" i="84"/>
  <c r="G830" i="84"/>
  <c r="T829" i="84"/>
  <c r="Q829" i="84"/>
  <c r="O829" i="84"/>
  <c r="M829" i="84"/>
  <c r="K829" i="84"/>
  <c r="G829" i="84"/>
  <c r="T828" i="84"/>
  <c r="Q828" i="84"/>
  <c r="O828" i="84"/>
  <c r="M828" i="84"/>
  <c r="K828" i="84"/>
  <c r="G828" i="84"/>
  <c r="T827" i="84"/>
  <c r="Q827" i="84"/>
  <c r="O827" i="84"/>
  <c r="M827" i="84"/>
  <c r="K827" i="84"/>
  <c r="G827" i="84"/>
  <c r="T826" i="84"/>
  <c r="Q826" i="84"/>
  <c r="O826" i="84"/>
  <c r="M826" i="84"/>
  <c r="K826" i="84"/>
  <c r="G826" i="84"/>
  <c r="T825" i="84"/>
  <c r="Q825" i="84"/>
  <c r="O825" i="84"/>
  <c r="M825" i="84"/>
  <c r="K825" i="84"/>
  <c r="G825" i="84"/>
  <c r="T824" i="84"/>
  <c r="Q824" i="84"/>
  <c r="O824" i="84"/>
  <c r="M824" i="84"/>
  <c r="K824" i="84"/>
  <c r="G824" i="84"/>
  <c r="T823" i="84"/>
  <c r="Q823" i="84"/>
  <c r="O823" i="84"/>
  <c r="M823" i="84"/>
  <c r="K823" i="84"/>
  <c r="G823" i="84"/>
  <c r="T822" i="84"/>
  <c r="Q822" i="84"/>
  <c r="O822" i="84"/>
  <c r="M822" i="84"/>
  <c r="K822" i="84"/>
  <c r="G822" i="84"/>
  <c r="T821" i="84"/>
  <c r="Q821" i="84"/>
  <c r="O821" i="84"/>
  <c r="M821" i="84"/>
  <c r="K821" i="84"/>
  <c r="G821" i="84"/>
  <c r="T820" i="84"/>
  <c r="Q820" i="84"/>
  <c r="O820" i="84"/>
  <c r="M820" i="84"/>
  <c r="K820" i="84"/>
  <c r="G820" i="84"/>
  <c r="T819" i="84"/>
  <c r="Q819" i="84"/>
  <c r="O819" i="84"/>
  <c r="M819" i="84"/>
  <c r="K819" i="84"/>
  <c r="G819" i="84"/>
  <c r="T818" i="84"/>
  <c r="Q818" i="84"/>
  <c r="O818" i="84"/>
  <c r="M818" i="84"/>
  <c r="K818" i="84"/>
  <c r="G818" i="84"/>
  <c r="T817" i="84"/>
  <c r="Q817" i="84"/>
  <c r="O817" i="84"/>
  <c r="M817" i="84"/>
  <c r="K817" i="84"/>
  <c r="G817" i="84"/>
  <c r="T816" i="84"/>
  <c r="Q816" i="84"/>
  <c r="O816" i="84"/>
  <c r="M816" i="84"/>
  <c r="K816" i="84"/>
  <c r="G816" i="84"/>
  <c r="T815" i="84"/>
  <c r="Q815" i="84"/>
  <c r="O815" i="84"/>
  <c r="M815" i="84"/>
  <c r="K815" i="84"/>
  <c r="G815" i="84"/>
  <c r="T814" i="84"/>
  <c r="Q814" i="84"/>
  <c r="O814" i="84"/>
  <c r="M814" i="84"/>
  <c r="K814" i="84"/>
  <c r="G814" i="84"/>
  <c r="T813" i="84"/>
  <c r="Q813" i="84"/>
  <c r="O813" i="84"/>
  <c r="M813" i="84"/>
  <c r="K813" i="84"/>
  <c r="G813" i="84"/>
  <c r="T812" i="84"/>
  <c r="Q812" i="84"/>
  <c r="O812" i="84"/>
  <c r="M812" i="84"/>
  <c r="K812" i="84"/>
  <c r="G812" i="84"/>
  <c r="T811" i="84"/>
  <c r="Q811" i="84"/>
  <c r="O811" i="84"/>
  <c r="M811" i="84"/>
  <c r="K811" i="84"/>
  <c r="G811" i="84"/>
  <c r="T810" i="84"/>
  <c r="Q810" i="84"/>
  <c r="O810" i="84"/>
  <c r="M810" i="84"/>
  <c r="K810" i="84"/>
  <c r="G810" i="84"/>
  <c r="T809" i="84"/>
  <c r="Q809" i="84"/>
  <c r="O809" i="84"/>
  <c r="M809" i="84"/>
  <c r="K809" i="84"/>
  <c r="G809" i="84"/>
  <c r="T808" i="84"/>
  <c r="Q808" i="84"/>
  <c r="O808" i="84"/>
  <c r="M808" i="84"/>
  <c r="K808" i="84"/>
  <c r="G808" i="84"/>
  <c r="T807" i="84"/>
  <c r="Q807" i="84"/>
  <c r="O807" i="84"/>
  <c r="M807" i="84"/>
  <c r="K807" i="84"/>
  <c r="G807" i="84"/>
  <c r="T806" i="84"/>
  <c r="Q806" i="84"/>
  <c r="O806" i="84"/>
  <c r="M806" i="84"/>
  <c r="K806" i="84"/>
  <c r="G806" i="84"/>
  <c r="T805" i="84"/>
  <c r="Q805" i="84"/>
  <c r="O805" i="84"/>
  <c r="M805" i="84"/>
  <c r="K805" i="84"/>
  <c r="G805" i="84"/>
  <c r="T804" i="84"/>
  <c r="Q804" i="84"/>
  <c r="O804" i="84"/>
  <c r="M804" i="84"/>
  <c r="K804" i="84"/>
  <c r="G804" i="84"/>
  <c r="T803" i="84"/>
  <c r="Q803" i="84"/>
  <c r="O803" i="84"/>
  <c r="M803" i="84"/>
  <c r="K803" i="84"/>
  <c r="G803" i="84"/>
  <c r="T802" i="84"/>
  <c r="Q802" i="84"/>
  <c r="O802" i="84"/>
  <c r="M802" i="84"/>
  <c r="K802" i="84"/>
  <c r="G802" i="84"/>
  <c r="T801" i="84"/>
  <c r="Q801" i="84"/>
  <c r="O801" i="84"/>
  <c r="M801" i="84"/>
  <c r="K801" i="84"/>
  <c r="G801" i="84"/>
  <c r="T800" i="84"/>
  <c r="Q800" i="84"/>
  <c r="O800" i="84"/>
  <c r="M800" i="84"/>
  <c r="K800" i="84"/>
  <c r="G800" i="84"/>
  <c r="T799" i="84"/>
  <c r="Q799" i="84"/>
  <c r="O799" i="84"/>
  <c r="M799" i="84"/>
  <c r="K799" i="84"/>
  <c r="G799" i="84"/>
  <c r="T798" i="84"/>
  <c r="Q798" i="84"/>
  <c r="O798" i="84"/>
  <c r="M798" i="84"/>
  <c r="K798" i="84"/>
  <c r="G798" i="84"/>
  <c r="T797" i="84"/>
  <c r="Q797" i="84"/>
  <c r="O797" i="84"/>
  <c r="M797" i="84"/>
  <c r="K797" i="84"/>
  <c r="G797" i="84"/>
  <c r="T796" i="84"/>
  <c r="Q796" i="84"/>
  <c r="O796" i="84"/>
  <c r="M796" i="84"/>
  <c r="K796" i="84"/>
  <c r="G796" i="84"/>
  <c r="T795" i="84"/>
  <c r="Q795" i="84"/>
  <c r="O795" i="84"/>
  <c r="M795" i="84"/>
  <c r="K795" i="84"/>
  <c r="G795" i="84"/>
  <c r="T794" i="84"/>
  <c r="Q794" i="84"/>
  <c r="O794" i="84"/>
  <c r="M794" i="84"/>
  <c r="K794" i="84"/>
  <c r="G794" i="84"/>
  <c r="T793" i="84"/>
  <c r="Q793" i="84"/>
  <c r="O793" i="84"/>
  <c r="M793" i="84"/>
  <c r="K793" i="84"/>
  <c r="G793" i="84"/>
  <c r="T792" i="84"/>
  <c r="Q792" i="84"/>
  <c r="O792" i="84"/>
  <c r="M792" i="84"/>
  <c r="K792" i="84"/>
  <c r="G792" i="84"/>
  <c r="T791" i="84"/>
  <c r="Q791" i="84"/>
  <c r="O791" i="84"/>
  <c r="M791" i="84"/>
  <c r="K791" i="84"/>
  <c r="G791" i="84"/>
  <c r="T790" i="84"/>
  <c r="Q790" i="84"/>
  <c r="O790" i="84"/>
  <c r="M790" i="84"/>
  <c r="K790" i="84"/>
  <c r="G790" i="84"/>
  <c r="T789" i="84"/>
  <c r="Q789" i="84"/>
  <c r="O789" i="84"/>
  <c r="M789" i="84"/>
  <c r="K789" i="84"/>
  <c r="G789" i="84"/>
  <c r="T788" i="84"/>
  <c r="Q788" i="84"/>
  <c r="O788" i="84"/>
  <c r="M788" i="84"/>
  <c r="K788" i="84"/>
  <c r="G788" i="84"/>
  <c r="T787" i="84"/>
  <c r="Q787" i="84"/>
  <c r="O787" i="84"/>
  <c r="M787" i="84"/>
  <c r="K787" i="84"/>
  <c r="G787" i="84"/>
  <c r="T786" i="84"/>
  <c r="Q786" i="84"/>
  <c r="O786" i="84"/>
  <c r="M786" i="84"/>
  <c r="K786" i="84"/>
  <c r="G786" i="84"/>
  <c r="T785" i="84"/>
  <c r="Q785" i="84"/>
  <c r="O785" i="84"/>
  <c r="M785" i="84"/>
  <c r="K785" i="84"/>
  <c r="G785" i="84"/>
  <c r="T784" i="84"/>
  <c r="Q784" i="84"/>
  <c r="O784" i="84"/>
  <c r="M784" i="84"/>
  <c r="K784" i="84"/>
  <c r="G784" i="84"/>
  <c r="T783" i="84"/>
  <c r="Q783" i="84"/>
  <c r="O783" i="84"/>
  <c r="M783" i="84"/>
  <c r="K783" i="84"/>
  <c r="G783" i="84"/>
  <c r="T782" i="84"/>
  <c r="Q782" i="84"/>
  <c r="O782" i="84"/>
  <c r="M782" i="84"/>
  <c r="K782" i="84"/>
  <c r="G782" i="84"/>
  <c r="T781" i="84"/>
  <c r="Q781" i="84"/>
  <c r="O781" i="84"/>
  <c r="M781" i="84"/>
  <c r="K781" i="84"/>
  <c r="G781" i="84"/>
  <c r="T780" i="84"/>
  <c r="Q780" i="84"/>
  <c r="O780" i="84"/>
  <c r="M780" i="84"/>
  <c r="K780" i="84"/>
  <c r="G780" i="84"/>
  <c r="T779" i="84"/>
  <c r="Q779" i="84"/>
  <c r="O779" i="84"/>
  <c r="M779" i="84"/>
  <c r="K779" i="84"/>
  <c r="G779" i="84"/>
  <c r="T778" i="84"/>
  <c r="Q778" i="84"/>
  <c r="O778" i="84"/>
  <c r="M778" i="84"/>
  <c r="K778" i="84"/>
  <c r="G778" i="84"/>
  <c r="T777" i="84"/>
  <c r="Q777" i="84"/>
  <c r="O777" i="84"/>
  <c r="M777" i="84"/>
  <c r="K777" i="84"/>
  <c r="G777" i="84"/>
  <c r="T776" i="84"/>
  <c r="Q776" i="84"/>
  <c r="O776" i="84"/>
  <c r="M776" i="84"/>
  <c r="K776" i="84"/>
  <c r="G776" i="84"/>
  <c r="T775" i="84"/>
  <c r="Q775" i="84"/>
  <c r="O775" i="84"/>
  <c r="M775" i="84"/>
  <c r="K775" i="84"/>
  <c r="G775" i="84"/>
  <c r="T774" i="84"/>
  <c r="Q774" i="84"/>
  <c r="O774" i="84"/>
  <c r="M774" i="84"/>
  <c r="K774" i="84"/>
  <c r="G774" i="84"/>
  <c r="T773" i="84"/>
  <c r="Q773" i="84"/>
  <c r="O773" i="84"/>
  <c r="M773" i="84"/>
  <c r="K773" i="84"/>
  <c r="G773" i="84"/>
  <c r="T772" i="84"/>
  <c r="Q772" i="84"/>
  <c r="O772" i="84"/>
  <c r="M772" i="84"/>
  <c r="K772" i="84"/>
  <c r="G772" i="84"/>
  <c r="T771" i="84"/>
  <c r="Q771" i="84"/>
  <c r="O771" i="84"/>
  <c r="M771" i="84"/>
  <c r="K771" i="84"/>
  <c r="G771" i="84"/>
  <c r="T770" i="84"/>
  <c r="Q770" i="84"/>
  <c r="O770" i="84"/>
  <c r="M770" i="84"/>
  <c r="K770" i="84"/>
  <c r="G770" i="84"/>
  <c r="T769" i="84"/>
  <c r="Q769" i="84"/>
  <c r="O769" i="84"/>
  <c r="M769" i="84"/>
  <c r="K769" i="84"/>
  <c r="G769" i="84"/>
  <c r="T768" i="84"/>
  <c r="Q768" i="84"/>
  <c r="O768" i="84"/>
  <c r="M768" i="84"/>
  <c r="K768" i="84"/>
  <c r="G768" i="84"/>
  <c r="T767" i="84"/>
  <c r="Q767" i="84"/>
  <c r="O767" i="84"/>
  <c r="M767" i="84"/>
  <c r="K767" i="84"/>
  <c r="G767" i="84"/>
  <c r="T766" i="84"/>
  <c r="Q766" i="84"/>
  <c r="O766" i="84"/>
  <c r="M766" i="84"/>
  <c r="K766" i="84"/>
  <c r="G766" i="84"/>
  <c r="T765" i="84"/>
  <c r="Q765" i="84"/>
  <c r="O765" i="84"/>
  <c r="M765" i="84"/>
  <c r="K765" i="84"/>
  <c r="G765" i="84"/>
  <c r="T764" i="84"/>
  <c r="Q764" i="84"/>
  <c r="O764" i="84"/>
  <c r="M764" i="84"/>
  <c r="K764" i="84"/>
  <c r="G764" i="84"/>
  <c r="T763" i="84"/>
  <c r="Q763" i="84"/>
  <c r="O763" i="84"/>
  <c r="M763" i="84"/>
  <c r="K763" i="84"/>
  <c r="G763" i="84"/>
  <c r="T762" i="84"/>
  <c r="Q762" i="84"/>
  <c r="O762" i="84"/>
  <c r="M762" i="84"/>
  <c r="K762" i="84"/>
  <c r="G762" i="84"/>
  <c r="T761" i="84"/>
  <c r="Q761" i="84"/>
  <c r="O761" i="84"/>
  <c r="M761" i="84"/>
  <c r="K761" i="84"/>
  <c r="G761" i="84"/>
  <c r="T760" i="84"/>
  <c r="Q760" i="84"/>
  <c r="O760" i="84"/>
  <c r="M760" i="84"/>
  <c r="K760" i="84"/>
  <c r="G760" i="84"/>
  <c r="T759" i="84"/>
  <c r="Q759" i="84"/>
  <c r="O759" i="84"/>
  <c r="M759" i="84"/>
  <c r="K759" i="84"/>
  <c r="G759" i="84"/>
  <c r="T758" i="84"/>
  <c r="Q758" i="84"/>
  <c r="O758" i="84"/>
  <c r="M758" i="84"/>
  <c r="K758" i="84"/>
  <c r="G758" i="84"/>
  <c r="T757" i="84"/>
  <c r="Q757" i="84"/>
  <c r="O757" i="84"/>
  <c r="M757" i="84"/>
  <c r="K757" i="84"/>
  <c r="G757" i="84"/>
  <c r="T756" i="84"/>
  <c r="Q756" i="84"/>
  <c r="O756" i="84"/>
  <c r="M756" i="84"/>
  <c r="K756" i="84"/>
  <c r="G756" i="84"/>
  <c r="T755" i="84"/>
  <c r="Q755" i="84"/>
  <c r="O755" i="84"/>
  <c r="M755" i="84"/>
  <c r="K755" i="84"/>
  <c r="G755" i="84"/>
  <c r="T754" i="84"/>
  <c r="Q754" i="84"/>
  <c r="O754" i="84"/>
  <c r="M754" i="84"/>
  <c r="K754" i="84"/>
  <c r="G754" i="84"/>
  <c r="T753" i="84"/>
  <c r="Q753" i="84"/>
  <c r="O753" i="84"/>
  <c r="M753" i="84"/>
  <c r="K753" i="84"/>
  <c r="G753" i="84"/>
  <c r="T752" i="84"/>
  <c r="Q752" i="84"/>
  <c r="O752" i="84"/>
  <c r="M752" i="84"/>
  <c r="K752" i="84"/>
  <c r="G752" i="84"/>
  <c r="T751" i="84"/>
  <c r="Q751" i="84"/>
  <c r="O751" i="84"/>
  <c r="M751" i="84"/>
  <c r="K751" i="84"/>
  <c r="G751" i="84"/>
  <c r="T750" i="84"/>
  <c r="Q750" i="84"/>
  <c r="O750" i="84"/>
  <c r="M750" i="84"/>
  <c r="K750" i="84"/>
  <c r="G750" i="84"/>
  <c r="T749" i="84"/>
  <c r="Q749" i="84"/>
  <c r="O749" i="84"/>
  <c r="M749" i="84"/>
  <c r="K749" i="84"/>
  <c r="G749" i="84"/>
  <c r="T748" i="84"/>
  <c r="Q748" i="84"/>
  <c r="O748" i="84"/>
  <c r="M748" i="84"/>
  <c r="K748" i="84"/>
  <c r="G748" i="84"/>
  <c r="T747" i="84"/>
  <c r="Q747" i="84"/>
  <c r="O747" i="84"/>
  <c r="M747" i="84"/>
  <c r="K747" i="84"/>
  <c r="G747" i="84"/>
  <c r="T746" i="84"/>
  <c r="Q746" i="84"/>
  <c r="O746" i="84"/>
  <c r="M746" i="84"/>
  <c r="K746" i="84"/>
  <c r="G746" i="84"/>
  <c r="T745" i="84"/>
  <c r="Q745" i="84"/>
  <c r="O745" i="84"/>
  <c r="M745" i="84"/>
  <c r="K745" i="84"/>
  <c r="G745" i="84"/>
  <c r="T744" i="84"/>
  <c r="Q744" i="84"/>
  <c r="O744" i="84"/>
  <c r="M744" i="84"/>
  <c r="K744" i="84"/>
  <c r="G744" i="84"/>
  <c r="T743" i="84"/>
  <c r="Q743" i="84"/>
  <c r="O743" i="84"/>
  <c r="M743" i="84"/>
  <c r="K743" i="84"/>
  <c r="G743" i="84"/>
  <c r="T742" i="84"/>
  <c r="Q742" i="84"/>
  <c r="O742" i="84"/>
  <c r="M742" i="84"/>
  <c r="K742" i="84"/>
  <c r="G742" i="84"/>
  <c r="T741" i="84"/>
  <c r="Q741" i="84"/>
  <c r="O741" i="84"/>
  <c r="M741" i="84"/>
  <c r="K741" i="84"/>
  <c r="G741" i="84"/>
  <c r="T740" i="84"/>
  <c r="Q740" i="84"/>
  <c r="O740" i="84"/>
  <c r="M740" i="84"/>
  <c r="K740" i="84"/>
  <c r="G740" i="84"/>
  <c r="T739" i="84"/>
  <c r="Q739" i="84"/>
  <c r="O739" i="84"/>
  <c r="M739" i="84"/>
  <c r="K739" i="84"/>
  <c r="G739" i="84"/>
  <c r="T738" i="84"/>
  <c r="Q738" i="84"/>
  <c r="O738" i="84"/>
  <c r="M738" i="84"/>
  <c r="K738" i="84"/>
  <c r="G738" i="84"/>
  <c r="T737" i="84"/>
  <c r="Q737" i="84"/>
  <c r="O737" i="84"/>
  <c r="M737" i="84"/>
  <c r="K737" i="84"/>
  <c r="T736" i="84"/>
  <c r="Q736" i="84"/>
  <c r="O736" i="84"/>
  <c r="M736" i="84"/>
  <c r="K736" i="84"/>
  <c r="T735" i="84"/>
  <c r="Q735" i="84"/>
  <c r="O735" i="84"/>
  <c r="M735" i="84"/>
  <c r="K735" i="84"/>
  <c r="T734" i="84"/>
  <c r="Q734" i="84"/>
  <c r="O734" i="84"/>
  <c r="M734" i="84"/>
  <c r="K734" i="84"/>
  <c r="T733" i="84"/>
  <c r="Q733" i="84"/>
  <c r="O733" i="84"/>
  <c r="M733" i="84"/>
  <c r="K733" i="84"/>
  <c r="T732" i="84"/>
  <c r="Q732" i="84"/>
  <c r="O732" i="84"/>
  <c r="M732" i="84"/>
  <c r="K732" i="84"/>
  <c r="T731" i="84"/>
  <c r="Q731" i="84"/>
  <c r="O731" i="84"/>
  <c r="M731" i="84"/>
  <c r="K731" i="84"/>
  <c r="T730" i="84"/>
  <c r="Q730" i="84"/>
  <c r="O730" i="84"/>
  <c r="M730" i="84"/>
  <c r="K730" i="84"/>
  <c r="T729" i="84"/>
  <c r="Q729" i="84"/>
  <c r="O729" i="84"/>
  <c r="M729" i="84"/>
  <c r="K729" i="84"/>
  <c r="T728" i="84"/>
  <c r="Q728" i="84"/>
  <c r="O728" i="84"/>
  <c r="M728" i="84"/>
  <c r="K728" i="84"/>
  <c r="T727" i="84"/>
  <c r="Q727" i="84"/>
  <c r="O727" i="84"/>
  <c r="M727" i="84"/>
  <c r="K727" i="84"/>
  <c r="T726" i="84"/>
  <c r="Q726" i="84"/>
  <c r="O726" i="84"/>
  <c r="M726" i="84"/>
  <c r="K726" i="84"/>
  <c r="T725" i="84"/>
  <c r="Q725" i="84"/>
  <c r="O725" i="84"/>
  <c r="M725" i="84"/>
  <c r="K725" i="84"/>
  <c r="T724" i="84"/>
  <c r="Q724" i="84"/>
  <c r="O724" i="84"/>
  <c r="M724" i="84"/>
  <c r="K724" i="84"/>
  <c r="T723" i="84"/>
  <c r="Q723" i="84"/>
  <c r="O723" i="84"/>
  <c r="M723" i="84"/>
  <c r="K723" i="84"/>
  <c r="T722" i="84"/>
  <c r="Q722" i="84"/>
  <c r="O722" i="84"/>
  <c r="M722" i="84"/>
  <c r="K722" i="84"/>
  <c r="T721" i="84"/>
  <c r="Q721" i="84"/>
  <c r="O721" i="84"/>
  <c r="M721" i="84"/>
  <c r="K721" i="84"/>
  <c r="T720" i="84"/>
  <c r="Q720" i="84"/>
  <c r="O720" i="84"/>
  <c r="M720" i="84"/>
  <c r="K720" i="84"/>
  <c r="T719" i="84"/>
  <c r="Q719" i="84"/>
  <c r="O719" i="84"/>
  <c r="M719" i="84"/>
  <c r="K719" i="84"/>
  <c r="T718" i="84"/>
  <c r="Q718" i="84"/>
  <c r="O718" i="84"/>
  <c r="M718" i="84"/>
  <c r="K718" i="84"/>
  <c r="T717" i="84"/>
  <c r="Q717" i="84"/>
  <c r="O717" i="84"/>
  <c r="M717" i="84"/>
  <c r="K717" i="84"/>
  <c r="T716" i="84"/>
  <c r="Q716" i="84"/>
  <c r="O716" i="84"/>
  <c r="M716" i="84"/>
  <c r="K716" i="84"/>
  <c r="T715" i="84"/>
  <c r="Q715" i="84"/>
  <c r="O715" i="84"/>
  <c r="M715" i="84"/>
  <c r="K715" i="84"/>
  <c r="T714" i="84"/>
  <c r="Q714" i="84"/>
  <c r="O714" i="84"/>
  <c r="M714" i="84"/>
  <c r="K714" i="84"/>
  <c r="T713" i="84"/>
  <c r="Q713" i="84"/>
  <c r="O713" i="84"/>
  <c r="M713" i="84"/>
  <c r="K713" i="84"/>
  <c r="T712" i="84"/>
  <c r="Q712" i="84"/>
  <c r="O712" i="84"/>
  <c r="M712" i="84"/>
  <c r="K712" i="84"/>
  <c r="T711" i="84"/>
  <c r="Q711" i="84"/>
  <c r="O711" i="84"/>
  <c r="M711" i="84"/>
  <c r="K711" i="84"/>
  <c r="T710" i="84"/>
  <c r="Q710" i="84"/>
  <c r="O710" i="84"/>
  <c r="M710" i="84"/>
  <c r="K710" i="84"/>
  <c r="T709" i="84"/>
  <c r="Q709" i="84"/>
  <c r="O709" i="84"/>
  <c r="M709" i="84"/>
  <c r="K709" i="84"/>
  <c r="T708" i="84"/>
  <c r="Q708" i="84"/>
  <c r="O708" i="84"/>
  <c r="M708" i="84"/>
  <c r="K708" i="84"/>
  <c r="T707" i="84"/>
  <c r="Q707" i="84"/>
  <c r="O707" i="84"/>
  <c r="M707" i="84"/>
  <c r="K707" i="84"/>
  <c r="T706" i="84"/>
  <c r="Q706" i="84"/>
  <c r="O706" i="84"/>
  <c r="M706" i="84"/>
  <c r="K706" i="84"/>
  <c r="T705" i="84"/>
  <c r="Q705" i="84"/>
  <c r="O705" i="84"/>
  <c r="M705" i="84"/>
  <c r="K705" i="84"/>
  <c r="T704" i="84"/>
  <c r="Q704" i="84"/>
  <c r="O704" i="84"/>
  <c r="M704" i="84"/>
  <c r="K704" i="84"/>
  <c r="T703" i="84"/>
  <c r="Q703" i="84"/>
  <c r="O703" i="84"/>
  <c r="M703" i="84"/>
  <c r="K703" i="84"/>
  <c r="T702" i="84"/>
  <c r="Q702" i="84"/>
  <c r="O702" i="84"/>
  <c r="M702" i="84"/>
  <c r="K702" i="84"/>
  <c r="T701" i="84"/>
  <c r="Q701" i="84"/>
  <c r="O701" i="84"/>
  <c r="M701" i="84"/>
  <c r="K701" i="84"/>
  <c r="T700" i="84"/>
  <c r="Q700" i="84"/>
  <c r="O700" i="84"/>
  <c r="M700" i="84"/>
  <c r="K700" i="84"/>
  <c r="T699" i="84"/>
  <c r="Q699" i="84"/>
  <c r="O699" i="84"/>
  <c r="M699" i="84"/>
  <c r="K699" i="84"/>
  <c r="T698" i="84"/>
  <c r="Q698" i="84"/>
  <c r="O698" i="84"/>
  <c r="M698" i="84"/>
  <c r="K698" i="84"/>
  <c r="T697" i="84"/>
  <c r="Q697" i="84"/>
  <c r="O697" i="84"/>
  <c r="M697" i="84"/>
  <c r="K697" i="84"/>
  <c r="T696" i="84"/>
  <c r="Q696" i="84"/>
  <c r="O696" i="84"/>
  <c r="M696" i="84"/>
  <c r="K696" i="84"/>
  <c r="T695" i="84"/>
  <c r="Q695" i="84"/>
  <c r="O695" i="84"/>
  <c r="M695" i="84"/>
  <c r="K695" i="84"/>
  <c r="T694" i="84"/>
  <c r="Q694" i="84"/>
  <c r="O694" i="84"/>
  <c r="M694" i="84"/>
  <c r="K694" i="84"/>
  <c r="T693" i="84"/>
  <c r="Q693" i="84"/>
  <c r="O693" i="84"/>
  <c r="M693" i="84"/>
  <c r="K693" i="84"/>
  <c r="T692" i="84"/>
  <c r="Q692" i="84"/>
  <c r="O692" i="84"/>
  <c r="M692" i="84"/>
  <c r="K692" i="84"/>
  <c r="T691" i="84"/>
  <c r="Q691" i="84"/>
  <c r="O691" i="84"/>
  <c r="M691" i="84"/>
  <c r="K691" i="84"/>
  <c r="T690" i="84"/>
  <c r="Q690" i="84"/>
  <c r="O690" i="84"/>
  <c r="M690" i="84"/>
  <c r="K690" i="84"/>
  <c r="T689" i="84"/>
  <c r="Q689" i="84"/>
  <c r="O689" i="84"/>
  <c r="M689" i="84"/>
  <c r="K689" i="84"/>
  <c r="T688" i="84"/>
  <c r="Q688" i="84"/>
  <c r="O688" i="84"/>
  <c r="M688" i="84"/>
  <c r="K688" i="84"/>
  <c r="T687" i="84"/>
  <c r="Q687" i="84"/>
  <c r="O687" i="84"/>
  <c r="M687" i="84"/>
  <c r="K687" i="84"/>
  <c r="T686" i="84"/>
  <c r="Q686" i="84"/>
  <c r="O686" i="84"/>
  <c r="M686" i="84"/>
  <c r="K686" i="84"/>
  <c r="T685" i="84"/>
  <c r="Q685" i="84"/>
  <c r="O685" i="84"/>
  <c r="M685" i="84"/>
  <c r="K685" i="84"/>
  <c r="T684" i="84"/>
  <c r="Q684" i="84"/>
  <c r="O684" i="84"/>
  <c r="M684" i="84"/>
  <c r="K684" i="84"/>
  <c r="T683" i="84"/>
  <c r="Q683" i="84"/>
  <c r="O683" i="84"/>
  <c r="M683" i="84"/>
  <c r="K683" i="84"/>
  <c r="T682" i="84"/>
  <c r="Q682" i="84"/>
  <c r="O682" i="84"/>
  <c r="M682" i="84"/>
  <c r="K682" i="84"/>
  <c r="T681" i="84"/>
  <c r="Q681" i="84"/>
  <c r="O681" i="84"/>
  <c r="M681" i="84"/>
  <c r="K681" i="84"/>
  <c r="T680" i="84"/>
  <c r="Q680" i="84"/>
  <c r="O680" i="84"/>
  <c r="M680" i="84"/>
  <c r="K680" i="84"/>
  <c r="T679" i="84"/>
  <c r="Q679" i="84"/>
  <c r="O679" i="84"/>
  <c r="M679" i="84"/>
  <c r="K679" i="84"/>
  <c r="T678" i="84"/>
  <c r="Q678" i="84"/>
  <c r="O678" i="84"/>
  <c r="M678" i="84"/>
  <c r="K678" i="84"/>
  <c r="T677" i="84"/>
  <c r="Q677" i="84"/>
  <c r="O677" i="84"/>
  <c r="M677" i="84"/>
  <c r="K677" i="84"/>
  <c r="T676" i="84"/>
  <c r="Q676" i="84"/>
  <c r="O676" i="84"/>
  <c r="M676" i="84"/>
  <c r="K676" i="84"/>
  <c r="T675" i="84"/>
  <c r="Q675" i="84"/>
  <c r="O675" i="84"/>
  <c r="M675" i="84"/>
  <c r="K675" i="84"/>
  <c r="T674" i="84"/>
  <c r="Q674" i="84"/>
  <c r="O674" i="84"/>
  <c r="M674" i="84"/>
  <c r="K674" i="84"/>
  <c r="T673" i="84"/>
  <c r="Q673" i="84"/>
  <c r="O673" i="84"/>
  <c r="M673" i="84"/>
  <c r="K673" i="84"/>
  <c r="T672" i="84"/>
  <c r="Q672" i="84"/>
  <c r="O672" i="84"/>
  <c r="M672" i="84"/>
  <c r="K672" i="84"/>
  <c r="T671" i="84"/>
  <c r="Q671" i="84"/>
  <c r="O671" i="84"/>
  <c r="M671" i="84"/>
  <c r="K671" i="84"/>
  <c r="T670" i="84"/>
  <c r="Q670" i="84"/>
  <c r="O670" i="84"/>
  <c r="M670" i="84"/>
  <c r="K670" i="84"/>
  <c r="T669" i="84"/>
  <c r="Q669" i="84"/>
  <c r="O669" i="84"/>
  <c r="M669" i="84"/>
  <c r="K669" i="84"/>
  <c r="T668" i="84"/>
  <c r="Q668" i="84"/>
  <c r="O668" i="84"/>
  <c r="M668" i="84"/>
  <c r="K668" i="84"/>
  <c r="T667" i="84"/>
  <c r="Q667" i="84"/>
  <c r="O667" i="84"/>
  <c r="M667" i="84"/>
  <c r="K667" i="84"/>
  <c r="T666" i="84"/>
  <c r="Q666" i="84"/>
  <c r="O666" i="84"/>
  <c r="M666" i="84"/>
  <c r="K666" i="84"/>
  <c r="T665" i="84"/>
  <c r="Q665" i="84"/>
  <c r="O665" i="84"/>
  <c r="M665" i="84"/>
  <c r="K665" i="84"/>
  <c r="T664" i="84"/>
  <c r="Q664" i="84"/>
  <c r="O664" i="84"/>
  <c r="M664" i="84"/>
  <c r="K664" i="84"/>
  <c r="T663" i="84"/>
  <c r="Q663" i="84"/>
  <c r="O663" i="84"/>
  <c r="M663" i="84"/>
  <c r="K663" i="84"/>
  <c r="T662" i="84"/>
  <c r="Q662" i="84"/>
  <c r="O662" i="84"/>
  <c r="M662" i="84"/>
  <c r="K662" i="84"/>
  <c r="T661" i="84"/>
  <c r="Q661" i="84"/>
  <c r="O661" i="84"/>
  <c r="M661" i="84"/>
  <c r="K661" i="84"/>
  <c r="T660" i="84"/>
  <c r="Q660" i="84"/>
  <c r="O660" i="84"/>
  <c r="M660" i="84"/>
  <c r="K660" i="84"/>
  <c r="T659" i="84"/>
  <c r="Q659" i="84"/>
  <c r="O659" i="84"/>
  <c r="M659" i="84"/>
  <c r="K659" i="84"/>
  <c r="T658" i="84"/>
  <c r="Q658" i="84"/>
  <c r="O658" i="84"/>
  <c r="M658" i="84"/>
  <c r="K658" i="84"/>
  <c r="T657" i="84"/>
  <c r="Q657" i="84"/>
  <c r="O657" i="84"/>
  <c r="M657" i="84"/>
  <c r="K657" i="84"/>
  <c r="T656" i="84"/>
  <c r="Q656" i="84"/>
  <c r="O656" i="84"/>
  <c r="M656" i="84"/>
  <c r="K656" i="84"/>
  <c r="T655" i="84"/>
  <c r="Q655" i="84"/>
  <c r="O655" i="84"/>
  <c r="M655" i="84"/>
  <c r="K655" i="84"/>
  <c r="T654" i="84"/>
  <c r="Q654" i="84"/>
  <c r="O654" i="84"/>
  <c r="M654" i="84"/>
  <c r="K654" i="84"/>
  <c r="T653" i="84"/>
  <c r="Q653" i="84"/>
  <c r="O653" i="84"/>
  <c r="M653" i="84"/>
  <c r="K653" i="84"/>
  <c r="T652" i="84"/>
  <c r="Q652" i="84"/>
  <c r="O652" i="84"/>
  <c r="M652" i="84"/>
  <c r="K652" i="84"/>
  <c r="T651" i="84"/>
  <c r="Q651" i="84"/>
  <c r="O651" i="84"/>
  <c r="M651" i="84"/>
  <c r="K651" i="84"/>
  <c r="T650" i="84"/>
  <c r="Q650" i="84"/>
  <c r="O650" i="84"/>
  <c r="M650" i="84"/>
  <c r="K650" i="84"/>
  <c r="T649" i="84"/>
  <c r="Q649" i="84"/>
  <c r="O649" i="84"/>
  <c r="M649" i="84"/>
  <c r="K649" i="84"/>
  <c r="T648" i="84"/>
  <c r="Q648" i="84"/>
  <c r="O648" i="84"/>
  <c r="M648" i="84"/>
  <c r="K648" i="84"/>
  <c r="T647" i="84"/>
  <c r="Q647" i="84"/>
  <c r="O647" i="84"/>
  <c r="M647" i="84"/>
  <c r="K647" i="84"/>
  <c r="T646" i="84"/>
  <c r="Q646" i="84"/>
  <c r="O646" i="84"/>
  <c r="M646" i="84"/>
  <c r="K646" i="84"/>
  <c r="T645" i="84"/>
  <c r="Q645" i="84"/>
  <c r="O645" i="84"/>
  <c r="M645" i="84"/>
  <c r="K645" i="84"/>
  <c r="T644" i="84"/>
  <c r="Q644" i="84"/>
  <c r="O644" i="84"/>
  <c r="M644" i="84"/>
  <c r="K644" i="84"/>
  <c r="T643" i="84"/>
  <c r="Q643" i="84"/>
  <c r="O643" i="84"/>
  <c r="M643" i="84"/>
  <c r="K643" i="84"/>
  <c r="T642" i="84"/>
  <c r="Q642" i="84"/>
  <c r="O642" i="84"/>
  <c r="M642" i="84"/>
  <c r="K642" i="84"/>
  <c r="T641" i="84"/>
  <c r="Q641" i="84"/>
  <c r="O641" i="84"/>
  <c r="M641" i="84"/>
  <c r="K641" i="84"/>
  <c r="T640" i="84"/>
  <c r="Q640" i="84"/>
  <c r="O640" i="84"/>
  <c r="M640" i="84"/>
  <c r="K640" i="84"/>
  <c r="T639" i="84"/>
  <c r="Q639" i="84"/>
  <c r="O639" i="84"/>
  <c r="M639" i="84"/>
  <c r="K639" i="84"/>
  <c r="T638" i="84"/>
  <c r="Q638" i="84"/>
  <c r="O638" i="84"/>
  <c r="M638" i="84"/>
  <c r="K638" i="84"/>
  <c r="T637" i="84"/>
  <c r="Q637" i="84"/>
  <c r="O637" i="84"/>
  <c r="M637" i="84"/>
  <c r="K637" i="84"/>
  <c r="T636" i="84"/>
  <c r="Q636" i="84"/>
  <c r="O636" i="84"/>
  <c r="M636" i="84"/>
  <c r="K636" i="84"/>
  <c r="T635" i="84"/>
  <c r="Q635" i="84"/>
  <c r="O635" i="84"/>
  <c r="M635" i="84"/>
  <c r="K635" i="84"/>
  <c r="T634" i="84"/>
  <c r="Q634" i="84"/>
  <c r="O634" i="84"/>
  <c r="M634" i="84"/>
  <c r="K634" i="84"/>
  <c r="T633" i="84"/>
  <c r="Q633" i="84"/>
  <c r="O633" i="84"/>
  <c r="M633" i="84"/>
  <c r="K633" i="84"/>
  <c r="T632" i="84"/>
  <c r="Q632" i="84"/>
  <c r="O632" i="84"/>
  <c r="M632" i="84"/>
  <c r="K632" i="84"/>
  <c r="T631" i="84"/>
  <c r="Q631" i="84"/>
  <c r="O631" i="84"/>
  <c r="M631" i="84"/>
  <c r="K631" i="84"/>
  <c r="T630" i="84"/>
  <c r="Q630" i="84"/>
  <c r="O630" i="84"/>
  <c r="M630" i="84"/>
  <c r="K630" i="84"/>
  <c r="T629" i="84"/>
  <c r="Q629" i="84"/>
  <c r="O629" i="84"/>
  <c r="M629" i="84"/>
  <c r="K629" i="84"/>
  <c r="T628" i="84"/>
  <c r="Q628" i="84"/>
  <c r="O628" i="84"/>
  <c r="M628" i="84"/>
  <c r="K628" i="84"/>
  <c r="T627" i="84"/>
  <c r="Q627" i="84"/>
  <c r="O627" i="84"/>
  <c r="M627" i="84"/>
  <c r="K627" i="84"/>
  <c r="T626" i="84"/>
  <c r="Q626" i="84"/>
  <c r="O626" i="84"/>
  <c r="M626" i="84"/>
  <c r="K626" i="84"/>
  <c r="T625" i="84"/>
  <c r="Q625" i="84"/>
  <c r="O625" i="84"/>
  <c r="M625" i="84"/>
  <c r="K625" i="84"/>
  <c r="T624" i="84"/>
  <c r="Q624" i="84"/>
  <c r="O624" i="84"/>
  <c r="M624" i="84"/>
  <c r="K624" i="84"/>
  <c r="T623" i="84"/>
  <c r="Q623" i="84"/>
  <c r="O623" i="84"/>
  <c r="M623" i="84"/>
  <c r="K623" i="84"/>
  <c r="T622" i="84"/>
  <c r="Q622" i="84"/>
  <c r="O622" i="84"/>
  <c r="M622" i="84"/>
  <c r="K622" i="84"/>
  <c r="T621" i="84"/>
  <c r="Q621" i="84"/>
  <c r="O621" i="84"/>
  <c r="M621" i="84"/>
  <c r="K621" i="84"/>
  <c r="T620" i="84"/>
  <c r="Q620" i="84"/>
  <c r="O620" i="84"/>
  <c r="M620" i="84"/>
  <c r="K620" i="84"/>
  <c r="T619" i="84"/>
  <c r="Q619" i="84"/>
  <c r="O619" i="84"/>
  <c r="M619" i="84"/>
  <c r="K619" i="84"/>
  <c r="T618" i="84"/>
  <c r="Q618" i="84"/>
  <c r="O618" i="84"/>
  <c r="M618" i="84"/>
  <c r="K618" i="84"/>
  <c r="T617" i="84"/>
  <c r="Q617" i="84"/>
  <c r="O617" i="84"/>
  <c r="M617" i="84"/>
  <c r="K617" i="84"/>
  <c r="T616" i="84"/>
  <c r="Q616" i="84"/>
  <c r="O616" i="84"/>
  <c r="M616" i="84"/>
  <c r="K616" i="84"/>
  <c r="T615" i="84"/>
  <c r="Q615" i="84"/>
  <c r="O615" i="84"/>
  <c r="M615" i="84"/>
  <c r="K615" i="84"/>
  <c r="T614" i="84"/>
  <c r="Q614" i="84"/>
  <c r="O614" i="84"/>
  <c r="M614" i="84"/>
  <c r="K614" i="84"/>
  <c r="T613" i="84"/>
  <c r="Q613" i="84"/>
  <c r="O613" i="84"/>
  <c r="M613" i="84"/>
  <c r="K613" i="84"/>
  <c r="T612" i="84"/>
  <c r="Q612" i="84"/>
  <c r="O612" i="84"/>
  <c r="M612" i="84"/>
  <c r="K612" i="84"/>
  <c r="T611" i="84"/>
  <c r="Q611" i="84"/>
  <c r="O611" i="84"/>
  <c r="M611" i="84"/>
  <c r="K611" i="84"/>
  <c r="T610" i="84"/>
  <c r="Q610" i="84"/>
  <c r="O610" i="84"/>
  <c r="M610" i="84"/>
  <c r="K610" i="84"/>
  <c r="T609" i="84"/>
  <c r="Q609" i="84"/>
  <c r="O609" i="84"/>
  <c r="M609" i="84"/>
  <c r="K609" i="84"/>
  <c r="T608" i="84"/>
  <c r="Q608" i="84"/>
  <c r="O608" i="84"/>
  <c r="M608" i="84"/>
  <c r="K608" i="84"/>
  <c r="T607" i="84"/>
  <c r="Q607" i="84"/>
  <c r="O607" i="84"/>
  <c r="M607" i="84"/>
  <c r="K607" i="84"/>
  <c r="T606" i="84"/>
  <c r="Q606" i="84"/>
  <c r="O606" i="84"/>
  <c r="M606" i="84"/>
  <c r="K606" i="84"/>
  <c r="T605" i="84"/>
  <c r="Q605" i="84"/>
  <c r="O605" i="84"/>
  <c r="M605" i="84"/>
  <c r="K605" i="84"/>
  <c r="T604" i="84"/>
  <c r="Q604" i="84"/>
  <c r="O604" i="84"/>
  <c r="M604" i="84"/>
  <c r="K604" i="84"/>
  <c r="T603" i="84"/>
  <c r="Q603" i="84"/>
  <c r="O603" i="84"/>
  <c r="M603" i="84"/>
  <c r="K603" i="84"/>
  <c r="T602" i="84"/>
  <c r="Q602" i="84"/>
  <c r="O602" i="84"/>
  <c r="M602" i="84"/>
  <c r="K602" i="84"/>
  <c r="T601" i="84"/>
  <c r="Q601" i="84"/>
  <c r="O601" i="84"/>
  <c r="M601" i="84"/>
  <c r="K601" i="84"/>
  <c r="T600" i="84"/>
  <c r="Q600" i="84"/>
  <c r="O600" i="84"/>
  <c r="M600" i="84"/>
  <c r="K600" i="84"/>
  <c r="T599" i="84"/>
  <c r="Q599" i="84"/>
  <c r="O599" i="84"/>
  <c r="M599" i="84"/>
  <c r="K599" i="84"/>
  <c r="T598" i="84"/>
  <c r="Q598" i="84"/>
  <c r="O598" i="84"/>
  <c r="M598" i="84"/>
  <c r="K598" i="84"/>
  <c r="T597" i="84"/>
  <c r="Q597" i="84"/>
  <c r="O597" i="84"/>
  <c r="M597" i="84"/>
  <c r="K597" i="84"/>
  <c r="T596" i="84"/>
  <c r="Q596" i="84"/>
  <c r="O596" i="84"/>
  <c r="M596" i="84"/>
  <c r="K596" i="84"/>
  <c r="T595" i="84"/>
  <c r="Q595" i="84"/>
  <c r="O595" i="84"/>
  <c r="M595" i="84"/>
  <c r="K595" i="84"/>
  <c r="T594" i="84"/>
  <c r="Q594" i="84"/>
  <c r="O594" i="84"/>
  <c r="M594" i="84"/>
  <c r="K594" i="84"/>
  <c r="T593" i="84"/>
  <c r="Q593" i="84"/>
  <c r="O593" i="84"/>
  <c r="M593" i="84"/>
  <c r="K593" i="84"/>
  <c r="T592" i="84"/>
  <c r="Q592" i="84"/>
  <c r="O592" i="84"/>
  <c r="M592" i="84"/>
  <c r="K592" i="84"/>
  <c r="T591" i="84"/>
  <c r="Q591" i="84"/>
  <c r="O591" i="84"/>
  <c r="M591" i="84"/>
  <c r="K591" i="84"/>
  <c r="T590" i="84"/>
  <c r="Q590" i="84"/>
  <c r="O590" i="84"/>
  <c r="M590" i="84"/>
  <c r="K590" i="84"/>
  <c r="T589" i="84"/>
  <c r="Q589" i="84"/>
  <c r="O589" i="84"/>
  <c r="M589" i="84"/>
  <c r="K589" i="84"/>
  <c r="T588" i="84"/>
  <c r="Q588" i="84"/>
  <c r="O588" i="84"/>
  <c r="M588" i="84"/>
  <c r="K588" i="84"/>
  <c r="T587" i="84"/>
  <c r="Q587" i="84"/>
  <c r="O587" i="84"/>
  <c r="M587" i="84"/>
  <c r="K587" i="84"/>
  <c r="T586" i="84"/>
  <c r="Q586" i="84"/>
  <c r="O586" i="84"/>
  <c r="M586" i="84"/>
  <c r="K586" i="84"/>
  <c r="T585" i="84"/>
  <c r="Q585" i="84"/>
  <c r="O585" i="84"/>
  <c r="M585" i="84"/>
  <c r="K585" i="84"/>
  <c r="T584" i="84"/>
  <c r="Q584" i="84"/>
  <c r="O584" i="84"/>
  <c r="M584" i="84"/>
  <c r="K584" i="84"/>
  <c r="T583" i="84"/>
  <c r="Q583" i="84"/>
  <c r="O583" i="84"/>
  <c r="M583" i="84"/>
  <c r="K583" i="84"/>
  <c r="T582" i="84"/>
  <c r="Q582" i="84"/>
  <c r="O582" i="84"/>
  <c r="M582" i="84"/>
  <c r="K582" i="84"/>
  <c r="T581" i="84"/>
  <c r="Q581" i="84"/>
  <c r="O581" i="84"/>
  <c r="M581" i="84"/>
  <c r="K581" i="84"/>
  <c r="T580" i="84"/>
  <c r="Q580" i="84"/>
  <c r="O580" i="84"/>
  <c r="M580" i="84"/>
  <c r="K580" i="84"/>
  <c r="T579" i="84"/>
  <c r="Q579" i="84"/>
  <c r="O579" i="84"/>
  <c r="M579" i="84"/>
  <c r="K579" i="84"/>
  <c r="T578" i="84"/>
  <c r="Q578" i="84"/>
  <c r="O578" i="84"/>
  <c r="M578" i="84"/>
  <c r="K578" i="84"/>
  <c r="T577" i="84"/>
  <c r="Q577" i="84"/>
  <c r="O577" i="84"/>
  <c r="M577" i="84"/>
  <c r="K577" i="84"/>
  <c r="T576" i="84"/>
  <c r="Q576" i="84"/>
  <c r="O576" i="84"/>
  <c r="M576" i="84"/>
  <c r="K576" i="84"/>
  <c r="T575" i="84"/>
  <c r="Q575" i="84"/>
  <c r="O575" i="84"/>
  <c r="M575" i="84"/>
  <c r="K575" i="84"/>
  <c r="T574" i="84"/>
  <c r="Q574" i="84"/>
  <c r="O574" i="84"/>
  <c r="M574" i="84"/>
  <c r="K574" i="84"/>
  <c r="T573" i="84"/>
  <c r="Q573" i="84"/>
  <c r="O573" i="84"/>
  <c r="M573" i="84"/>
  <c r="K573" i="84"/>
  <c r="T572" i="84"/>
  <c r="Q572" i="84"/>
  <c r="O572" i="84"/>
  <c r="M572" i="84"/>
  <c r="K572" i="84"/>
  <c r="T571" i="84"/>
  <c r="Q571" i="84"/>
  <c r="O571" i="84"/>
  <c r="M571" i="84"/>
  <c r="K571" i="84"/>
  <c r="T570" i="84"/>
  <c r="Q570" i="84"/>
  <c r="O570" i="84"/>
  <c r="M570" i="84"/>
  <c r="K570" i="84"/>
  <c r="T569" i="84"/>
  <c r="Q569" i="84"/>
  <c r="O569" i="84"/>
  <c r="M569" i="84"/>
  <c r="K569" i="84"/>
  <c r="T568" i="84"/>
  <c r="Q568" i="84"/>
  <c r="O568" i="84"/>
  <c r="M568" i="84"/>
  <c r="K568" i="84"/>
  <c r="T567" i="84"/>
  <c r="Q567" i="84"/>
  <c r="O567" i="84"/>
  <c r="M567" i="84"/>
  <c r="K567" i="84"/>
  <c r="T566" i="84"/>
  <c r="Q566" i="84"/>
  <c r="O566" i="84"/>
  <c r="M566" i="84"/>
  <c r="K566" i="84"/>
  <c r="T565" i="84"/>
  <c r="Q565" i="84"/>
  <c r="O565" i="84"/>
  <c r="M565" i="84"/>
  <c r="K565" i="84"/>
  <c r="T564" i="84"/>
  <c r="Q564" i="84"/>
  <c r="O564" i="84"/>
  <c r="M564" i="84"/>
  <c r="K564" i="84"/>
  <c r="T563" i="84"/>
  <c r="Q563" i="84"/>
  <c r="O563" i="84"/>
  <c r="M563" i="84"/>
  <c r="K563" i="84"/>
  <c r="T562" i="84"/>
  <c r="Q562" i="84"/>
  <c r="O562" i="84"/>
  <c r="M562" i="84"/>
  <c r="K562" i="84"/>
  <c r="T561" i="84"/>
  <c r="Q561" i="84"/>
  <c r="O561" i="84"/>
  <c r="M561" i="84"/>
  <c r="K561" i="84"/>
  <c r="T560" i="84"/>
  <c r="Q560" i="84"/>
  <c r="O560" i="84"/>
  <c r="M560" i="84"/>
  <c r="K560" i="84"/>
  <c r="T559" i="84"/>
  <c r="Q559" i="84"/>
  <c r="O559" i="84"/>
  <c r="M559" i="84"/>
  <c r="K559" i="84"/>
  <c r="T558" i="84"/>
  <c r="Q558" i="84"/>
  <c r="O558" i="84"/>
  <c r="M558" i="84"/>
  <c r="K558" i="84"/>
  <c r="T557" i="84"/>
  <c r="Q557" i="84"/>
  <c r="O557" i="84"/>
  <c r="M557" i="84"/>
  <c r="K557" i="84"/>
  <c r="T556" i="84"/>
  <c r="Q556" i="84"/>
  <c r="O556" i="84"/>
  <c r="M556" i="84"/>
  <c r="K556" i="84"/>
  <c r="T555" i="84"/>
  <c r="Q555" i="84"/>
  <c r="O555" i="84"/>
  <c r="M555" i="84"/>
  <c r="K555" i="84"/>
  <c r="T554" i="84"/>
  <c r="Q554" i="84"/>
  <c r="O554" i="84"/>
  <c r="M554" i="84"/>
  <c r="K554" i="84"/>
  <c r="T553" i="84"/>
  <c r="Q553" i="84"/>
  <c r="O553" i="84"/>
  <c r="M553" i="84"/>
  <c r="K553" i="84"/>
  <c r="T552" i="84"/>
  <c r="Q552" i="84"/>
  <c r="O552" i="84"/>
  <c r="M552" i="84"/>
  <c r="K552" i="84"/>
  <c r="T551" i="84"/>
  <c r="Q551" i="84"/>
  <c r="O551" i="84"/>
  <c r="M551" i="84"/>
  <c r="K551" i="84"/>
  <c r="T550" i="84"/>
  <c r="Q550" i="84"/>
  <c r="O550" i="84"/>
  <c r="M550" i="84"/>
  <c r="K550" i="84"/>
  <c r="T549" i="84"/>
  <c r="Q549" i="84"/>
  <c r="O549" i="84"/>
  <c r="M549" i="84"/>
  <c r="K549" i="84"/>
  <c r="T548" i="84"/>
  <c r="Q548" i="84"/>
  <c r="O548" i="84"/>
  <c r="M548" i="84"/>
  <c r="K548" i="84"/>
  <c r="T547" i="84"/>
  <c r="Q547" i="84"/>
  <c r="O547" i="84"/>
  <c r="M547" i="84"/>
  <c r="K547" i="84"/>
  <c r="T546" i="84"/>
  <c r="Q546" i="84"/>
  <c r="O546" i="84"/>
  <c r="M546" i="84"/>
  <c r="K546" i="84"/>
  <c r="T545" i="84"/>
  <c r="Q545" i="84"/>
  <c r="O545" i="84"/>
  <c r="M545" i="84"/>
  <c r="K545" i="84"/>
  <c r="T544" i="84"/>
  <c r="Q544" i="84"/>
  <c r="O544" i="84"/>
  <c r="M544" i="84"/>
  <c r="K544" i="84"/>
  <c r="T543" i="84"/>
  <c r="Q543" i="84"/>
  <c r="O543" i="84"/>
  <c r="M543" i="84"/>
  <c r="K543" i="84"/>
  <c r="T542" i="84"/>
  <c r="Q542" i="84"/>
  <c r="O542" i="84"/>
  <c r="M542" i="84"/>
  <c r="K542" i="84"/>
  <c r="T541" i="84"/>
  <c r="Q541" i="84"/>
  <c r="O541" i="84"/>
  <c r="M541" i="84"/>
  <c r="K541" i="84"/>
  <c r="T540" i="84"/>
  <c r="Q540" i="84"/>
  <c r="O540" i="84"/>
  <c r="M540" i="84"/>
  <c r="K540" i="84"/>
  <c r="T539" i="84"/>
  <c r="Q539" i="84"/>
  <c r="O539" i="84"/>
  <c r="M539" i="84"/>
  <c r="K539" i="84"/>
  <c r="T538" i="84"/>
  <c r="Q538" i="84"/>
  <c r="O538" i="84"/>
  <c r="M538" i="84"/>
  <c r="K538" i="84"/>
  <c r="T537" i="84"/>
  <c r="Q537" i="84"/>
  <c r="O537" i="84"/>
  <c r="M537" i="84"/>
  <c r="K537" i="84"/>
  <c r="T536" i="84"/>
  <c r="Q536" i="84"/>
  <c r="O536" i="84"/>
  <c r="M536" i="84"/>
  <c r="K536" i="84"/>
  <c r="T535" i="84"/>
  <c r="Q535" i="84"/>
  <c r="O535" i="84"/>
  <c r="M535" i="84"/>
  <c r="K535" i="84"/>
  <c r="T534" i="84"/>
  <c r="Q534" i="84"/>
  <c r="O534" i="84"/>
  <c r="M534" i="84"/>
  <c r="K534" i="84"/>
  <c r="T533" i="84"/>
  <c r="Q533" i="84"/>
  <c r="O533" i="84"/>
  <c r="M533" i="84"/>
  <c r="K533" i="84"/>
  <c r="T532" i="84"/>
  <c r="Q532" i="84"/>
  <c r="O532" i="84"/>
  <c r="M532" i="84"/>
  <c r="K532" i="84"/>
  <c r="T531" i="84"/>
  <c r="Q531" i="84"/>
  <c r="O531" i="84"/>
  <c r="M531" i="84"/>
  <c r="K531" i="84"/>
  <c r="T530" i="84"/>
  <c r="Q530" i="84"/>
  <c r="O530" i="84"/>
  <c r="M530" i="84"/>
  <c r="K530" i="84"/>
  <c r="T529" i="84"/>
  <c r="Q529" i="84"/>
  <c r="O529" i="84"/>
  <c r="M529" i="84"/>
  <c r="K529" i="84"/>
  <c r="T528" i="84"/>
  <c r="Q528" i="84"/>
  <c r="O528" i="84"/>
  <c r="M528" i="84"/>
  <c r="K528" i="84"/>
  <c r="T527" i="84"/>
  <c r="Q527" i="84"/>
  <c r="O527" i="84"/>
  <c r="M527" i="84"/>
  <c r="K527" i="84"/>
  <c r="T526" i="84"/>
  <c r="Q526" i="84"/>
  <c r="O526" i="84"/>
  <c r="M526" i="84"/>
  <c r="K526" i="84"/>
  <c r="T525" i="84"/>
  <c r="Q525" i="84"/>
  <c r="O525" i="84"/>
  <c r="M525" i="84"/>
  <c r="K525" i="84"/>
  <c r="T524" i="84"/>
  <c r="Q524" i="84"/>
  <c r="O524" i="84"/>
  <c r="M524" i="84"/>
  <c r="K524" i="84"/>
  <c r="T523" i="84"/>
  <c r="Q523" i="84"/>
  <c r="O523" i="84"/>
  <c r="M523" i="84"/>
  <c r="K523" i="84"/>
  <c r="T522" i="84"/>
  <c r="Q522" i="84"/>
  <c r="O522" i="84"/>
  <c r="M522" i="84"/>
  <c r="K522" i="84"/>
  <c r="T521" i="84"/>
  <c r="Q521" i="84"/>
  <c r="O521" i="84"/>
  <c r="M521" i="84"/>
  <c r="K521" i="84"/>
  <c r="T520" i="84"/>
  <c r="Q520" i="84"/>
  <c r="O520" i="84"/>
  <c r="M520" i="84"/>
  <c r="K520" i="84"/>
  <c r="T519" i="84"/>
  <c r="Q519" i="84"/>
  <c r="O519" i="84"/>
  <c r="M519" i="84"/>
  <c r="K519" i="84"/>
  <c r="T518" i="84"/>
  <c r="Q518" i="84"/>
  <c r="O518" i="84"/>
  <c r="M518" i="84"/>
  <c r="K518" i="84"/>
  <c r="T517" i="84"/>
  <c r="Q517" i="84"/>
  <c r="O517" i="84"/>
  <c r="M517" i="84"/>
  <c r="K517" i="84"/>
  <c r="T516" i="84"/>
  <c r="Q516" i="84"/>
  <c r="O516" i="84"/>
  <c r="M516" i="84"/>
  <c r="K516" i="84"/>
  <c r="T515" i="84"/>
  <c r="Q515" i="84"/>
  <c r="O515" i="84"/>
  <c r="M515" i="84"/>
  <c r="K515" i="84"/>
  <c r="T514" i="84"/>
  <c r="Q514" i="84"/>
  <c r="O514" i="84"/>
  <c r="M514" i="84"/>
  <c r="K514" i="84"/>
  <c r="T513" i="84"/>
  <c r="Q513" i="84"/>
  <c r="O513" i="84"/>
  <c r="M513" i="84"/>
  <c r="K513" i="84"/>
  <c r="T512" i="84"/>
  <c r="Q512" i="84"/>
  <c r="O512" i="84"/>
  <c r="M512" i="84"/>
  <c r="K512" i="84"/>
  <c r="T511" i="84"/>
  <c r="Q511" i="84"/>
  <c r="O511" i="84"/>
  <c r="M511" i="84"/>
  <c r="K511" i="84"/>
  <c r="T510" i="84"/>
  <c r="Q510" i="84"/>
  <c r="O510" i="84"/>
  <c r="M510" i="84"/>
  <c r="K510" i="84"/>
  <c r="T509" i="84"/>
  <c r="Q509" i="84"/>
  <c r="O509" i="84"/>
  <c r="M509" i="84"/>
  <c r="K509" i="84"/>
  <c r="T508" i="84"/>
  <c r="Q508" i="84"/>
  <c r="O508" i="84"/>
  <c r="M508" i="84"/>
  <c r="K508" i="84"/>
  <c r="T507" i="84"/>
  <c r="Q507" i="84"/>
  <c r="O507" i="84"/>
  <c r="M507" i="84"/>
  <c r="K507" i="84"/>
  <c r="T506" i="84"/>
  <c r="Q506" i="84"/>
  <c r="O506" i="84"/>
  <c r="M506" i="84"/>
  <c r="K506" i="84"/>
  <c r="T505" i="84"/>
  <c r="Q505" i="84"/>
  <c r="O505" i="84"/>
  <c r="M505" i="84"/>
  <c r="K505" i="84"/>
  <c r="T504" i="84"/>
  <c r="Q504" i="84"/>
  <c r="O504" i="84"/>
  <c r="M504" i="84"/>
  <c r="K504" i="84"/>
  <c r="T503" i="84"/>
  <c r="Q503" i="84"/>
  <c r="O503" i="84"/>
  <c r="M503" i="84"/>
  <c r="K503" i="84"/>
  <c r="T502" i="84"/>
  <c r="Q502" i="84"/>
  <c r="O502" i="84"/>
  <c r="M502" i="84"/>
  <c r="K502" i="84"/>
  <c r="T501" i="84"/>
  <c r="Q501" i="84"/>
  <c r="O501" i="84"/>
  <c r="M501" i="84"/>
  <c r="K501" i="84"/>
  <c r="T500" i="84"/>
  <c r="Q500" i="84"/>
  <c r="O500" i="84"/>
  <c r="M500" i="84"/>
  <c r="K500" i="84"/>
  <c r="T499" i="84"/>
  <c r="Q499" i="84"/>
  <c r="O499" i="84"/>
  <c r="M499" i="84"/>
  <c r="K499" i="84"/>
  <c r="T498" i="84"/>
  <c r="Q498" i="84"/>
  <c r="O498" i="84"/>
  <c r="M498" i="84"/>
  <c r="K498" i="84"/>
  <c r="T497" i="84"/>
  <c r="Q497" i="84"/>
  <c r="O497" i="84"/>
  <c r="M497" i="84"/>
  <c r="K497" i="84"/>
  <c r="T496" i="84"/>
  <c r="Q496" i="84"/>
  <c r="O496" i="84"/>
  <c r="M496" i="84"/>
  <c r="K496" i="84"/>
  <c r="T495" i="84"/>
  <c r="Q495" i="84"/>
  <c r="O495" i="84"/>
  <c r="M495" i="84"/>
  <c r="K495" i="84"/>
  <c r="T494" i="84"/>
  <c r="Q494" i="84"/>
  <c r="O494" i="84"/>
  <c r="M494" i="84"/>
  <c r="K494" i="84"/>
  <c r="T493" i="84"/>
  <c r="Q493" i="84"/>
  <c r="O493" i="84"/>
  <c r="M493" i="84"/>
  <c r="K493" i="84"/>
  <c r="T492" i="84"/>
  <c r="Q492" i="84"/>
  <c r="O492" i="84"/>
  <c r="M492" i="84"/>
  <c r="K492" i="84"/>
  <c r="T491" i="84"/>
  <c r="Q491" i="84"/>
  <c r="O491" i="84"/>
  <c r="M491" i="84"/>
  <c r="K491" i="84"/>
  <c r="T490" i="84"/>
  <c r="Q490" i="84"/>
  <c r="O490" i="84"/>
  <c r="M490" i="84"/>
  <c r="K490" i="84"/>
  <c r="T489" i="84"/>
  <c r="Q489" i="84"/>
  <c r="O489" i="84"/>
  <c r="M489" i="84"/>
  <c r="K489" i="84"/>
  <c r="T488" i="84"/>
  <c r="Q488" i="84"/>
  <c r="O488" i="84"/>
  <c r="M488" i="84"/>
  <c r="K488" i="84"/>
  <c r="T487" i="84"/>
  <c r="Q487" i="84"/>
  <c r="O487" i="84"/>
  <c r="M487" i="84"/>
  <c r="K487" i="84"/>
  <c r="T486" i="84"/>
  <c r="Q486" i="84"/>
  <c r="O486" i="84"/>
  <c r="M486" i="84"/>
  <c r="K486" i="84"/>
  <c r="T485" i="84"/>
  <c r="Q485" i="84"/>
  <c r="O485" i="84"/>
  <c r="M485" i="84"/>
  <c r="K485" i="84"/>
  <c r="T484" i="84"/>
  <c r="Q484" i="84"/>
  <c r="O484" i="84"/>
  <c r="M484" i="84"/>
  <c r="K484" i="84"/>
  <c r="T483" i="84"/>
  <c r="Q483" i="84"/>
  <c r="O483" i="84"/>
  <c r="M483" i="84"/>
  <c r="K483" i="84"/>
  <c r="T482" i="84"/>
  <c r="Q482" i="84"/>
  <c r="O482" i="84"/>
  <c r="M482" i="84"/>
  <c r="K482" i="84"/>
  <c r="T481" i="84"/>
  <c r="Q481" i="84"/>
  <c r="O481" i="84"/>
  <c r="M481" i="84"/>
  <c r="K481" i="84"/>
  <c r="T480" i="84"/>
  <c r="Q480" i="84"/>
  <c r="O480" i="84"/>
  <c r="M480" i="84"/>
  <c r="K480" i="84"/>
  <c r="T479" i="84"/>
  <c r="Q479" i="84"/>
  <c r="O479" i="84"/>
  <c r="M479" i="84"/>
  <c r="K479" i="84"/>
  <c r="T478" i="84"/>
  <c r="Q478" i="84"/>
  <c r="O478" i="84"/>
  <c r="M478" i="84"/>
  <c r="K478" i="84"/>
  <c r="T477" i="84"/>
  <c r="Q477" i="84"/>
  <c r="O477" i="84"/>
  <c r="M477" i="84"/>
  <c r="K477" i="84"/>
  <c r="T476" i="84"/>
  <c r="Q476" i="84"/>
  <c r="O476" i="84"/>
  <c r="M476" i="84"/>
  <c r="K476" i="84"/>
  <c r="T475" i="84"/>
  <c r="Q475" i="84"/>
  <c r="O475" i="84"/>
  <c r="M475" i="84"/>
  <c r="K475" i="84"/>
  <c r="T474" i="84"/>
  <c r="Q474" i="84"/>
  <c r="O474" i="84"/>
  <c r="M474" i="84"/>
  <c r="K474" i="84"/>
  <c r="T473" i="84"/>
  <c r="Q473" i="84"/>
  <c r="O473" i="84"/>
  <c r="M473" i="84"/>
  <c r="K473" i="84"/>
  <c r="T472" i="84"/>
  <c r="Q472" i="84"/>
  <c r="O472" i="84"/>
  <c r="M472" i="84"/>
  <c r="K472" i="84"/>
  <c r="T471" i="84"/>
  <c r="Q471" i="84"/>
  <c r="O471" i="84"/>
  <c r="M471" i="84"/>
  <c r="K471" i="84"/>
  <c r="T470" i="84"/>
  <c r="Q470" i="84"/>
  <c r="O470" i="84"/>
  <c r="M470" i="84"/>
  <c r="K470" i="84"/>
  <c r="T469" i="84"/>
  <c r="Q469" i="84"/>
  <c r="O469" i="84"/>
  <c r="M469" i="84"/>
  <c r="K469" i="84"/>
  <c r="T468" i="84"/>
  <c r="Q468" i="84"/>
  <c r="O468" i="84"/>
  <c r="M468" i="84"/>
  <c r="K468" i="84"/>
  <c r="T467" i="84"/>
  <c r="Q467" i="84"/>
  <c r="O467" i="84"/>
  <c r="M467" i="84"/>
  <c r="K467" i="84"/>
  <c r="T466" i="84"/>
  <c r="Q466" i="84"/>
  <c r="O466" i="84"/>
  <c r="M466" i="84"/>
  <c r="K466" i="84"/>
  <c r="T465" i="84"/>
  <c r="Q465" i="84"/>
  <c r="O465" i="84"/>
  <c r="M465" i="84"/>
  <c r="K465" i="84"/>
  <c r="T464" i="84"/>
  <c r="Q464" i="84"/>
  <c r="O464" i="84"/>
  <c r="M464" i="84"/>
  <c r="K464" i="84"/>
  <c r="T463" i="84"/>
  <c r="Q463" i="84"/>
  <c r="O463" i="84"/>
  <c r="M463" i="84"/>
  <c r="K463" i="84"/>
  <c r="T462" i="84"/>
  <c r="Q462" i="84"/>
  <c r="O462" i="84"/>
  <c r="M462" i="84"/>
  <c r="K462" i="84"/>
  <c r="T461" i="84"/>
  <c r="Q461" i="84"/>
  <c r="O461" i="84"/>
  <c r="M461" i="84"/>
  <c r="K461" i="84"/>
  <c r="T460" i="84"/>
  <c r="Q460" i="84"/>
  <c r="O460" i="84"/>
  <c r="M460" i="84"/>
  <c r="K460" i="84"/>
  <c r="T459" i="84"/>
  <c r="Q459" i="84"/>
  <c r="O459" i="84"/>
  <c r="M459" i="84"/>
  <c r="K459" i="84"/>
  <c r="T458" i="84"/>
  <c r="Q458" i="84"/>
  <c r="O458" i="84"/>
  <c r="M458" i="84"/>
  <c r="K458" i="84"/>
  <c r="T457" i="84"/>
  <c r="Q457" i="84"/>
  <c r="O457" i="84"/>
  <c r="M457" i="84"/>
  <c r="K457" i="84"/>
  <c r="T456" i="84"/>
  <c r="Q456" i="84"/>
  <c r="O456" i="84"/>
  <c r="M456" i="84"/>
  <c r="K456" i="84"/>
  <c r="T455" i="84"/>
  <c r="Q455" i="84"/>
  <c r="O455" i="84"/>
  <c r="M455" i="84"/>
  <c r="K455" i="84"/>
  <c r="T454" i="84"/>
  <c r="Q454" i="84"/>
  <c r="O454" i="84"/>
  <c r="M454" i="84"/>
  <c r="K454" i="84"/>
  <c r="T453" i="84"/>
  <c r="Q453" i="84"/>
  <c r="O453" i="84"/>
  <c r="M453" i="84"/>
  <c r="K453" i="84"/>
  <c r="T452" i="84"/>
  <c r="Q452" i="84"/>
  <c r="O452" i="84"/>
  <c r="M452" i="84"/>
  <c r="K452" i="84"/>
  <c r="T451" i="84"/>
  <c r="Q451" i="84"/>
  <c r="O451" i="84"/>
  <c r="M451" i="84"/>
  <c r="K451" i="84"/>
  <c r="T450" i="84"/>
  <c r="Q450" i="84"/>
  <c r="O450" i="84"/>
  <c r="M450" i="84"/>
  <c r="K450" i="84"/>
  <c r="T449" i="84"/>
  <c r="Q449" i="84"/>
  <c r="O449" i="84"/>
  <c r="M449" i="84"/>
  <c r="K449" i="84"/>
  <c r="T448" i="84"/>
  <c r="Q448" i="84"/>
  <c r="O448" i="84"/>
  <c r="M448" i="84"/>
  <c r="K448" i="84"/>
  <c r="T447" i="84"/>
  <c r="Q447" i="84"/>
  <c r="O447" i="84"/>
  <c r="M447" i="84"/>
  <c r="K447" i="84"/>
  <c r="T446" i="84"/>
  <c r="Q446" i="84"/>
  <c r="O446" i="84"/>
  <c r="M446" i="84"/>
  <c r="K446" i="84"/>
  <c r="T445" i="84"/>
  <c r="Q445" i="84"/>
  <c r="O445" i="84"/>
  <c r="M445" i="84"/>
  <c r="K445" i="84"/>
  <c r="T444" i="84"/>
  <c r="Q444" i="84"/>
  <c r="O444" i="84"/>
  <c r="M444" i="84"/>
  <c r="K444" i="84"/>
  <c r="T443" i="84"/>
  <c r="Q443" i="84"/>
  <c r="O443" i="84"/>
  <c r="M443" i="84"/>
  <c r="K443" i="84"/>
  <c r="T442" i="84"/>
  <c r="Q442" i="84"/>
  <c r="O442" i="84"/>
  <c r="M442" i="84"/>
  <c r="K442" i="84"/>
  <c r="T441" i="84"/>
  <c r="Q441" i="84"/>
  <c r="O441" i="84"/>
  <c r="M441" i="84"/>
  <c r="K441" i="84"/>
  <c r="T440" i="84"/>
  <c r="Q440" i="84"/>
  <c r="O440" i="84"/>
  <c r="M440" i="84"/>
  <c r="K440" i="84"/>
  <c r="T439" i="84"/>
  <c r="Q439" i="84"/>
  <c r="O439" i="84"/>
  <c r="M439" i="84"/>
  <c r="K439" i="84"/>
  <c r="T438" i="84"/>
  <c r="Q438" i="84"/>
  <c r="O438" i="84"/>
  <c r="M438" i="84"/>
  <c r="K438" i="84"/>
  <c r="T437" i="84"/>
  <c r="Q437" i="84"/>
  <c r="O437" i="84"/>
  <c r="M437" i="84"/>
  <c r="K437" i="84"/>
  <c r="T436" i="84"/>
  <c r="Q436" i="84"/>
  <c r="O436" i="84"/>
  <c r="M436" i="84"/>
  <c r="K436" i="84"/>
  <c r="T435" i="84"/>
  <c r="Q435" i="84"/>
  <c r="O435" i="84"/>
  <c r="M435" i="84"/>
  <c r="K435" i="84"/>
  <c r="T434" i="84"/>
  <c r="Q434" i="84"/>
  <c r="O434" i="84"/>
  <c r="M434" i="84"/>
  <c r="K434" i="84"/>
  <c r="T433" i="84"/>
  <c r="Q433" i="84"/>
  <c r="O433" i="84"/>
  <c r="M433" i="84"/>
  <c r="K433" i="84"/>
  <c r="T432" i="84"/>
  <c r="Q432" i="84"/>
  <c r="O432" i="84"/>
  <c r="M432" i="84"/>
  <c r="K432" i="84"/>
  <c r="T431" i="84"/>
  <c r="Q431" i="84"/>
  <c r="O431" i="84"/>
  <c r="M431" i="84"/>
  <c r="K431" i="84"/>
  <c r="T430" i="84"/>
  <c r="Q430" i="84"/>
  <c r="O430" i="84"/>
  <c r="M430" i="84"/>
  <c r="K430" i="84"/>
  <c r="T429" i="84"/>
  <c r="Q429" i="84"/>
  <c r="O429" i="84"/>
  <c r="M429" i="84"/>
  <c r="K429" i="84"/>
  <c r="T428" i="84"/>
  <c r="Q428" i="84"/>
  <c r="O428" i="84"/>
  <c r="M428" i="84"/>
  <c r="K428" i="84"/>
  <c r="T427" i="84"/>
  <c r="Q427" i="84"/>
  <c r="O427" i="84"/>
  <c r="M427" i="84"/>
  <c r="K427" i="84"/>
  <c r="T426" i="84"/>
  <c r="Q426" i="84"/>
  <c r="O426" i="84"/>
  <c r="M426" i="84"/>
  <c r="K426" i="84"/>
  <c r="T425" i="84"/>
  <c r="Q425" i="84"/>
  <c r="O425" i="84"/>
  <c r="M425" i="84"/>
  <c r="K425" i="84"/>
  <c r="T424" i="84"/>
  <c r="Q424" i="84"/>
  <c r="O424" i="84"/>
  <c r="M424" i="84"/>
  <c r="K424" i="84"/>
  <c r="G424" i="84"/>
  <c r="T423" i="84"/>
  <c r="Q423" i="84"/>
  <c r="O423" i="84"/>
  <c r="M423" i="84"/>
  <c r="K423" i="84"/>
  <c r="G423" i="84"/>
  <c r="T422" i="84"/>
  <c r="Q422" i="84"/>
  <c r="O422" i="84"/>
  <c r="M422" i="84"/>
  <c r="K422" i="84"/>
  <c r="G422" i="84"/>
  <c r="T421" i="84"/>
  <c r="Q421" i="84"/>
  <c r="O421" i="84"/>
  <c r="M421" i="84"/>
  <c r="K421" i="84"/>
  <c r="G421" i="84"/>
  <c r="T420" i="84"/>
  <c r="Q420" i="84"/>
  <c r="O420" i="84"/>
  <c r="M420" i="84"/>
  <c r="K420" i="84"/>
  <c r="G420" i="84"/>
  <c r="T419" i="84"/>
  <c r="Q419" i="84"/>
  <c r="O419" i="84"/>
  <c r="M419" i="84"/>
  <c r="K419" i="84"/>
  <c r="G419" i="84"/>
  <c r="T418" i="84"/>
  <c r="Q418" i="84"/>
  <c r="O418" i="84"/>
  <c r="M418" i="84"/>
  <c r="K418" i="84"/>
  <c r="G418" i="84"/>
  <c r="T417" i="84"/>
  <c r="Q417" i="84"/>
  <c r="O417" i="84"/>
  <c r="M417" i="84"/>
  <c r="K417" i="84"/>
  <c r="G417" i="84"/>
  <c r="T416" i="84"/>
  <c r="Q416" i="84"/>
  <c r="O416" i="84"/>
  <c r="M416" i="84"/>
  <c r="K416" i="84"/>
  <c r="G416" i="84"/>
  <c r="T415" i="84"/>
  <c r="Q415" i="84"/>
  <c r="O415" i="84"/>
  <c r="M415" i="84"/>
  <c r="K415" i="84"/>
  <c r="G415" i="84"/>
  <c r="T414" i="84"/>
  <c r="Q414" i="84"/>
  <c r="O414" i="84"/>
  <c r="M414" i="84"/>
  <c r="K414" i="84"/>
  <c r="G414" i="84"/>
  <c r="T413" i="84"/>
  <c r="Q413" i="84"/>
  <c r="O413" i="84"/>
  <c r="M413" i="84"/>
  <c r="K413" i="84"/>
  <c r="G413" i="84"/>
  <c r="T412" i="84"/>
  <c r="Q412" i="84"/>
  <c r="O412" i="84"/>
  <c r="M412" i="84"/>
  <c r="K412" i="84"/>
  <c r="G412" i="84"/>
  <c r="T411" i="84"/>
  <c r="Q411" i="84"/>
  <c r="O411" i="84"/>
  <c r="M411" i="84"/>
  <c r="K411" i="84"/>
  <c r="G411" i="84"/>
  <c r="T410" i="84"/>
  <c r="Q410" i="84"/>
  <c r="O410" i="84"/>
  <c r="M410" i="84"/>
  <c r="K410" i="84"/>
  <c r="G410" i="84"/>
  <c r="T409" i="84"/>
  <c r="Q409" i="84"/>
  <c r="O409" i="84"/>
  <c r="M409" i="84"/>
  <c r="K409" i="84"/>
  <c r="G409" i="84"/>
  <c r="T408" i="84"/>
  <c r="Q408" i="84"/>
  <c r="O408" i="84"/>
  <c r="M408" i="84"/>
  <c r="K408" i="84"/>
  <c r="G408" i="84"/>
  <c r="T407" i="84"/>
  <c r="Q407" i="84"/>
  <c r="O407" i="84"/>
  <c r="M407" i="84"/>
  <c r="K407" i="84"/>
  <c r="G407" i="84"/>
  <c r="T406" i="84"/>
  <c r="Q406" i="84"/>
  <c r="O406" i="84"/>
  <c r="M406" i="84"/>
  <c r="K406" i="84"/>
  <c r="G406" i="84"/>
  <c r="T405" i="84"/>
  <c r="Q405" i="84"/>
  <c r="O405" i="84"/>
  <c r="M405" i="84"/>
  <c r="K405" i="84"/>
  <c r="G405" i="84"/>
  <c r="T404" i="84"/>
  <c r="Q404" i="84"/>
  <c r="O404" i="84"/>
  <c r="M404" i="84"/>
  <c r="K404" i="84"/>
  <c r="G404" i="84"/>
  <c r="T403" i="84"/>
  <c r="Q403" i="84"/>
  <c r="O403" i="84"/>
  <c r="M403" i="84"/>
  <c r="K403" i="84"/>
  <c r="G403" i="84"/>
  <c r="T402" i="84"/>
  <c r="Q402" i="84"/>
  <c r="O402" i="84"/>
  <c r="M402" i="84"/>
  <c r="K402" i="84"/>
  <c r="G402" i="84"/>
  <c r="T401" i="84"/>
  <c r="Q401" i="84"/>
  <c r="O401" i="84"/>
  <c r="M401" i="84"/>
  <c r="K401" i="84"/>
  <c r="G401" i="84"/>
  <c r="T400" i="84"/>
  <c r="Q400" i="84"/>
  <c r="O400" i="84"/>
  <c r="M400" i="84"/>
  <c r="K400" i="84"/>
  <c r="G400" i="84"/>
  <c r="T399" i="84"/>
  <c r="Q399" i="84"/>
  <c r="O399" i="84"/>
  <c r="M399" i="84"/>
  <c r="K399" i="84"/>
  <c r="G399" i="84"/>
  <c r="T398" i="84"/>
  <c r="Q398" i="84"/>
  <c r="O398" i="84"/>
  <c r="M398" i="84"/>
  <c r="K398" i="84"/>
  <c r="G398" i="84"/>
  <c r="T397" i="84"/>
  <c r="Q397" i="84"/>
  <c r="O397" i="84"/>
  <c r="M397" i="84"/>
  <c r="K397" i="84"/>
  <c r="G397" i="84"/>
  <c r="T396" i="84"/>
  <c r="Q396" i="84"/>
  <c r="O396" i="84"/>
  <c r="M396" i="84"/>
  <c r="K396" i="84"/>
  <c r="G396" i="84"/>
  <c r="T395" i="84"/>
  <c r="Q395" i="84"/>
  <c r="O395" i="84"/>
  <c r="M395" i="84"/>
  <c r="K395" i="84"/>
  <c r="G395" i="84"/>
  <c r="T394" i="84"/>
  <c r="Q394" i="84"/>
  <c r="O394" i="84"/>
  <c r="M394" i="84"/>
  <c r="K394" i="84"/>
  <c r="G394" i="84"/>
  <c r="T393" i="84"/>
  <c r="Q393" i="84"/>
  <c r="O393" i="84"/>
  <c r="M393" i="84"/>
  <c r="K393" i="84"/>
  <c r="G393" i="84"/>
  <c r="T392" i="84"/>
  <c r="Q392" i="84"/>
  <c r="O392" i="84"/>
  <c r="M392" i="84"/>
  <c r="K392" i="84"/>
  <c r="G392" i="84"/>
  <c r="T391" i="84"/>
  <c r="Q391" i="84"/>
  <c r="O391" i="84"/>
  <c r="M391" i="84"/>
  <c r="K391" i="84"/>
  <c r="G391" i="84"/>
  <c r="T390" i="84"/>
  <c r="Q390" i="84"/>
  <c r="O390" i="84"/>
  <c r="M390" i="84"/>
  <c r="K390" i="84"/>
  <c r="G390" i="84"/>
  <c r="T389" i="84"/>
  <c r="Q389" i="84"/>
  <c r="O389" i="84"/>
  <c r="M389" i="84"/>
  <c r="K389" i="84"/>
  <c r="G389" i="84"/>
  <c r="T388" i="84"/>
  <c r="Q388" i="84"/>
  <c r="O388" i="84"/>
  <c r="M388" i="84"/>
  <c r="K388" i="84"/>
  <c r="G388" i="84"/>
  <c r="T387" i="84"/>
  <c r="Q387" i="84"/>
  <c r="O387" i="84"/>
  <c r="M387" i="84"/>
  <c r="K387" i="84"/>
  <c r="G387" i="84"/>
  <c r="T386" i="84"/>
  <c r="Q386" i="84"/>
  <c r="O386" i="84"/>
  <c r="M386" i="84"/>
  <c r="K386" i="84"/>
  <c r="G386" i="84"/>
  <c r="T385" i="84"/>
  <c r="Q385" i="84"/>
  <c r="O385" i="84"/>
  <c r="M385" i="84"/>
  <c r="K385" i="84"/>
  <c r="G385" i="84"/>
  <c r="T384" i="84"/>
  <c r="Q384" i="84"/>
  <c r="O384" i="84"/>
  <c r="M384" i="84"/>
  <c r="K384" i="84"/>
  <c r="G384" i="84"/>
  <c r="T383" i="84"/>
  <c r="Q383" i="84"/>
  <c r="O383" i="84"/>
  <c r="M383" i="84"/>
  <c r="K383" i="84"/>
  <c r="G383" i="84"/>
  <c r="T382" i="84"/>
  <c r="Q382" i="84"/>
  <c r="O382" i="84"/>
  <c r="M382" i="84"/>
  <c r="K382" i="84"/>
  <c r="G382" i="84"/>
  <c r="T381" i="84"/>
  <c r="Q381" i="84"/>
  <c r="O381" i="84"/>
  <c r="M381" i="84"/>
  <c r="K381" i="84"/>
  <c r="G381" i="84"/>
  <c r="T380" i="84"/>
  <c r="Q380" i="84"/>
  <c r="O380" i="84"/>
  <c r="M380" i="84"/>
  <c r="K380" i="84"/>
  <c r="G380" i="84"/>
  <c r="T379" i="84"/>
  <c r="Q379" i="84"/>
  <c r="O379" i="84"/>
  <c r="M379" i="84"/>
  <c r="K379" i="84"/>
  <c r="G379" i="84"/>
  <c r="T378" i="84"/>
  <c r="Q378" i="84"/>
  <c r="O378" i="84"/>
  <c r="M378" i="84"/>
  <c r="K378" i="84"/>
  <c r="G378" i="84"/>
  <c r="T377" i="84"/>
  <c r="Q377" i="84"/>
  <c r="O377" i="84"/>
  <c r="M377" i="84"/>
  <c r="K377" i="84"/>
  <c r="G377" i="84"/>
  <c r="T376" i="84"/>
  <c r="Q376" i="84"/>
  <c r="O376" i="84"/>
  <c r="M376" i="84"/>
  <c r="K376" i="84"/>
  <c r="G376" i="84"/>
  <c r="T375" i="84"/>
  <c r="Q375" i="84"/>
  <c r="O375" i="84"/>
  <c r="M375" i="84"/>
  <c r="K375" i="84"/>
  <c r="G375" i="84"/>
  <c r="T374" i="84"/>
  <c r="Q374" i="84"/>
  <c r="O374" i="84"/>
  <c r="M374" i="84"/>
  <c r="K374" i="84"/>
  <c r="G374" i="84"/>
  <c r="T373" i="84"/>
  <c r="Q373" i="84"/>
  <c r="O373" i="84"/>
  <c r="M373" i="84"/>
  <c r="K373" i="84"/>
  <c r="G373" i="84"/>
  <c r="T372" i="84"/>
  <c r="Q372" i="84"/>
  <c r="O372" i="84"/>
  <c r="M372" i="84"/>
  <c r="K372" i="84"/>
  <c r="G372" i="84"/>
  <c r="T371" i="84"/>
  <c r="Q371" i="84"/>
  <c r="O371" i="84"/>
  <c r="M371" i="84"/>
  <c r="K371" i="84"/>
  <c r="G371" i="84"/>
  <c r="T370" i="84"/>
  <c r="Q370" i="84"/>
  <c r="O370" i="84"/>
  <c r="M370" i="84"/>
  <c r="K370" i="84"/>
  <c r="G370" i="84"/>
  <c r="T369" i="84"/>
  <c r="Q369" i="84"/>
  <c r="O369" i="84"/>
  <c r="M369" i="84"/>
  <c r="K369" i="84"/>
  <c r="G369" i="84"/>
  <c r="T368" i="84"/>
  <c r="Q368" i="84"/>
  <c r="O368" i="84"/>
  <c r="M368" i="84"/>
  <c r="K368" i="84"/>
  <c r="G368" i="84"/>
  <c r="T367" i="84"/>
  <c r="Q367" i="84"/>
  <c r="O367" i="84"/>
  <c r="M367" i="84"/>
  <c r="K367" i="84"/>
  <c r="G367" i="84"/>
  <c r="T366" i="84"/>
  <c r="Q366" i="84"/>
  <c r="O366" i="84"/>
  <c r="M366" i="84"/>
  <c r="K366" i="84"/>
  <c r="G366" i="84"/>
  <c r="T365" i="84"/>
  <c r="Q365" i="84"/>
  <c r="O365" i="84"/>
  <c r="M365" i="84"/>
  <c r="K365" i="84"/>
  <c r="G365" i="84"/>
  <c r="T364" i="84"/>
  <c r="Q364" i="84"/>
  <c r="O364" i="84"/>
  <c r="M364" i="84"/>
  <c r="K364" i="84"/>
  <c r="G364" i="84"/>
  <c r="T363" i="84"/>
  <c r="Q363" i="84"/>
  <c r="O363" i="84"/>
  <c r="M363" i="84"/>
  <c r="K363" i="84"/>
  <c r="G363" i="84"/>
  <c r="T362" i="84"/>
  <c r="Q362" i="84"/>
  <c r="O362" i="84"/>
  <c r="M362" i="84"/>
  <c r="K362" i="84"/>
  <c r="G362" i="84"/>
  <c r="T361" i="84"/>
  <c r="Q361" i="84"/>
  <c r="O361" i="84"/>
  <c r="M361" i="84"/>
  <c r="K361" i="84"/>
  <c r="G361" i="84"/>
  <c r="T360" i="84"/>
  <c r="Q360" i="84"/>
  <c r="O360" i="84"/>
  <c r="M360" i="84"/>
  <c r="K360" i="84"/>
  <c r="G360" i="84"/>
  <c r="T359" i="84"/>
  <c r="Q359" i="84"/>
  <c r="O359" i="84"/>
  <c r="M359" i="84"/>
  <c r="K359" i="84"/>
  <c r="G359" i="84"/>
  <c r="T358" i="84"/>
  <c r="Q358" i="84"/>
  <c r="O358" i="84"/>
  <c r="M358" i="84"/>
  <c r="K358" i="84"/>
  <c r="G358" i="84"/>
  <c r="T357" i="84"/>
  <c r="Q357" i="84"/>
  <c r="O357" i="84"/>
  <c r="M357" i="84"/>
  <c r="K357" i="84"/>
  <c r="G357" i="84"/>
  <c r="T356" i="84"/>
  <c r="Q356" i="84"/>
  <c r="O356" i="84"/>
  <c r="M356" i="84"/>
  <c r="K356" i="84"/>
  <c r="G356" i="84"/>
  <c r="T355" i="84"/>
  <c r="Q355" i="84"/>
  <c r="O355" i="84"/>
  <c r="M355" i="84"/>
  <c r="K355" i="84"/>
  <c r="G355" i="84"/>
  <c r="T354" i="84"/>
  <c r="Q354" i="84"/>
  <c r="O354" i="84"/>
  <c r="M354" i="84"/>
  <c r="K354" i="84"/>
  <c r="G354" i="84"/>
  <c r="T353" i="84"/>
  <c r="Q353" i="84"/>
  <c r="O353" i="84"/>
  <c r="M353" i="84"/>
  <c r="K353" i="84"/>
  <c r="G353" i="84"/>
  <c r="T352" i="84"/>
  <c r="Q352" i="84"/>
  <c r="O352" i="84"/>
  <c r="M352" i="84"/>
  <c r="K352" i="84"/>
  <c r="G352" i="84"/>
  <c r="T351" i="84"/>
  <c r="Q351" i="84"/>
  <c r="O351" i="84"/>
  <c r="M351" i="84"/>
  <c r="K351" i="84"/>
  <c r="G351" i="84"/>
  <c r="T350" i="84"/>
  <c r="Q350" i="84"/>
  <c r="O350" i="84"/>
  <c r="M350" i="84"/>
  <c r="K350" i="84"/>
  <c r="G350" i="84"/>
  <c r="T349" i="84"/>
  <c r="Q349" i="84"/>
  <c r="O349" i="84"/>
  <c r="M349" i="84"/>
  <c r="K349" i="84"/>
  <c r="G349" i="84"/>
  <c r="T348" i="84"/>
  <c r="Q348" i="84"/>
  <c r="O348" i="84"/>
  <c r="M348" i="84"/>
  <c r="K348" i="84"/>
  <c r="G348" i="84"/>
  <c r="T347" i="84"/>
  <c r="Q347" i="84"/>
  <c r="O347" i="84"/>
  <c r="M347" i="84"/>
  <c r="K347" i="84"/>
  <c r="G347" i="84"/>
  <c r="T346" i="84"/>
  <c r="Q346" i="84"/>
  <c r="O346" i="84"/>
  <c r="M346" i="84"/>
  <c r="K346" i="84"/>
  <c r="G346" i="84"/>
  <c r="T345" i="84"/>
  <c r="Q345" i="84"/>
  <c r="O345" i="84"/>
  <c r="M345" i="84"/>
  <c r="K345" i="84"/>
  <c r="G345" i="84"/>
  <c r="T344" i="84"/>
  <c r="Q344" i="84"/>
  <c r="O344" i="84"/>
  <c r="M344" i="84"/>
  <c r="K344" i="84"/>
  <c r="G344" i="84"/>
  <c r="T343" i="84"/>
  <c r="Q343" i="84"/>
  <c r="O343" i="84"/>
  <c r="M343" i="84"/>
  <c r="K343" i="84"/>
  <c r="G343" i="84"/>
  <c r="T342" i="84"/>
  <c r="Q342" i="84"/>
  <c r="O342" i="84"/>
  <c r="M342" i="84"/>
  <c r="K342" i="84"/>
  <c r="G342" i="84"/>
  <c r="T341" i="84"/>
  <c r="Q341" i="84"/>
  <c r="O341" i="84"/>
  <c r="M341" i="84"/>
  <c r="K341" i="84"/>
  <c r="G341" i="84"/>
  <c r="T340" i="84"/>
  <c r="Q340" i="84"/>
  <c r="O340" i="84"/>
  <c r="M340" i="84"/>
  <c r="K340" i="84"/>
  <c r="G340" i="84"/>
  <c r="T339" i="84"/>
  <c r="Q339" i="84"/>
  <c r="O339" i="84"/>
  <c r="M339" i="84"/>
  <c r="K339" i="84"/>
  <c r="G339" i="84"/>
  <c r="T338" i="84"/>
  <c r="Q338" i="84"/>
  <c r="O338" i="84"/>
  <c r="M338" i="84"/>
  <c r="K338" i="84"/>
  <c r="G338" i="84"/>
  <c r="T337" i="84"/>
  <c r="Q337" i="84"/>
  <c r="O337" i="84"/>
  <c r="M337" i="84"/>
  <c r="K337" i="84"/>
  <c r="G337" i="84"/>
  <c r="T336" i="84"/>
  <c r="Q336" i="84"/>
  <c r="O336" i="84"/>
  <c r="M336" i="84"/>
  <c r="K336" i="84"/>
  <c r="G336" i="84"/>
  <c r="T335" i="84"/>
  <c r="Q335" i="84"/>
  <c r="O335" i="84"/>
  <c r="M335" i="84"/>
  <c r="K335" i="84"/>
  <c r="G335" i="84"/>
  <c r="T334" i="84"/>
  <c r="Q334" i="84"/>
  <c r="O334" i="84"/>
  <c r="M334" i="84"/>
  <c r="K334" i="84"/>
  <c r="G334" i="84"/>
  <c r="T333" i="84"/>
  <c r="Q333" i="84"/>
  <c r="O333" i="84"/>
  <c r="M333" i="84"/>
  <c r="K333" i="84"/>
  <c r="G333" i="84"/>
  <c r="T332" i="84"/>
  <c r="Q332" i="84"/>
  <c r="O332" i="84"/>
  <c r="M332" i="84"/>
  <c r="K332" i="84"/>
  <c r="G332" i="84"/>
  <c r="T331" i="84"/>
  <c r="Q331" i="84"/>
  <c r="O331" i="84"/>
  <c r="M331" i="84"/>
  <c r="K331" i="84"/>
  <c r="G331" i="84"/>
  <c r="T330" i="84"/>
  <c r="Q330" i="84"/>
  <c r="O330" i="84"/>
  <c r="M330" i="84"/>
  <c r="K330" i="84"/>
  <c r="G330" i="84"/>
  <c r="T329" i="84"/>
  <c r="Q329" i="84"/>
  <c r="O329" i="84"/>
  <c r="M329" i="84"/>
  <c r="K329" i="84"/>
  <c r="G329" i="84"/>
  <c r="T328" i="84"/>
  <c r="Q328" i="84"/>
  <c r="O328" i="84"/>
  <c r="M328" i="84"/>
  <c r="K328" i="84"/>
  <c r="G328" i="84"/>
  <c r="T327" i="84"/>
  <c r="Q327" i="84"/>
  <c r="O327" i="84"/>
  <c r="M327" i="84"/>
  <c r="K327" i="84"/>
  <c r="G327" i="84"/>
  <c r="T326" i="84"/>
  <c r="Q326" i="84"/>
  <c r="O326" i="84"/>
  <c r="M326" i="84"/>
  <c r="K326" i="84"/>
  <c r="G326" i="84"/>
  <c r="T325" i="84"/>
  <c r="Q325" i="84"/>
  <c r="O325" i="84"/>
  <c r="M325" i="84"/>
  <c r="K325" i="84"/>
  <c r="G325" i="84"/>
  <c r="T324" i="84"/>
  <c r="Q324" i="84"/>
  <c r="O324" i="84"/>
  <c r="M324" i="84"/>
  <c r="K324" i="84"/>
  <c r="G324" i="84"/>
  <c r="T323" i="84"/>
  <c r="Q323" i="84"/>
  <c r="O323" i="84"/>
  <c r="M323" i="84"/>
  <c r="K323" i="84"/>
  <c r="G323" i="84"/>
  <c r="T322" i="84"/>
  <c r="Q322" i="84"/>
  <c r="O322" i="84"/>
  <c r="M322" i="84"/>
  <c r="K322" i="84"/>
  <c r="G322" i="84"/>
  <c r="T321" i="84"/>
  <c r="Q321" i="84"/>
  <c r="O321" i="84"/>
  <c r="M321" i="84"/>
  <c r="K321" i="84"/>
  <c r="G321" i="84"/>
  <c r="T320" i="84"/>
  <c r="Q320" i="84"/>
  <c r="O320" i="84"/>
  <c r="M320" i="84"/>
  <c r="K320" i="84"/>
  <c r="G320" i="84"/>
  <c r="T319" i="84"/>
  <c r="Q319" i="84"/>
  <c r="O319" i="84"/>
  <c r="M319" i="84"/>
  <c r="K319" i="84"/>
  <c r="G319" i="84"/>
  <c r="T318" i="84"/>
  <c r="Q318" i="84"/>
  <c r="O318" i="84"/>
  <c r="M318" i="84"/>
  <c r="K318" i="84"/>
  <c r="G318" i="84"/>
  <c r="T317" i="84"/>
  <c r="Q317" i="84"/>
  <c r="O317" i="84"/>
  <c r="M317" i="84"/>
  <c r="K317" i="84"/>
  <c r="G317" i="84"/>
  <c r="T316" i="84"/>
  <c r="Q316" i="84"/>
  <c r="O316" i="84"/>
  <c r="M316" i="84"/>
  <c r="K316" i="84"/>
  <c r="G316" i="84"/>
  <c r="T315" i="84"/>
  <c r="Q315" i="84"/>
  <c r="O315" i="84"/>
  <c r="M315" i="84"/>
  <c r="K315" i="84"/>
  <c r="G315" i="84"/>
  <c r="T314" i="84"/>
  <c r="Q314" i="84"/>
  <c r="O314" i="84"/>
  <c r="M314" i="84"/>
  <c r="K314" i="84"/>
  <c r="G314" i="84"/>
  <c r="T313" i="84"/>
  <c r="Q313" i="84"/>
  <c r="O313" i="84"/>
  <c r="M313" i="84"/>
  <c r="K313" i="84"/>
  <c r="G313" i="84"/>
  <c r="T312" i="84"/>
  <c r="Q312" i="84"/>
  <c r="O312" i="84"/>
  <c r="M312" i="84"/>
  <c r="K312" i="84"/>
  <c r="G312" i="84"/>
  <c r="T311" i="84"/>
  <c r="Q311" i="84"/>
  <c r="O311" i="84"/>
  <c r="M311" i="84"/>
  <c r="K311" i="84"/>
  <c r="G311" i="84"/>
  <c r="T310" i="84"/>
  <c r="Q310" i="84"/>
  <c r="O310" i="84"/>
  <c r="M310" i="84"/>
  <c r="K310" i="84"/>
  <c r="G310" i="84"/>
  <c r="T309" i="84"/>
  <c r="Q309" i="84"/>
  <c r="O309" i="84"/>
  <c r="M309" i="84"/>
  <c r="K309" i="84"/>
  <c r="G309" i="84"/>
  <c r="T308" i="84"/>
  <c r="Q308" i="84"/>
  <c r="O308" i="84"/>
  <c r="M308" i="84"/>
  <c r="K308" i="84"/>
  <c r="G308" i="84"/>
  <c r="T307" i="84"/>
  <c r="Q307" i="84"/>
  <c r="O307" i="84"/>
  <c r="M307" i="84"/>
  <c r="K307" i="84"/>
  <c r="G307" i="84"/>
  <c r="T306" i="84"/>
  <c r="Q306" i="84"/>
  <c r="O306" i="84"/>
  <c r="M306" i="84"/>
  <c r="K306" i="84"/>
  <c r="G306" i="84"/>
  <c r="T305" i="84"/>
  <c r="Q305" i="84"/>
  <c r="O305" i="84"/>
  <c r="M305" i="84"/>
  <c r="K305" i="84"/>
  <c r="G305" i="84"/>
  <c r="T304" i="84"/>
  <c r="Q304" i="84"/>
  <c r="O304" i="84"/>
  <c r="M304" i="84"/>
  <c r="K304" i="84"/>
  <c r="G304" i="84"/>
  <c r="T303" i="84"/>
  <c r="Q303" i="84"/>
  <c r="O303" i="84"/>
  <c r="M303" i="84"/>
  <c r="K303" i="84"/>
  <c r="G303" i="84"/>
  <c r="T302" i="84"/>
  <c r="Q302" i="84"/>
  <c r="O302" i="84"/>
  <c r="M302" i="84"/>
  <c r="K302" i="84"/>
  <c r="G302" i="84"/>
  <c r="T301" i="84"/>
  <c r="Q301" i="84"/>
  <c r="O301" i="84"/>
  <c r="M301" i="84"/>
  <c r="K301" i="84"/>
  <c r="G301" i="84"/>
  <c r="T300" i="84"/>
  <c r="Q300" i="84"/>
  <c r="O300" i="84"/>
  <c r="M300" i="84"/>
  <c r="K300" i="84"/>
  <c r="G300" i="84"/>
  <c r="T299" i="84"/>
  <c r="Q299" i="84"/>
  <c r="O299" i="84"/>
  <c r="M299" i="84"/>
  <c r="K299" i="84"/>
  <c r="G299" i="84"/>
  <c r="T298" i="84"/>
  <c r="Q298" i="84"/>
  <c r="O298" i="84"/>
  <c r="M298" i="84"/>
  <c r="K298" i="84"/>
  <c r="G298" i="84"/>
  <c r="T297" i="84"/>
  <c r="Q297" i="84"/>
  <c r="O297" i="84"/>
  <c r="M297" i="84"/>
  <c r="K297" i="84"/>
  <c r="G297" i="84"/>
  <c r="T296" i="84"/>
  <c r="Q296" i="84"/>
  <c r="O296" i="84"/>
  <c r="M296" i="84"/>
  <c r="K296" i="84"/>
  <c r="G296" i="84"/>
  <c r="T295" i="84"/>
  <c r="Q295" i="84"/>
  <c r="O295" i="84"/>
  <c r="M295" i="84"/>
  <c r="K295" i="84"/>
  <c r="G295" i="84"/>
  <c r="T294" i="84"/>
  <c r="Q294" i="84"/>
  <c r="O294" i="84"/>
  <c r="M294" i="84"/>
  <c r="K294" i="84"/>
  <c r="G294" i="84"/>
  <c r="T293" i="84"/>
  <c r="Q293" i="84"/>
  <c r="O293" i="84"/>
  <c r="M293" i="84"/>
  <c r="K293" i="84"/>
  <c r="G293" i="84"/>
  <c r="T292" i="84"/>
  <c r="Q292" i="84"/>
  <c r="O292" i="84"/>
  <c r="M292" i="84"/>
  <c r="K292" i="84"/>
  <c r="G292" i="84"/>
  <c r="T291" i="84"/>
  <c r="Q291" i="84"/>
  <c r="O291" i="84"/>
  <c r="M291" i="84"/>
  <c r="K291" i="84"/>
  <c r="G291" i="84"/>
  <c r="T290" i="84"/>
  <c r="Q290" i="84"/>
  <c r="O290" i="84"/>
  <c r="M290" i="84"/>
  <c r="K290" i="84"/>
  <c r="G290" i="84"/>
  <c r="T289" i="84"/>
  <c r="Q289" i="84"/>
  <c r="O289" i="84"/>
  <c r="M289" i="84"/>
  <c r="K289" i="84"/>
  <c r="G289" i="84"/>
  <c r="T288" i="84"/>
  <c r="Q288" i="84"/>
  <c r="O288" i="84"/>
  <c r="M288" i="84"/>
  <c r="K288" i="84"/>
  <c r="G288" i="84"/>
  <c r="T287" i="84"/>
  <c r="Q287" i="84"/>
  <c r="O287" i="84"/>
  <c r="M287" i="84"/>
  <c r="K287" i="84"/>
  <c r="G287" i="84"/>
  <c r="T286" i="84"/>
  <c r="Q286" i="84"/>
  <c r="O286" i="84"/>
  <c r="M286" i="84"/>
  <c r="K286" i="84"/>
  <c r="G286" i="84"/>
  <c r="T285" i="84"/>
  <c r="Q285" i="84"/>
  <c r="O285" i="84"/>
  <c r="M285" i="84"/>
  <c r="K285" i="84"/>
  <c r="G285" i="84"/>
  <c r="T284" i="84"/>
  <c r="Q284" i="84"/>
  <c r="O284" i="84"/>
  <c r="M284" i="84"/>
  <c r="K284" i="84"/>
  <c r="G284" i="84"/>
  <c r="T283" i="84"/>
  <c r="Q283" i="84"/>
  <c r="O283" i="84"/>
  <c r="M283" i="84"/>
  <c r="K283" i="84"/>
  <c r="G283" i="84"/>
  <c r="T282" i="84"/>
  <c r="Q282" i="84"/>
  <c r="O282" i="84"/>
  <c r="M282" i="84"/>
  <c r="K282" i="84"/>
  <c r="G282" i="84"/>
  <c r="T281" i="84"/>
  <c r="Q281" i="84"/>
  <c r="O281" i="84"/>
  <c r="M281" i="84"/>
  <c r="K281" i="84"/>
  <c r="G281" i="84"/>
  <c r="T280" i="84"/>
  <c r="Q280" i="84"/>
  <c r="O280" i="84"/>
  <c r="M280" i="84"/>
  <c r="K280" i="84"/>
  <c r="G280" i="84"/>
  <c r="T279" i="84"/>
  <c r="Q279" i="84"/>
  <c r="O279" i="84"/>
  <c r="M279" i="84"/>
  <c r="K279" i="84"/>
  <c r="G279" i="84"/>
  <c r="T278" i="84"/>
  <c r="Q278" i="84"/>
  <c r="O278" i="84"/>
  <c r="M278" i="84"/>
  <c r="K278" i="84"/>
  <c r="G278" i="84"/>
  <c r="T277" i="84"/>
  <c r="Q277" i="84"/>
  <c r="O277" i="84"/>
  <c r="M277" i="84"/>
  <c r="K277" i="84"/>
  <c r="G277" i="84"/>
  <c r="T276" i="84"/>
  <c r="Q276" i="84"/>
  <c r="O276" i="84"/>
  <c r="M276" i="84"/>
  <c r="K276" i="84"/>
  <c r="G276" i="84"/>
  <c r="T275" i="84"/>
  <c r="Q275" i="84"/>
  <c r="O275" i="84"/>
  <c r="M275" i="84"/>
  <c r="K275" i="84"/>
  <c r="G275" i="84"/>
  <c r="T274" i="84"/>
  <c r="Q274" i="84"/>
  <c r="O274" i="84"/>
  <c r="M274" i="84"/>
  <c r="K274" i="84"/>
  <c r="G274" i="84"/>
  <c r="T273" i="84"/>
  <c r="Q273" i="84"/>
  <c r="O273" i="84"/>
  <c r="M273" i="84"/>
  <c r="K273" i="84"/>
  <c r="G273" i="84"/>
  <c r="T272" i="84"/>
  <c r="Q272" i="84"/>
  <c r="O272" i="84"/>
  <c r="M272" i="84"/>
  <c r="K272" i="84"/>
  <c r="G272" i="84"/>
  <c r="T271" i="84"/>
  <c r="Q271" i="84"/>
  <c r="O271" i="84"/>
  <c r="M271" i="84"/>
  <c r="K271" i="84"/>
  <c r="G271" i="84"/>
  <c r="T270" i="84"/>
  <c r="Q270" i="84"/>
  <c r="O270" i="84"/>
  <c r="M270" i="84"/>
  <c r="K270" i="84"/>
  <c r="G270" i="84"/>
  <c r="T269" i="84"/>
  <c r="Q269" i="84"/>
  <c r="O269" i="84"/>
  <c r="M269" i="84"/>
  <c r="K269" i="84"/>
  <c r="G269" i="84"/>
  <c r="T268" i="84"/>
  <c r="Q268" i="84"/>
  <c r="O268" i="84"/>
  <c r="M268" i="84"/>
  <c r="K268" i="84"/>
  <c r="G268" i="84"/>
  <c r="T267" i="84"/>
  <c r="Q267" i="84"/>
  <c r="O267" i="84"/>
  <c r="M267" i="84"/>
  <c r="K267" i="84"/>
  <c r="G267" i="84"/>
  <c r="T266" i="84"/>
  <c r="Q266" i="84"/>
  <c r="O266" i="84"/>
  <c r="M266" i="84"/>
  <c r="K266" i="84"/>
  <c r="G266" i="84"/>
  <c r="T265" i="84"/>
  <c r="Q265" i="84"/>
  <c r="O265" i="84"/>
  <c r="M265" i="84"/>
  <c r="K265" i="84"/>
  <c r="G265" i="84"/>
  <c r="T264" i="84"/>
  <c r="Q264" i="84"/>
  <c r="O264" i="84"/>
  <c r="M264" i="84"/>
  <c r="K264" i="84"/>
  <c r="G264" i="84"/>
  <c r="T263" i="84"/>
  <c r="Q263" i="84"/>
  <c r="O263" i="84"/>
  <c r="M263" i="84"/>
  <c r="K263" i="84"/>
  <c r="G263" i="84"/>
  <c r="T262" i="84"/>
  <c r="Q262" i="84"/>
  <c r="O262" i="84"/>
  <c r="M262" i="84"/>
  <c r="K262" i="84"/>
  <c r="G262" i="84"/>
  <c r="T261" i="84"/>
  <c r="Q261" i="84"/>
  <c r="O261" i="84"/>
  <c r="M261" i="84"/>
  <c r="K261" i="84"/>
  <c r="G261" i="84"/>
  <c r="T260" i="84"/>
  <c r="Q260" i="84"/>
  <c r="O260" i="84"/>
  <c r="M260" i="84"/>
  <c r="K260" i="84"/>
  <c r="G260" i="84"/>
  <c r="T259" i="84"/>
  <c r="Q259" i="84"/>
  <c r="O259" i="84"/>
  <c r="M259" i="84"/>
  <c r="K259" i="84"/>
  <c r="G259" i="84"/>
  <c r="T258" i="84"/>
  <c r="Q258" i="84"/>
  <c r="O258" i="84"/>
  <c r="M258" i="84"/>
  <c r="K258" i="84"/>
  <c r="G258" i="84"/>
  <c r="T257" i="84"/>
  <c r="Q257" i="84"/>
  <c r="O257" i="84"/>
  <c r="M257" i="84"/>
  <c r="K257" i="84"/>
  <c r="G257" i="84"/>
  <c r="T256" i="84"/>
  <c r="Q256" i="84"/>
  <c r="O256" i="84"/>
  <c r="M256" i="84"/>
  <c r="K256" i="84"/>
  <c r="G256" i="84"/>
  <c r="T255" i="84"/>
  <c r="Q255" i="84"/>
  <c r="O255" i="84"/>
  <c r="M255" i="84"/>
  <c r="K255" i="84"/>
  <c r="G255" i="84"/>
  <c r="T254" i="84"/>
  <c r="Q254" i="84"/>
  <c r="O254" i="84"/>
  <c r="M254" i="84"/>
  <c r="K254" i="84"/>
  <c r="G254" i="84"/>
  <c r="T253" i="84"/>
  <c r="Q253" i="84"/>
  <c r="O253" i="84"/>
  <c r="M253" i="84"/>
  <c r="K253" i="84"/>
  <c r="G253" i="84"/>
  <c r="T252" i="84"/>
  <c r="Q252" i="84"/>
  <c r="O252" i="84"/>
  <c r="M252" i="84"/>
  <c r="K252" i="84"/>
  <c r="G252" i="84"/>
  <c r="T251" i="84"/>
  <c r="Q251" i="84"/>
  <c r="O251" i="84"/>
  <c r="M251" i="84"/>
  <c r="K251" i="84"/>
  <c r="G251" i="84"/>
  <c r="T250" i="84"/>
  <c r="Q250" i="84"/>
  <c r="O250" i="84"/>
  <c r="M250" i="84"/>
  <c r="K250" i="84"/>
  <c r="G250" i="84"/>
  <c r="T249" i="84"/>
  <c r="Q249" i="84"/>
  <c r="O249" i="84"/>
  <c r="M249" i="84"/>
  <c r="K249" i="84"/>
  <c r="G249" i="84"/>
  <c r="T248" i="84"/>
  <c r="Q248" i="84"/>
  <c r="O248" i="84"/>
  <c r="M248" i="84"/>
  <c r="K248" i="84"/>
  <c r="G248" i="84"/>
  <c r="T247" i="84"/>
  <c r="Q247" i="84"/>
  <c r="O247" i="84"/>
  <c r="M247" i="84"/>
  <c r="K247" i="84"/>
  <c r="G247" i="84"/>
  <c r="T246" i="84"/>
  <c r="Q246" i="84"/>
  <c r="O246" i="84"/>
  <c r="M246" i="84"/>
  <c r="K246" i="84"/>
  <c r="G246" i="84"/>
  <c r="T245" i="84"/>
  <c r="Q245" i="84"/>
  <c r="O245" i="84"/>
  <c r="M245" i="84"/>
  <c r="K245" i="84"/>
  <c r="G245" i="84"/>
  <c r="T244" i="84"/>
  <c r="Q244" i="84"/>
  <c r="O244" i="84"/>
  <c r="M244" i="84"/>
  <c r="K244" i="84"/>
  <c r="G244" i="84"/>
  <c r="T243" i="84"/>
  <c r="Q243" i="84"/>
  <c r="O243" i="84"/>
  <c r="M243" i="84"/>
  <c r="K243" i="84"/>
  <c r="G243" i="84"/>
  <c r="T242" i="84"/>
  <c r="Q242" i="84"/>
  <c r="O242" i="84"/>
  <c r="M242" i="84"/>
  <c r="K242" i="84"/>
  <c r="G242" i="84"/>
  <c r="T241" i="84"/>
  <c r="Q241" i="84"/>
  <c r="O241" i="84"/>
  <c r="M241" i="84"/>
  <c r="K241" i="84"/>
  <c r="G241" i="84"/>
  <c r="T240" i="84"/>
  <c r="Q240" i="84"/>
  <c r="O240" i="84"/>
  <c r="M240" i="84"/>
  <c r="K240" i="84"/>
  <c r="G240" i="84"/>
  <c r="T239" i="84"/>
  <c r="Q239" i="84"/>
  <c r="O239" i="84"/>
  <c r="M239" i="84"/>
  <c r="K239" i="84"/>
  <c r="G239" i="84"/>
  <c r="T238" i="84"/>
  <c r="Q238" i="84"/>
  <c r="O238" i="84"/>
  <c r="M238" i="84"/>
  <c r="K238" i="84"/>
  <c r="G238" i="84"/>
  <c r="T237" i="84"/>
  <c r="Q237" i="84"/>
  <c r="O237" i="84"/>
  <c r="M237" i="84"/>
  <c r="K237" i="84"/>
  <c r="G237" i="84"/>
  <c r="T236" i="84"/>
  <c r="Q236" i="84"/>
  <c r="O236" i="84"/>
  <c r="M236" i="84"/>
  <c r="K236" i="84"/>
  <c r="G236" i="84"/>
  <c r="T235" i="84"/>
  <c r="Q235" i="84"/>
  <c r="O235" i="84"/>
  <c r="M235" i="84"/>
  <c r="K235" i="84"/>
  <c r="G235" i="84"/>
  <c r="T234" i="84"/>
  <c r="Q234" i="84"/>
  <c r="O234" i="84"/>
  <c r="M234" i="84"/>
  <c r="K234" i="84"/>
  <c r="G234" i="84"/>
  <c r="T233" i="84"/>
  <c r="Q233" i="84"/>
  <c r="O233" i="84"/>
  <c r="M233" i="84"/>
  <c r="K233" i="84"/>
  <c r="G233" i="84"/>
  <c r="T232" i="84"/>
  <c r="Q232" i="84"/>
  <c r="O232" i="84"/>
  <c r="M232" i="84"/>
  <c r="K232" i="84"/>
  <c r="G232" i="84"/>
  <c r="T231" i="84"/>
  <c r="Q231" i="84"/>
  <c r="O231" i="84"/>
  <c r="M231" i="84"/>
  <c r="K231" i="84"/>
  <c r="G231" i="84"/>
  <c r="T230" i="84"/>
  <c r="Q230" i="84"/>
  <c r="O230" i="84"/>
  <c r="M230" i="84"/>
  <c r="K230" i="84"/>
  <c r="G230" i="84"/>
  <c r="T229" i="84"/>
  <c r="Q229" i="84"/>
  <c r="O229" i="84"/>
  <c r="M229" i="84"/>
  <c r="K229" i="84"/>
  <c r="G229" i="84"/>
  <c r="T228" i="84"/>
  <c r="Q228" i="84"/>
  <c r="O228" i="84"/>
  <c r="M228" i="84"/>
  <c r="K228" i="84"/>
  <c r="G228" i="84"/>
  <c r="T227" i="84"/>
  <c r="Q227" i="84"/>
  <c r="O227" i="84"/>
  <c r="M227" i="84"/>
  <c r="K227" i="84"/>
  <c r="G227" i="84"/>
  <c r="T226" i="84"/>
  <c r="Q226" i="84"/>
  <c r="O226" i="84"/>
  <c r="M226" i="84"/>
  <c r="K226" i="84"/>
  <c r="G226" i="84"/>
  <c r="T225" i="84"/>
  <c r="Q225" i="84"/>
  <c r="O225" i="84"/>
  <c r="M225" i="84"/>
  <c r="K225" i="84"/>
  <c r="G225" i="84"/>
  <c r="T224" i="84"/>
  <c r="Q224" i="84"/>
  <c r="O224" i="84"/>
  <c r="M224" i="84"/>
  <c r="K224" i="84"/>
  <c r="G224" i="84"/>
  <c r="T223" i="84"/>
  <c r="Q223" i="84"/>
  <c r="O223" i="84"/>
  <c r="M223" i="84"/>
  <c r="K223" i="84"/>
  <c r="G223" i="84"/>
  <c r="T222" i="84"/>
  <c r="Q222" i="84"/>
  <c r="O222" i="84"/>
  <c r="M222" i="84"/>
  <c r="K222" i="84"/>
  <c r="G222" i="84"/>
  <c r="T221" i="84"/>
  <c r="Q221" i="84"/>
  <c r="O221" i="84"/>
  <c r="M221" i="84"/>
  <c r="K221" i="84"/>
  <c r="G221" i="84"/>
  <c r="T220" i="84"/>
  <c r="Q220" i="84"/>
  <c r="O220" i="84"/>
  <c r="M220" i="84"/>
  <c r="K220" i="84"/>
  <c r="G220" i="84"/>
  <c r="T219" i="84"/>
  <c r="Q219" i="84"/>
  <c r="O219" i="84"/>
  <c r="M219" i="84"/>
  <c r="K219" i="84"/>
  <c r="G219" i="84"/>
  <c r="T218" i="84"/>
  <c r="Q218" i="84"/>
  <c r="O218" i="84"/>
  <c r="M218" i="84"/>
  <c r="K218" i="84"/>
  <c r="G218" i="84"/>
  <c r="T217" i="84"/>
  <c r="Q217" i="84"/>
  <c r="O217" i="84"/>
  <c r="M217" i="84"/>
  <c r="K217" i="84"/>
  <c r="G217" i="84"/>
  <c r="T216" i="84"/>
  <c r="Q216" i="84"/>
  <c r="O216" i="84"/>
  <c r="M216" i="84"/>
  <c r="K216" i="84"/>
  <c r="G216" i="84"/>
  <c r="T215" i="84"/>
  <c r="Q215" i="84"/>
  <c r="O215" i="84"/>
  <c r="M215" i="84"/>
  <c r="K215" i="84"/>
  <c r="G215" i="84"/>
  <c r="T214" i="84"/>
  <c r="Q214" i="84"/>
  <c r="O214" i="84"/>
  <c r="M214" i="84"/>
  <c r="K214" i="84"/>
  <c r="G214" i="84"/>
  <c r="T213" i="84"/>
  <c r="Q213" i="84"/>
  <c r="O213" i="84"/>
  <c r="M213" i="84"/>
  <c r="K213" i="84"/>
  <c r="G213" i="84"/>
  <c r="T212" i="84"/>
  <c r="Q212" i="84"/>
  <c r="O212" i="84"/>
  <c r="M212" i="84"/>
  <c r="K212" i="84"/>
  <c r="G212" i="84"/>
  <c r="T211" i="84"/>
  <c r="Q211" i="84"/>
  <c r="O211" i="84"/>
  <c r="M211" i="84"/>
  <c r="K211" i="84"/>
  <c r="G211" i="84"/>
  <c r="T210" i="84"/>
  <c r="Q210" i="84"/>
  <c r="O210" i="84"/>
  <c r="M210" i="84"/>
  <c r="K210" i="84"/>
  <c r="G210" i="84"/>
  <c r="T209" i="84"/>
  <c r="Q209" i="84"/>
  <c r="O209" i="84"/>
  <c r="M209" i="84"/>
  <c r="K209" i="84"/>
  <c r="G209" i="84"/>
  <c r="T208" i="84"/>
  <c r="Q208" i="84"/>
  <c r="O208" i="84"/>
  <c r="M208" i="84"/>
  <c r="K208" i="84"/>
  <c r="G208" i="84"/>
  <c r="T207" i="84"/>
  <c r="Q207" i="84"/>
  <c r="O207" i="84"/>
  <c r="M207" i="84"/>
  <c r="K207" i="84"/>
  <c r="G207" i="84"/>
  <c r="T206" i="84"/>
  <c r="Q206" i="84"/>
  <c r="O206" i="84"/>
  <c r="M206" i="84"/>
  <c r="K206" i="84"/>
  <c r="G206" i="84"/>
  <c r="T205" i="84"/>
  <c r="Q205" i="84"/>
  <c r="O205" i="84"/>
  <c r="M205" i="84"/>
  <c r="K205" i="84"/>
  <c r="G205" i="84"/>
  <c r="T204" i="84"/>
  <c r="Q204" i="84"/>
  <c r="O204" i="84"/>
  <c r="M204" i="84"/>
  <c r="K204" i="84"/>
  <c r="G204" i="84"/>
  <c r="T203" i="84"/>
  <c r="Q203" i="84"/>
  <c r="O203" i="84"/>
  <c r="M203" i="84"/>
  <c r="K203" i="84"/>
  <c r="G203" i="84"/>
  <c r="T202" i="84"/>
  <c r="Q202" i="84"/>
  <c r="O202" i="84"/>
  <c r="M202" i="84"/>
  <c r="K202" i="84"/>
  <c r="G202" i="84"/>
  <c r="T201" i="84"/>
  <c r="Q201" i="84"/>
  <c r="O201" i="84"/>
  <c r="M201" i="84"/>
  <c r="K201" i="84"/>
  <c r="G201" i="84"/>
  <c r="T200" i="84"/>
  <c r="Q200" i="84"/>
  <c r="O200" i="84"/>
  <c r="M200" i="84"/>
  <c r="K200" i="84"/>
  <c r="G200" i="84"/>
  <c r="T199" i="84"/>
  <c r="Q199" i="84"/>
  <c r="O199" i="84"/>
  <c r="M199" i="84"/>
  <c r="K199" i="84"/>
  <c r="G199" i="84"/>
  <c r="T198" i="84"/>
  <c r="Q198" i="84"/>
  <c r="O198" i="84"/>
  <c r="M198" i="84"/>
  <c r="K198" i="84"/>
  <c r="G198" i="84"/>
  <c r="T197" i="84"/>
  <c r="Q197" i="84"/>
  <c r="O197" i="84"/>
  <c r="M197" i="84"/>
  <c r="K197" i="84"/>
  <c r="G197" i="84"/>
  <c r="T196" i="84"/>
  <c r="Q196" i="84"/>
  <c r="O196" i="84"/>
  <c r="M196" i="84"/>
  <c r="K196" i="84"/>
  <c r="G196" i="84"/>
  <c r="T195" i="84"/>
  <c r="Q195" i="84"/>
  <c r="O195" i="84"/>
  <c r="M195" i="84"/>
  <c r="K195" i="84"/>
  <c r="G195" i="84"/>
  <c r="T194" i="84"/>
  <c r="Q194" i="84"/>
  <c r="O194" i="84"/>
  <c r="M194" i="84"/>
  <c r="K194" i="84"/>
  <c r="G194" i="84"/>
  <c r="T193" i="84"/>
  <c r="Q193" i="84"/>
  <c r="O193" i="84"/>
  <c r="M193" i="84"/>
  <c r="K193" i="84"/>
  <c r="G193" i="84"/>
  <c r="T192" i="84"/>
  <c r="Q192" i="84"/>
  <c r="O192" i="84"/>
  <c r="M192" i="84"/>
  <c r="K192" i="84"/>
  <c r="G192" i="84"/>
  <c r="T191" i="84"/>
  <c r="Q191" i="84"/>
  <c r="O191" i="84"/>
  <c r="M191" i="84"/>
  <c r="K191" i="84"/>
  <c r="G191" i="84"/>
  <c r="T190" i="84"/>
  <c r="Q190" i="84"/>
  <c r="O190" i="84"/>
  <c r="M190" i="84"/>
  <c r="K190" i="84"/>
  <c r="G190" i="84"/>
  <c r="T189" i="84"/>
  <c r="Q189" i="84"/>
  <c r="O189" i="84"/>
  <c r="M189" i="84"/>
  <c r="K189" i="84"/>
  <c r="G189" i="84"/>
  <c r="T188" i="84"/>
  <c r="Q188" i="84"/>
  <c r="O188" i="84"/>
  <c r="M188" i="84"/>
  <c r="K188" i="84"/>
  <c r="G188" i="84"/>
  <c r="T187" i="84"/>
  <c r="Q187" i="84"/>
  <c r="O187" i="84"/>
  <c r="M187" i="84"/>
  <c r="K187" i="84"/>
  <c r="G187" i="84"/>
  <c r="T186" i="84"/>
  <c r="Q186" i="84"/>
  <c r="O186" i="84"/>
  <c r="M186" i="84"/>
  <c r="K186" i="84"/>
  <c r="G186" i="84"/>
  <c r="T185" i="84"/>
  <c r="Q185" i="84"/>
  <c r="O185" i="84"/>
  <c r="M185" i="84"/>
  <c r="K185" i="84"/>
  <c r="G185" i="84"/>
  <c r="T184" i="84"/>
  <c r="Q184" i="84"/>
  <c r="O184" i="84"/>
  <c r="M184" i="84"/>
  <c r="K184" i="84"/>
  <c r="G184" i="84"/>
  <c r="T183" i="84"/>
  <c r="Q183" i="84"/>
  <c r="O183" i="84"/>
  <c r="M183" i="84"/>
  <c r="K183" i="84"/>
  <c r="G183" i="84"/>
  <c r="T182" i="84"/>
  <c r="Q182" i="84"/>
  <c r="O182" i="84"/>
  <c r="M182" i="84"/>
  <c r="K182" i="84"/>
  <c r="G182" i="84"/>
  <c r="T181" i="84"/>
  <c r="Q181" i="84"/>
  <c r="O181" i="84"/>
  <c r="M181" i="84"/>
  <c r="K181" i="84"/>
  <c r="G181" i="84"/>
  <c r="T180" i="84"/>
  <c r="Q180" i="84"/>
  <c r="O180" i="84"/>
  <c r="M180" i="84"/>
  <c r="K180" i="84"/>
  <c r="G180" i="84"/>
  <c r="T179" i="84"/>
  <c r="Q179" i="84"/>
  <c r="O179" i="84"/>
  <c r="M179" i="84"/>
  <c r="K179" i="84"/>
  <c r="G179" i="84"/>
  <c r="T178" i="84"/>
  <c r="Q178" i="84"/>
  <c r="O178" i="84"/>
  <c r="M178" i="84"/>
  <c r="K178" i="84"/>
  <c r="G178" i="84"/>
  <c r="T177" i="84"/>
  <c r="Q177" i="84"/>
  <c r="O177" i="84"/>
  <c r="M177" i="84"/>
  <c r="K177" i="84"/>
  <c r="G177" i="84"/>
  <c r="T176" i="84"/>
  <c r="Q176" i="84"/>
  <c r="O176" i="84"/>
  <c r="M176" i="84"/>
  <c r="K176" i="84"/>
  <c r="G176" i="84"/>
  <c r="T175" i="84"/>
  <c r="Q175" i="84"/>
  <c r="O175" i="84"/>
  <c r="M175" i="84"/>
  <c r="K175" i="84"/>
  <c r="G175" i="84"/>
  <c r="T174" i="84"/>
  <c r="Q174" i="84"/>
  <c r="O174" i="84"/>
  <c r="M174" i="84"/>
  <c r="K174" i="84"/>
  <c r="G174" i="84"/>
  <c r="T173" i="84"/>
  <c r="Q173" i="84"/>
  <c r="O173" i="84"/>
  <c r="M173" i="84"/>
  <c r="K173" i="84"/>
  <c r="G173" i="84"/>
  <c r="T172" i="84"/>
  <c r="Q172" i="84"/>
  <c r="O172" i="84"/>
  <c r="M172" i="84"/>
  <c r="K172" i="84"/>
  <c r="G172" i="84"/>
  <c r="T171" i="84"/>
  <c r="Q171" i="84"/>
  <c r="O171" i="84"/>
  <c r="M171" i="84"/>
  <c r="K171" i="84"/>
  <c r="G171" i="84"/>
  <c r="T170" i="84"/>
  <c r="Q170" i="84"/>
  <c r="O170" i="84"/>
  <c r="M170" i="84"/>
  <c r="K170" i="84"/>
  <c r="G170" i="84"/>
  <c r="T169" i="84"/>
  <c r="Q169" i="84"/>
  <c r="O169" i="84"/>
  <c r="M169" i="84"/>
  <c r="K169" i="84"/>
  <c r="G169" i="84"/>
  <c r="T168" i="84"/>
  <c r="Q168" i="84"/>
  <c r="O168" i="84"/>
  <c r="M168" i="84"/>
  <c r="K168" i="84"/>
  <c r="G168" i="84"/>
  <c r="T167" i="84"/>
  <c r="Q167" i="84"/>
  <c r="O167" i="84"/>
  <c r="M167" i="84"/>
  <c r="K167" i="84"/>
  <c r="G167" i="84"/>
  <c r="T166" i="84"/>
  <c r="Q166" i="84"/>
  <c r="O166" i="84"/>
  <c r="M166" i="84"/>
  <c r="K166" i="84"/>
  <c r="G166" i="84"/>
  <c r="T165" i="84"/>
  <c r="Q165" i="84"/>
  <c r="O165" i="84"/>
  <c r="M165" i="84"/>
  <c r="K165" i="84"/>
  <c r="G165" i="84"/>
  <c r="T164" i="84"/>
  <c r="Q164" i="84"/>
  <c r="O164" i="84"/>
  <c r="M164" i="84"/>
  <c r="K164" i="84"/>
  <c r="G164" i="84"/>
  <c r="T163" i="84"/>
  <c r="Q163" i="84"/>
  <c r="O163" i="84"/>
  <c r="M163" i="84"/>
  <c r="K163" i="84"/>
  <c r="G163" i="84"/>
  <c r="T162" i="84"/>
  <c r="Q162" i="84"/>
  <c r="O162" i="84"/>
  <c r="M162" i="84"/>
  <c r="K162" i="84"/>
  <c r="G162" i="84"/>
  <c r="T161" i="84"/>
  <c r="Q161" i="84"/>
  <c r="O161" i="84"/>
  <c r="M161" i="84"/>
  <c r="K161" i="84"/>
  <c r="G161" i="84"/>
  <c r="T160" i="84"/>
  <c r="Q160" i="84"/>
  <c r="O160" i="84"/>
  <c r="M160" i="84"/>
  <c r="K160" i="84"/>
  <c r="G160" i="84"/>
  <c r="T159" i="84"/>
  <c r="Q159" i="84"/>
  <c r="O159" i="84"/>
  <c r="M159" i="84"/>
  <c r="K159" i="84"/>
  <c r="G159" i="84"/>
  <c r="T158" i="84"/>
  <c r="Q158" i="84"/>
  <c r="O158" i="84"/>
  <c r="M158" i="84"/>
  <c r="K158" i="84"/>
  <c r="G158" i="84"/>
  <c r="T157" i="84"/>
  <c r="Q157" i="84"/>
  <c r="O157" i="84"/>
  <c r="M157" i="84"/>
  <c r="K157" i="84"/>
  <c r="G157" i="84"/>
  <c r="T156" i="84"/>
  <c r="Q156" i="84"/>
  <c r="O156" i="84"/>
  <c r="M156" i="84"/>
  <c r="K156" i="84"/>
  <c r="G156" i="84"/>
  <c r="T155" i="84"/>
  <c r="Q155" i="84"/>
  <c r="O155" i="84"/>
  <c r="M155" i="84"/>
  <c r="K155" i="84"/>
  <c r="G155" i="84"/>
  <c r="T154" i="84"/>
  <c r="Q154" i="84"/>
  <c r="O154" i="84"/>
  <c r="M154" i="84"/>
  <c r="K154" i="84"/>
  <c r="G154" i="84"/>
  <c r="T153" i="84"/>
  <c r="Q153" i="84"/>
  <c r="O153" i="84"/>
  <c r="M153" i="84"/>
  <c r="K153" i="84"/>
  <c r="G153" i="84"/>
  <c r="T152" i="84"/>
  <c r="Q152" i="84"/>
  <c r="O152" i="84"/>
  <c r="M152" i="84"/>
  <c r="K152" i="84"/>
  <c r="G152" i="84"/>
  <c r="T151" i="84"/>
  <c r="Q151" i="84"/>
  <c r="O151" i="84"/>
  <c r="M151" i="84"/>
  <c r="K151" i="84"/>
  <c r="G151" i="84"/>
  <c r="T150" i="84"/>
  <c r="Q150" i="84"/>
  <c r="O150" i="84"/>
  <c r="M150" i="84"/>
  <c r="K150" i="84"/>
  <c r="G150" i="84"/>
  <c r="T149" i="84"/>
  <c r="Q149" i="84"/>
  <c r="O149" i="84"/>
  <c r="M149" i="84"/>
  <c r="K149" i="84"/>
  <c r="G149" i="84"/>
  <c r="T148" i="84"/>
  <c r="Q148" i="84"/>
  <c r="O148" i="84"/>
  <c r="M148" i="84"/>
  <c r="K148" i="84"/>
  <c r="G148" i="84"/>
  <c r="T147" i="84"/>
  <c r="Q147" i="84"/>
  <c r="O147" i="84"/>
  <c r="M147" i="84"/>
  <c r="K147" i="84"/>
  <c r="G147" i="84"/>
  <c r="T146" i="84"/>
  <c r="Q146" i="84"/>
  <c r="O146" i="84"/>
  <c r="M146" i="84"/>
  <c r="K146" i="84"/>
  <c r="G146" i="84"/>
  <c r="T145" i="84"/>
  <c r="Q145" i="84"/>
  <c r="O145" i="84"/>
  <c r="M145" i="84"/>
  <c r="K145" i="84"/>
  <c r="G145" i="84"/>
  <c r="T144" i="84"/>
  <c r="Q144" i="84"/>
  <c r="O144" i="84"/>
  <c r="M144" i="84"/>
  <c r="K144" i="84"/>
  <c r="G144" i="84"/>
  <c r="T143" i="84"/>
  <c r="Q143" i="84"/>
  <c r="O143" i="84"/>
  <c r="M143" i="84"/>
  <c r="K143" i="84"/>
  <c r="G143" i="84"/>
  <c r="T142" i="84"/>
  <c r="Q142" i="84"/>
  <c r="O142" i="84"/>
  <c r="M142" i="84"/>
  <c r="K142" i="84"/>
  <c r="G142" i="84"/>
  <c r="T141" i="84"/>
  <c r="Q141" i="84"/>
  <c r="O141" i="84"/>
  <c r="M141" i="84"/>
  <c r="K141" i="84"/>
  <c r="G141" i="84"/>
  <c r="T140" i="84"/>
  <c r="Q140" i="84"/>
  <c r="O140" i="84"/>
  <c r="M140" i="84"/>
  <c r="K140" i="84"/>
  <c r="G140" i="84"/>
  <c r="T139" i="84"/>
  <c r="Q139" i="84"/>
  <c r="O139" i="84"/>
  <c r="M139" i="84"/>
  <c r="K139" i="84"/>
  <c r="G139" i="84"/>
  <c r="T138" i="84"/>
  <c r="Q138" i="84"/>
  <c r="O138" i="84"/>
  <c r="M138" i="84"/>
  <c r="K138" i="84"/>
  <c r="G138" i="84"/>
  <c r="T137" i="84"/>
  <c r="Q137" i="84"/>
  <c r="O137" i="84"/>
  <c r="M137" i="84"/>
  <c r="K137" i="84"/>
  <c r="G137" i="84"/>
  <c r="T136" i="84"/>
  <c r="Q136" i="84"/>
  <c r="O136" i="84"/>
  <c r="M136" i="84"/>
  <c r="K136" i="84"/>
  <c r="G136" i="84"/>
  <c r="T135" i="84"/>
  <c r="Q135" i="84"/>
  <c r="O135" i="84"/>
  <c r="M135" i="84"/>
  <c r="K135" i="84"/>
  <c r="G135" i="84"/>
  <c r="T134" i="84"/>
  <c r="Q134" i="84"/>
  <c r="O134" i="84"/>
  <c r="M134" i="84"/>
  <c r="K134" i="84"/>
  <c r="G134" i="84"/>
  <c r="T133" i="84"/>
  <c r="Q133" i="84"/>
  <c r="O133" i="84"/>
  <c r="M133" i="84"/>
  <c r="K133" i="84"/>
  <c r="G133" i="84"/>
  <c r="T132" i="84"/>
  <c r="Q132" i="84"/>
  <c r="O132" i="84"/>
  <c r="M132" i="84"/>
  <c r="K132" i="84"/>
  <c r="G132" i="84"/>
  <c r="T131" i="84"/>
  <c r="Q131" i="84"/>
  <c r="O131" i="84"/>
  <c r="M131" i="84"/>
  <c r="K131" i="84"/>
  <c r="G131" i="84"/>
  <c r="T130" i="84"/>
  <c r="Q130" i="84"/>
  <c r="O130" i="84"/>
  <c r="M130" i="84"/>
  <c r="K130" i="84"/>
  <c r="G130" i="84"/>
  <c r="T129" i="84"/>
  <c r="Q129" i="84"/>
  <c r="O129" i="84"/>
  <c r="M129" i="84"/>
  <c r="K129" i="84"/>
  <c r="G129" i="84"/>
  <c r="T128" i="84"/>
  <c r="Q128" i="84"/>
  <c r="O128" i="84"/>
  <c r="M128" i="84"/>
  <c r="K128" i="84"/>
  <c r="G128" i="84"/>
  <c r="T127" i="84"/>
  <c r="Q127" i="84"/>
  <c r="O127" i="84"/>
  <c r="M127" i="84"/>
  <c r="K127" i="84"/>
  <c r="G127" i="84"/>
  <c r="T126" i="84"/>
  <c r="Q126" i="84"/>
  <c r="O126" i="84"/>
  <c r="M126" i="84"/>
  <c r="K126" i="84"/>
  <c r="G126" i="84"/>
  <c r="T125" i="84"/>
  <c r="Q125" i="84"/>
  <c r="O125" i="84"/>
  <c r="M125" i="84"/>
  <c r="K125" i="84"/>
  <c r="G125" i="84"/>
  <c r="T124" i="84"/>
  <c r="Q124" i="84"/>
  <c r="O124" i="84"/>
  <c r="M124" i="84"/>
  <c r="K124" i="84"/>
  <c r="G124" i="84"/>
  <c r="T123" i="84"/>
  <c r="Q123" i="84"/>
  <c r="O123" i="84"/>
  <c r="M123" i="84"/>
  <c r="K123" i="84"/>
  <c r="G123" i="84"/>
  <c r="T122" i="84"/>
  <c r="Q122" i="84"/>
  <c r="O122" i="84"/>
  <c r="M122" i="84"/>
  <c r="K122" i="84"/>
  <c r="G122" i="84"/>
  <c r="T121" i="84"/>
  <c r="Q121" i="84"/>
  <c r="O121" i="84"/>
  <c r="M121" i="84"/>
  <c r="K121" i="84"/>
  <c r="G121" i="84"/>
  <c r="T120" i="84"/>
  <c r="Q120" i="84"/>
  <c r="O120" i="84"/>
  <c r="M120" i="84"/>
  <c r="K120" i="84"/>
  <c r="G120" i="84"/>
  <c r="T119" i="84"/>
  <c r="Q119" i="84"/>
  <c r="O119" i="84"/>
  <c r="M119" i="84"/>
  <c r="K119" i="84"/>
  <c r="G119" i="84"/>
  <c r="T118" i="84"/>
  <c r="Q118" i="84"/>
  <c r="O118" i="84"/>
  <c r="M118" i="84"/>
  <c r="K118" i="84"/>
  <c r="G118" i="84"/>
  <c r="T117" i="84"/>
  <c r="Q117" i="84"/>
  <c r="O117" i="84"/>
  <c r="M117" i="84"/>
  <c r="K117" i="84"/>
  <c r="G117" i="84"/>
  <c r="T116" i="84"/>
  <c r="Q116" i="84"/>
  <c r="O116" i="84"/>
  <c r="M116" i="84"/>
  <c r="K116" i="84"/>
  <c r="G116" i="84"/>
  <c r="T115" i="84"/>
  <c r="Q115" i="84"/>
  <c r="O115" i="84"/>
  <c r="M115" i="84"/>
  <c r="K115" i="84"/>
  <c r="G115" i="84"/>
  <c r="T114" i="84"/>
  <c r="Q114" i="84"/>
  <c r="O114" i="84"/>
  <c r="M114" i="84"/>
  <c r="K114" i="84"/>
  <c r="G114" i="84"/>
  <c r="T113" i="84"/>
  <c r="Q113" i="84"/>
  <c r="O113" i="84"/>
  <c r="M113" i="84"/>
  <c r="K113" i="84"/>
  <c r="G113" i="84"/>
  <c r="T112" i="84"/>
  <c r="Q112" i="84"/>
  <c r="O112" i="84"/>
  <c r="M112" i="84"/>
  <c r="K112" i="84"/>
  <c r="G112" i="84"/>
  <c r="T111" i="84"/>
  <c r="Q111" i="84"/>
  <c r="O111" i="84"/>
  <c r="M111" i="84"/>
  <c r="K111" i="84"/>
  <c r="G111" i="84"/>
  <c r="T110" i="84"/>
  <c r="Q110" i="84"/>
  <c r="O110" i="84"/>
  <c r="M110" i="84"/>
  <c r="K110" i="84"/>
  <c r="G110" i="84"/>
  <c r="T109" i="84"/>
  <c r="Q109" i="84"/>
  <c r="O109" i="84"/>
  <c r="M109" i="84"/>
  <c r="K109" i="84"/>
  <c r="G109" i="84"/>
  <c r="T108" i="84"/>
  <c r="Q108" i="84"/>
  <c r="O108" i="84"/>
  <c r="M108" i="84"/>
  <c r="K108" i="84"/>
  <c r="G108" i="84"/>
  <c r="T107" i="84"/>
  <c r="Q107" i="84"/>
  <c r="O107" i="84"/>
  <c r="M107" i="84"/>
  <c r="K107" i="84"/>
  <c r="G107" i="84"/>
  <c r="T106" i="84"/>
  <c r="Q106" i="84"/>
  <c r="O106" i="84"/>
  <c r="M106" i="84"/>
  <c r="K106" i="84"/>
  <c r="G106" i="84"/>
  <c r="T105" i="84"/>
  <c r="Q105" i="84"/>
  <c r="O105" i="84"/>
  <c r="M105" i="84"/>
  <c r="K105" i="84"/>
  <c r="G105" i="84"/>
  <c r="T104" i="84"/>
  <c r="Q104" i="84"/>
  <c r="O104" i="84"/>
  <c r="M104" i="84"/>
  <c r="K104" i="84"/>
  <c r="G104" i="84"/>
  <c r="T103" i="84"/>
  <c r="Q103" i="84"/>
  <c r="O103" i="84"/>
  <c r="M103" i="84"/>
  <c r="K103" i="84"/>
  <c r="G103" i="84"/>
  <c r="T102" i="84"/>
  <c r="Q102" i="84"/>
  <c r="O102" i="84"/>
  <c r="M102" i="84"/>
  <c r="K102" i="84"/>
  <c r="G102" i="84"/>
  <c r="T101" i="84"/>
  <c r="Q101" i="84"/>
  <c r="O101" i="84"/>
  <c r="M101" i="84"/>
  <c r="K101" i="84"/>
  <c r="G101" i="84"/>
  <c r="T100" i="84"/>
  <c r="Q100" i="84"/>
  <c r="O100" i="84"/>
  <c r="M100" i="84"/>
  <c r="K100" i="84"/>
  <c r="G100" i="84"/>
  <c r="C100" i="84"/>
  <c r="T99" i="84"/>
  <c r="Q99" i="84"/>
  <c r="O99" i="84"/>
  <c r="M99" i="84"/>
  <c r="K99" i="84"/>
  <c r="G99" i="84"/>
  <c r="T98" i="84"/>
  <c r="Q98" i="84"/>
  <c r="O98" i="84"/>
  <c r="M98" i="84"/>
  <c r="K98" i="84"/>
  <c r="G98" i="84"/>
  <c r="T97" i="84"/>
  <c r="Q97" i="84"/>
  <c r="O97" i="84"/>
  <c r="M97" i="84"/>
  <c r="K97" i="84"/>
  <c r="G97" i="84"/>
  <c r="T96" i="84"/>
  <c r="Q96" i="84"/>
  <c r="O96" i="84"/>
  <c r="M96" i="84"/>
  <c r="K96" i="84"/>
  <c r="G96" i="84"/>
  <c r="T95" i="84"/>
  <c r="Q95" i="84"/>
  <c r="O95" i="84"/>
  <c r="M95" i="84"/>
  <c r="K95" i="84"/>
  <c r="G95" i="84"/>
  <c r="T94" i="84"/>
  <c r="Q94" i="84"/>
  <c r="O94" i="84"/>
  <c r="M94" i="84"/>
  <c r="K94" i="84"/>
  <c r="G94" i="84"/>
  <c r="T93" i="84"/>
  <c r="Q93" i="84"/>
  <c r="O93" i="84"/>
  <c r="M93" i="84"/>
  <c r="K93" i="84"/>
  <c r="G93" i="84"/>
  <c r="T92" i="84"/>
  <c r="Q92" i="84"/>
  <c r="O92" i="84"/>
  <c r="M92" i="84"/>
  <c r="K92" i="84"/>
  <c r="G92" i="84"/>
  <c r="T91" i="84"/>
  <c r="Q91" i="84"/>
  <c r="O91" i="84"/>
  <c r="M91" i="84"/>
  <c r="K91" i="84"/>
  <c r="G91" i="84"/>
  <c r="T90" i="84"/>
  <c r="Q90" i="84"/>
  <c r="O90" i="84"/>
  <c r="M90" i="84"/>
  <c r="K90" i="84"/>
  <c r="G90" i="84"/>
  <c r="T89" i="84"/>
  <c r="Q89" i="84"/>
  <c r="O89" i="84"/>
  <c r="M89" i="84"/>
  <c r="K89" i="84"/>
  <c r="G89" i="84"/>
  <c r="T88" i="84"/>
  <c r="Q88" i="84"/>
  <c r="O88" i="84"/>
  <c r="M88" i="84"/>
  <c r="K88" i="84"/>
  <c r="G88" i="84"/>
  <c r="T87" i="84"/>
  <c r="Q87" i="84"/>
  <c r="O87" i="84"/>
  <c r="M87" i="84"/>
  <c r="K87" i="84"/>
  <c r="G87" i="84"/>
  <c r="T86" i="84"/>
  <c r="Q86" i="84"/>
  <c r="O86" i="84"/>
  <c r="M86" i="84"/>
  <c r="K86" i="84"/>
  <c r="G86" i="84"/>
  <c r="T85" i="84"/>
  <c r="Q85" i="84"/>
  <c r="O85" i="84"/>
  <c r="M85" i="84"/>
  <c r="K85" i="84"/>
  <c r="G85" i="84"/>
  <c r="T84" i="84"/>
  <c r="Q84" i="84"/>
  <c r="O84" i="84"/>
  <c r="M84" i="84"/>
  <c r="K84" i="84"/>
  <c r="G84" i="84"/>
  <c r="T83" i="84"/>
  <c r="Q83" i="84"/>
  <c r="O83" i="84"/>
  <c r="M83" i="84"/>
  <c r="K83" i="84"/>
  <c r="G83" i="84"/>
  <c r="T82" i="84"/>
  <c r="Q82" i="84"/>
  <c r="O82" i="84"/>
  <c r="M82" i="84"/>
  <c r="K82" i="84"/>
  <c r="G82" i="84"/>
  <c r="T81" i="84"/>
  <c r="Q81" i="84"/>
  <c r="O81" i="84"/>
  <c r="M81" i="84"/>
  <c r="K81" i="84"/>
  <c r="G81" i="84"/>
  <c r="T80" i="84"/>
  <c r="Q80" i="84"/>
  <c r="O80" i="84"/>
  <c r="M80" i="84"/>
  <c r="K80" i="84"/>
  <c r="G80" i="84"/>
  <c r="T79" i="84"/>
  <c r="Q79" i="84"/>
  <c r="O79" i="84"/>
  <c r="M79" i="84"/>
  <c r="K79" i="84"/>
  <c r="G79" i="84"/>
  <c r="T78" i="84"/>
  <c r="Q78" i="84"/>
  <c r="O78" i="84"/>
  <c r="M78" i="84"/>
  <c r="K78" i="84"/>
  <c r="G78" i="84"/>
  <c r="T77" i="84"/>
  <c r="Q77" i="84"/>
  <c r="O77" i="84"/>
  <c r="M77" i="84"/>
  <c r="K77" i="84"/>
  <c r="G77" i="84"/>
  <c r="T76" i="84"/>
  <c r="Q76" i="84"/>
  <c r="O76" i="84"/>
  <c r="M76" i="84"/>
  <c r="K76" i="84"/>
  <c r="G76" i="84"/>
  <c r="T75" i="84"/>
  <c r="Q75" i="84"/>
  <c r="O75" i="84"/>
  <c r="M75" i="84"/>
  <c r="K75" i="84"/>
  <c r="G75" i="84"/>
  <c r="T74" i="84"/>
  <c r="Q74" i="84"/>
  <c r="O74" i="84"/>
  <c r="M74" i="84"/>
  <c r="K74" i="84"/>
  <c r="G74" i="84"/>
  <c r="T73" i="84"/>
  <c r="Q73" i="84"/>
  <c r="O73" i="84"/>
  <c r="M73" i="84"/>
  <c r="K73" i="84"/>
  <c r="G73" i="84"/>
  <c r="T72" i="84"/>
  <c r="Q72" i="84"/>
  <c r="O72" i="84"/>
  <c r="M72" i="84"/>
  <c r="K72" i="84"/>
  <c r="G72" i="84"/>
  <c r="T71" i="84"/>
  <c r="Q71" i="84"/>
  <c r="O71" i="84"/>
  <c r="M71" i="84"/>
  <c r="K71" i="84"/>
  <c r="G71" i="84"/>
  <c r="T70" i="84"/>
  <c r="Q70" i="84"/>
  <c r="O70" i="84"/>
  <c r="M70" i="84"/>
  <c r="K70" i="84"/>
  <c r="G70" i="84"/>
  <c r="T69" i="84"/>
  <c r="Q69" i="84"/>
  <c r="O69" i="84"/>
  <c r="M69" i="84"/>
  <c r="K69" i="84"/>
  <c r="G69" i="84"/>
  <c r="T68" i="84"/>
  <c r="Q68" i="84"/>
  <c r="O68" i="84"/>
  <c r="M68" i="84"/>
  <c r="K68" i="84"/>
  <c r="G68" i="84"/>
  <c r="T67" i="84"/>
  <c r="Q67" i="84"/>
  <c r="O67" i="84"/>
  <c r="M67" i="84"/>
  <c r="K67" i="84"/>
  <c r="G67" i="84"/>
  <c r="T66" i="84"/>
  <c r="Q66" i="84"/>
  <c r="O66" i="84"/>
  <c r="M66" i="84"/>
  <c r="K66" i="84"/>
  <c r="G66" i="84"/>
  <c r="T65" i="84"/>
  <c r="Q65" i="84"/>
  <c r="O65" i="84"/>
  <c r="M65" i="84"/>
  <c r="K65" i="84"/>
  <c r="G65" i="84"/>
  <c r="T64" i="84"/>
  <c r="Q64" i="84"/>
  <c r="O64" i="84"/>
  <c r="M64" i="84"/>
  <c r="K64" i="84"/>
  <c r="G64" i="84"/>
  <c r="T63" i="84"/>
  <c r="Q63" i="84"/>
  <c r="O63" i="84"/>
  <c r="M63" i="84"/>
  <c r="K63" i="84"/>
  <c r="G63" i="84"/>
  <c r="T62" i="84"/>
  <c r="Q62" i="84"/>
  <c r="O62" i="84"/>
  <c r="M62" i="84"/>
  <c r="K62" i="84"/>
  <c r="G62" i="84"/>
  <c r="T61" i="84"/>
  <c r="Q61" i="84"/>
  <c r="O61" i="84"/>
  <c r="M61" i="84"/>
  <c r="K61" i="84"/>
  <c r="G61" i="84"/>
  <c r="T60" i="84"/>
  <c r="Q60" i="84"/>
  <c r="O60" i="84"/>
  <c r="M60" i="84"/>
  <c r="K60" i="84"/>
  <c r="G60" i="84"/>
  <c r="T59" i="84"/>
  <c r="Q59" i="84"/>
  <c r="O59" i="84"/>
  <c r="M59" i="84"/>
  <c r="K59" i="84"/>
  <c r="G59" i="84"/>
  <c r="T58" i="84"/>
  <c r="Q58" i="84"/>
  <c r="O58" i="84"/>
  <c r="M58" i="84"/>
  <c r="K58" i="84"/>
  <c r="G58" i="84"/>
  <c r="T57" i="84"/>
  <c r="Q57" i="84"/>
  <c r="O57" i="84"/>
  <c r="M57" i="84"/>
  <c r="K57" i="84"/>
  <c r="G57" i="84"/>
  <c r="T56" i="84"/>
  <c r="Q56" i="84"/>
  <c r="O56" i="84"/>
  <c r="M56" i="84"/>
  <c r="K56" i="84"/>
  <c r="G56" i="84"/>
  <c r="T55" i="84"/>
  <c r="Q55" i="84"/>
  <c r="O55" i="84"/>
  <c r="M55" i="84"/>
  <c r="K55" i="84"/>
  <c r="G55" i="84"/>
  <c r="T54" i="84"/>
  <c r="Q54" i="84"/>
  <c r="O54" i="84"/>
  <c r="M54" i="84"/>
  <c r="K54" i="84"/>
  <c r="G54" i="84"/>
  <c r="T53" i="84"/>
  <c r="Q53" i="84"/>
  <c r="O53" i="84"/>
  <c r="M53" i="84"/>
  <c r="K53" i="84"/>
  <c r="G53" i="84"/>
  <c r="T52" i="84"/>
  <c r="Q52" i="84"/>
  <c r="O52" i="84"/>
  <c r="M52" i="84"/>
  <c r="K52" i="84"/>
  <c r="G52" i="84"/>
  <c r="T51" i="84"/>
  <c r="Q51" i="84"/>
  <c r="O51" i="84"/>
  <c r="M51" i="84"/>
  <c r="K51" i="84"/>
  <c r="G51" i="84"/>
  <c r="T50" i="84"/>
  <c r="Q50" i="84"/>
  <c r="O50" i="84"/>
  <c r="M50" i="84"/>
  <c r="K50" i="84"/>
  <c r="G50" i="84"/>
  <c r="T49" i="84"/>
  <c r="Q49" i="84"/>
  <c r="O49" i="84"/>
  <c r="M49" i="84"/>
  <c r="K49" i="84"/>
  <c r="G49" i="84"/>
  <c r="T48" i="84"/>
  <c r="Q48" i="84"/>
  <c r="O48" i="84"/>
  <c r="M48" i="84"/>
  <c r="K48" i="84"/>
  <c r="G48" i="84"/>
  <c r="T47" i="84"/>
  <c r="Q47" i="84"/>
  <c r="O47" i="84"/>
  <c r="M47" i="84"/>
  <c r="K47" i="84"/>
  <c r="G47" i="84"/>
  <c r="T46" i="84"/>
  <c r="Q46" i="84"/>
  <c r="O46" i="84"/>
  <c r="M46" i="84"/>
  <c r="K46" i="84"/>
  <c r="G46" i="84"/>
  <c r="T45" i="84"/>
  <c r="Q45" i="84"/>
  <c r="O45" i="84"/>
  <c r="M45" i="84"/>
  <c r="K45" i="84"/>
  <c r="G45" i="84"/>
  <c r="T44" i="84"/>
  <c r="Q44" i="84"/>
  <c r="O44" i="84"/>
  <c r="M44" i="84"/>
  <c r="K44" i="84"/>
  <c r="G44" i="84"/>
  <c r="T43" i="84"/>
  <c r="Q43" i="84"/>
  <c r="O43" i="84"/>
  <c r="M43" i="84"/>
  <c r="K43" i="84"/>
  <c r="G43" i="84"/>
  <c r="T42" i="84"/>
  <c r="Q42" i="84"/>
  <c r="O42" i="84"/>
  <c r="M42" i="84"/>
  <c r="K42" i="84"/>
  <c r="G42" i="84"/>
  <c r="T41" i="84"/>
  <c r="Q41" i="84"/>
  <c r="O41" i="84"/>
  <c r="M41" i="84"/>
  <c r="K41" i="84"/>
  <c r="G41" i="84"/>
  <c r="T40" i="84"/>
  <c r="Q40" i="84"/>
  <c r="O40" i="84"/>
  <c r="M40" i="84"/>
  <c r="K40" i="84"/>
  <c r="G40" i="84"/>
  <c r="T39" i="84"/>
  <c r="Q39" i="84"/>
  <c r="O39" i="84"/>
  <c r="M39" i="84"/>
  <c r="K39" i="84"/>
  <c r="G39" i="84"/>
  <c r="Q38" i="84"/>
  <c r="O38" i="84"/>
  <c r="M38" i="84"/>
  <c r="K38" i="84"/>
  <c r="G38" i="84"/>
  <c r="Q37" i="84"/>
  <c r="O37" i="84"/>
  <c r="M37" i="84"/>
  <c r="K37" i="84"/>
  <c r="G37" i="84"/>
  <c r="Q36" i="84"/>
  <c r="O36" i="84"/>
  <c r="M36" i="84"/>
  <c r="K36" i="84"/>
  <c r="G36" i="84"/>
  <c r="Q35" i="84"/>
  <c r="O35" i="84"/>
  <c r="M35" i="84"/>
  <c r="K35" i="84"/>
  <c r="G35" i="84"/>
  <c r="Q34" i="84"/>
  <c r="O34" i="84"/>
  <c r="M34" i="84"/>
  <c r="K34" i="84"/>
  <c r="G34" i="84"/>
  <c r="Q33" i="84"/>
  <c r="O33" i="84"/>
  <c r="M33" i="84"/>
  <c r="K33" i="84"/>
  <c r="G33" i="84"/>
  <c r="Q32" i="84"/>
  <c r="O32" i="84"/>
  <c r="M32" i="84"/>
  <c r="K32" i="84"/>
  <c r="G32" i="84"/>
  <c r="Q31" i="84"/>
  <c r="O31" i="84"/>
  <c r="M31" i="84"/>
  <c r="K31" i="84"/>
  <c r="G31" i="84"/>
  <c r="Q30" i="84"/>
  <c r="O30" i="84"/>
  <c r="M30" i="84"/>
  <c r="K30" i="84"/>
  <c r="G30" i="84"/>
  <c r="Q29" i="84"/>
  <c r="O29" i="84"/>
  <c r="M29" i="84"/>
  <c r="K29" i="84"/>
  <c r="G29" i="84"/>
  <c r="Q28" i="84"/>
  <c r="O28" i="84"/>
  <c r="M28" i="84"/>
  <c r="K28" i="84"/>
  <c r="G28" i="84"/>
  <c r="Q27" i="84"/>
  <c r="O27" i="84"/>
  <c r="M27" i="84"/>
  <c r="K27" i="84"/>
  <c r="G27" i="84"/>
  <c r="Q26" i="84"/>
  <c r="O26" i="84"/>
  <c r="M26" i="84"/>
  <c r="K26" i="84"/>
  <c r="G26" i="84"/>
  <c r="Q25" i="84"/>
  <c r="O25" i="84"/>
  <c r="M25" i="84"/>
  <c r="K25" i="84"/>
  <c r="G25" i="84"/>
  <c r="P23" i="84"/>
  <c r="N23" i="84"/>
  <c r="L23" i="84"/>
  <c r="J23" i="84"/>
  <c r="H23" i="84"/>
  <c r="F23" i="84"/>
  <c r="D12" i="84"/>
  <c r="E12" i="84" s="1"/>
  <c r="F12" i="84" s="1"/>
  <c r="G12" i="84" s="1"/>
  <c r="H12" i="84" s="1"/>
  <c r="I12" i="84" s="1"/>
  <c r="J12" i="84" s="1"/>
  <c r="K12" i="84" s="1"/>
  <c r="L12" i="84" s="1"/>
  <c r="M12" i="84" s="1"/>
  <c r="N12" i="84" s="1"/>
  <c r="O12" i="84" s="1"/>
  <c r="P12" i="84" s="1"/>
  <c r="Q12" i="84" s="1"/>
  <c r="R12" i="84" s="1"/>
  <c r="S12" i="84" s="1"/>
  <c r="T9" i="84"/>
  <c r="D8" i="84"/>
  <c r="D6" i="84"/>
  <c r="E6" i="84" s="1"/>
  <c r="F6" i="84" s="1"/>
  <c r="G6" i="84" s="1"/>
  <c r="H6" i="84" s="1"/>
  <c r="I6" i="84" s="1"/>
  <c r="J6" i="84" s="1"/>
  <c r="K6" i="84" s="1"/>
  <c r="L6" i="84" s="1"/>
  <c r="M6" i="84" s="1"/>
  <c r="N6" i="84" s="1"/>
  <c r="O6" i="84" s="1"/>
  <c r="P6" i="84" s="1"/>
  <c r="Q6" i="84" s="1"/>
  <c r="R6" i="84" s="1"/>
  <c r="S6" i="84" s="1"/>
  <c r="F5" i="84"/>
  <c r="E5" i="84"/>
  <c r="D5" i="84"/>
  <c r="C5" i="84"/>
  <c r="B5" i="84"/>
  <c r="E212" i="84" s="1"/>
  <c r="C237" i="84"/>
  <c r="D2" i="84"/>
  <c r="S2" i="84"/>
  <c r="R2" i="84"/>
  <c r="Q2" i="84"/>
  <c r="P2" i="84"/>
  <c r="O2" i="84"/>
  <c r="N2" i="84"/>
  <c r="M2" i="84"/>
  <c r="L2" i="84"/>
  <c r="K2" i="84"/>
  <c r="J2" i="84"/>
  <c r="I2" i="84"/>
  <c r="F2" i="84"/>
  <c r="E2" i="84"/>
  <c r="F20" i="84"/>
  <c r="B22" i="84" l="1"/>
  <c r="B15" i="74" s="1"/>
  <c r="E25" i="84"/>
  <c r="E29" i="84"/>
  <c r="C30" i="84"/>
  <c r="E33" i="84"/>
  <c r="C34" i="84"/>
  <c r="E37" i="84"/>
  <c r="C38" i="84"/>
  <c r="E41" i="84"/>
  <c r="C42" i="84"/>
  <c r="E45" i="84"/>
  <c r="C46" i="84"/>
  <c r="E49" i="84"/>
  <c r="C50" i="84"/>
  <c r="E53" i="84"/>
  <c r="C54" i="84"/>
  <c r="E57" i="84"/>
  <c r="C58" i="84"/>
  <c r="E61" i="84"/>
  <c r="C62" i="84"/>
  <c r="E65" i="84"/>
  <c r="C66" i="84"/>
  <c r="E69" i="84"/>
  <c r="C70" i="84"/>
  <c r="E73" i="84"/>
  <c r="C74" i="84"/>
  <c r="E77" i="84"/>
  <c r="C78" i="84"/>
  <c r="E81" i="84"/>
  <c r="C82" i="84"/>
  <c r="E85" i="84"/>
  <c r="C86" i="84"/>
  <c r="E89" i="84"/>
  <c r="C90" i="84"/>
  <c r="C91" i="84"/>
  <c r="E93" i="84"/>
  <c r="E94" i="84"/>
  <c r="E95" i="84"/>
  <c r="C96" i="84"/>
  <c r="E105" i="84"/>
  <c r="C107" i="84"/>
  <c r="C108" i="84"/>
  <c r="C118" i="84"/>
  <c r="C121" i="84"/>
  <c r="E137" i="84"/>
  <c r="C150" i="84"/>
  <c r="E169" i="84"/>
  <c r="C182" i="84"/>
  <c r="C205" i="84"/>
  <c r="C234" i="84"/>
  <c r="E244" i="84"/>
  <c r="C269" i="84"/>
  <c r="E278" i="84"/>
  <c r="D23" i="84"/>
  <c r="C27" i="84"/>
  <c r="C31" i="84"/>
  <c r="E34" i="84"/>
  <c r="C35" i="84"/>
  <c r="E38" i="84"/>
  <c r="C39" i="84"/>
  <c r="E42" i="84"/>
  <c r="C43" i="84"/>
  <c r="E46" i="84"/>
  <c r="C47" i="84"/>
  <c r="E50" i="84"/>
  <c r="C51" i="84"/>
  <c r="E54" i="84"/>
  <c r="C55" i="84"/>
  <c r="E58" i="84"/>
  <c r="C59" i="84"/>
  <c r="E62" i="84"/>
  <c r="C63" i="84"/>
  <c r="E66" i="84"/>
  <c r="C67" i="84"/>
  <c r="E70" i="84"/>
  <c r="C71" i="84"/>
  <c r="E74" i="84"/>
  <c r="C75" i="84"/>
  <c r="E78" i="84"/>
  <c r="C79" i="84"/>
  <c r="E82" i="84"/>
  <c r="C83" i="84"/>
  <c r="E86" i="84"/>
  <c r="C87" i="84"/>
  <c r="E90" i="84"/>
  <c r="E91" i="84"/>
  <c r="C92" i="84"/>
  <c r="C101" i="84"/>
  <c r="C102" i="84"/>
  <c r="E107" i="84"/>
  <c r="C109" i="84"/>
  <c r="C110" i="84"/>
  <c r="E112" i="84"/>
  <c r="C116" i="84"/>
  <c r="E129" i="84"/>
  <c r="C142" i="84"/>
  <c r="E161" i="84"/>
  <c r="C174" i="84"/>
  <c r="C186" i="84"/>
  <c r="E196" i="84"/>
  <c r="C221" i="84"/>
  <c r="C250" i="84"/>
  <c r="E260" i="84"/>
  <c r="C273" i="84"/>
  <c r="E26" i="84"/>
  <c r="E30" i="84"/>
  <c r="C2" i="84"/>
  <c r="G2" i="84"/>
  <c r="C28" i="84"/>
  <c r="E31" i="84"/>
  <c r="E35" i="84"/>
  <c r="C36" i="84"/>
  <c r="E39" i="84"/>
  <c r="C40" i="84"/>
  <c r="E43" i="84"/>
  <c r="C44" i="84"/>
  <c r="E47" i="84"/>
  <c r="C48" i="84"/>
  <c r="E51" i="84"/>
  <c r="C52" i="84"/>
  <c r="E55" i="84"/>
  <c r="C56" i="84"/>
  <c r="E59" i="84"/>
  <c r="C60" i="84"/>
  <c r="E63" i="84"/>
  <c r="C64" i="84"/>
  <c r="E67" i="84"/>
  <c r="C68" i="84"/>
  <c r="E71" i="84"/>
  <c r="C72" i="84"/>
  <c r="E75" i="84"/>
  <c r="C76" i="84"/>
  <c r="E79" i="84"/>
  <c r="C80" i="84"/>
  <c r="E83" i="84"/>
  <c r="C84" i="84"/>
  <c r="E87" i="84"/>
  <c r="C88" i="84"/>
  <c r="C97" i="84"/>
  <c r="C98" i="84"/>
  <c r="C99" i="84"/>
  <c r="E101" i="84"/>
  <c r="C103" i="84"/>
  <c r="C104" i="84"/>
  <c r="E109" i="84"/>
  <c r="C113" i="84"/>
  <c r="C114" i="84"/>
  <c r="E119" i="84"/>
  <c r="C123" i="84"/>
  <c r="C134" i="84"/>
  <c r="E153" i="84"/>
  <c r="C166" i="84"/>
  <c r="C202" i="84"/>
  <c r="C266" i="84"/>
  <c r="C992" i="84"/>
  <c r="C988" i="84"/>
  <c r="C984" i="84"/>
  <c r="C980" i="84"/>
  <c r="C976" i="84"/>
  <c r="C972" i="84"/>
  <c r="C968" i="84"/>
  <c r="C964" i="84"/>
  <c r="C960" i="84"/>
  <c r="C956" i="84"/>
  <c r="C952" i="84"/>
  <c r="C948" i="84"/>
  <c r="C944" i="84"/>
  <c r="C982" i="84"/>
  <c r="C966" i="84"/>
  <c r="C950" i="84"/>
  <c r="C928" i="84"/>
  <c r="C924" i="84"/>
  <c r="C920" i="84"/>
  <c r="C916" i="84"/>
  <c r="C912" i="84"/>
  <c r="C908" i="84"/>
  <c r="C904" i="84"/>
  <c r="C900" i="84"/>
  <c r="C994" i="84"/>
  <c r="C978" i="84"/>
  <c r="C962" i="84"/>
  <c r="C946" i="84"/>
  <c r="C930" i="84"/>
  <c r="C990" i="84"/>
  <c r="C974" i="84"/>
  <c r="C958" i="84"/>
  <c r="C942" i="84"/>
  <c r="C935" i="84"/>
  <c r="C934" i="84"/>
  <c r="C926" i="84"/>
  <c r="C922" i="84"/>
  <c r="C986" i="84"/>
  <c r="C970" i="84"/>
  <c r="C954" i="84"/>
  <c r="C940" i="84"/>
  <c r="C939" i="84"/>
  <c r="C938" i="84"/>
  <c r="C925" i="84"/>
  <c r="C921" i="84"/>
  <c r="C917" i="84"/>
  <c r="C913" i="84"/>
  <c r="C909" i="84"/>
  <c r="C918" i="84"/>
  <c r="C902" i="84"/>
  <c r="C901" i="84"/>
  <c r="C893" i="84"/>
  <c r="C892" i="84"/>
  <c r="C888" i="84"/>
  <c r="C884" i="84"/>
  <c r="C880" i="84"/>
  <c r="C876" i="84"/>
  <c r="C872" i="84"/>
  <c r="C868" i="84"/>
  <c r="C864" i="84"/>
  <c r="C860" i="84"/>
  <c r="C856" i="84"/>
  <c r="C852" i="84"/>
  <c r="C848" i="84"/>
  <c r="C914" i="84"/>
  <c r="C896" i="84"/>
  <c r="C910" i="84"/>
  <c r="C905" i="84"/>
  <c r="C897" i="84"/>
  <c r="C906" i="84"/>
  <c r="C894" i="84"/>
  <c r="C889" i="84"/>
  <c r="C885" i="84"/>
  <c r="C881" i="84"/>
  <c r="C877" i="84"/>
  <c r="C873" i="84"/>
  <c r="C869" i="84"/>
  <c r="C865" i="84"/>
  <c r="C857" i="84"/>
  <c r="C845" i="84"/>
  <c r="C844" i="84"/>
  <c r="C837" i="84"/>
  <c r="C836" i="84"/>
  <c r="C834" i="84"/>
  <c r="C830" i="84"/>
  <c r="C826" i="84"/>
  <c r="C822" i="84"/>
  <c r="C818" i="84"/>
  <c r="C814" i="84"/>
  <c r="C810" i="84"/>
  <c r="C806" i="84"/>
  <c r="C802" i="84"/>
  <c r="C798" i="84"/>
  <c r="C794" i="84"/>
  <c r="C790" i="84"/>
  <c r="C786" i="84"/>
  <c r="C782" i="84"/>
  <c r="C853" i="84"/>
  <c r="C829" i="84"/>
  <c r="C825" i="84"/>
  <c r="C821" i="84"/>
  <c r="C817" i="84"/>
  <c r="C813" i="84"/>
  <c r="C809" i="84"/>
  <c r="C805" i="84"/>
  <c r="C801" i="84"/>
  <c r="C797" i="84"/>
  <c r="C793" i="84"/>
  <c r="C789" i="84"/>
  <c r="C785" i="84"/>
  <c r="C781" i="84"/>
  <c r="C777" i="84"/>
  <c r="C773" i="84"/>
  <c r="C769" i="84"/>
  <c r="C765" i="84"/>
  <c r="C761" i="84"/>
  <c r="C757" i="84"/>
  <c r="C849" i="84"/>
  <c r="C840" i="84"/>
  <c r="C861" i="84"/>
  <c r="C754" i="84"/>
  <c r="C774" i="84"/>
  <c r="C767" i="84"/>
  <c r="C766" i="84"/>
  <c r="C759" i="84"/>
  <c r="C758" i="84"/>
  <c r="C753" i="84"/>
  <c r="C749" i="84"/>
  <c r="C745" i="84"/>
  <c r="C741" i="84"/>
  <c r="C737" i="84"/>
  <c r="C733" i="84"/>
  <c r="C729" i="84"/>
  <c r="C725" i="84"/>
  <c r="C721" i="84"/>
  <c r="C717" i="84"/>
  <c r="C713" i="84"/>
  <c r="C709" i="84"/>
  <c r="C705" i="84"/>
  <c r="C701" i="84"/>
  <c r="C697" i="84"/>
  <c r="C778" i="84"/>
  <c r="C771" i="84"/>
  <c r="C770" i="84"/>
  <c r="C763" i="84"/>
  <c r="C762" i="84"/>
  <c r="C755" i="84"/>
  <c r="C751" i="84"/>
  <c r="C747" i="84"/>
  <c r="C743" i="84"/>
  <c r="C739" i="84"/>
  <c r="C735" i="84"/>
  <c r="C731" i="84"/>
  <c r="C727" i="84"/>
  <c r="C723" i="84"/>
  <c r="C719" i="84"/>
  <c r="C715" i="84"/>
  <c r="C711" i="84"/>
  <c r="C707" i="84"/>
  <c r="C703" i="84"/>
  <c r="C695" i="84"/>
  <c r="C693" i="84"/>
  <c r="C691" i="84"/>
  <c r="C689" i="84"/>
  <c r="C687" i="84"/>
  <c r="C685" i="84"/>
  <c r="C683" i="84"/>
  <c r="C681" i="84"/>
  <c r="C679" i="84"/>
  <c r="C677" i="84"/>
  <c r="C675" i="84"/>
  <c r="C671" i="84"/>
  <c r="C699" i="84"/>
  <c r="C673" i="84"/>
  <c r="C668" i="84"/>
  <c r="C664" i="84"/>
  <c r="C660" i="84"/>
  <c r="C656" i="84"/>
  <c r="C652" i="84"/>
  <c r="C648" i="84"/>
  <c r="C644" i="84"/>
  <c r="C640" i="84"/>
  <c r="C636" i="84"/>
  <c r="C632" i="84"/>
  <c r="C628" i="84"/>
  <c r="C624" i="84"/>
  <c r="C620" i="84"/>
  <c r="C616" i="84"/>
  <c r="C612" i="84"/>
  <c r="C608" i="84"/>
  <c r="C604" i="84"/>
  <c r="C600" i="84"/>
  <c r="C596" i="84"/>
  <c r="C662" i="84"/>
  <c r="C654" i="84"/>
  <c r="C646" i="84"/>
  <c r="C638" i="84"/>
  <c r="C630" i="84"/>
  <c r="C622" i="84"/>
  <c r="C614" i="84"/>
  <c r="C606" i="84"/>
  <c r="C598" i="84"/>
  <c r="C592" i="84"/>
  <c r="C590" i="84"/>
  <c r="C588" i="84"/>
  <c r="C586" i="84"/>
  <c r="C584" i="84"/>
  <c r="C576" i="84"/>
  <c r="C568" i="84"/>
  <c r="C560" i="84"/>
  <c r="C666" i="84"/>
  <c r="C658" i="84"/>
  <c r="C650" i="84"/>
  <c r="C642" i="84"/>
  <c r="C634" i="84"/>
  <c r="C626" i="84"/>
  <c r="C618" i="84"/>
  <c r="C610" i="84"/>
  <c r="C602" i="84"/>
  <c r="C594" i="84"/>
  <c r="C580" i="84"/>
  <c r="C572" i="84"/>
  <c r="C564" i="84"/>
  <c r="C556" i="84"/>
  <c r="C458" i="84"/>
  <c r="C454" i="84"/>
  <c r="C450" i="84"/>
  <c r="C446" i="84"/>
  <c r="C442" i="84"/>
  <c r="C438" i="84"/>
  <c r="C434" i="84"/>
  <c r="C430" i="84"/>
  <c r="C426" i="84"/>
  <c r="C422" i="84"/>
  <c r="C418" i="84"/>
  <c r="C414" i="84"/>
  <c r="C410" i="84"/>
  <c r="C406" i="84"/>
  <c r="C402" i="84"/>
  <c r="C398" i="84"/>
  <c r="C394" i="84"/>
  <c r="C390" i="84"/>
  <c r="C386" i="84"/>
  <c r="C382" i="84"/>
  <c r="C378" i="84"/>
  <c r="C374" i="84"/>
  <c r="C370" i="84"/>
  <c r="C366" i="84"/>
  <c r="C362" i="84"/>
  <c r="C358" i="84"/>
  <c r="C354" i="84"/>
  <c r="C350" i="84"/>
  <c r="C346" i="84"/>
  <c r="C342" i="84"/>
  <c r="C338" i="84"/>
  <c r="C334" i="84"/>
  <c r="C330" i="84"/>
  <c r="C548" i="84"/>
  <c r="C544" i="84"/>
  <c r="C540" i="84"/>
  <c r="C536" i="84"/>
  <c r="C532" i="84"/>
  <c r="C528" i="84"/>
  <c r="C524" i="84"/>
  <c r="C520" i="84"/>
  <c r="C516" i="84"/>
  <c r="C512" i="84"/>
  <c r="C508" i="84"/>
  <c r="C504" i="84"/>
  <c r="C500" i="84"/>
  <c r="C496" i="84"/>
  <c r="C492" i="84"/>
  <c r="C486" i="84"/>
  <c r="C485" i="84"/>
  <c r="C484" i="84"/>
  <c r="C476" i="84"/>
  <c r="C468" i="84"/>
  <c r="C460" i="84"/>
  <c r="C552" i="84"/>
  <c r="C481" i="84"/>
  <c r="C465" i="84"/>
  <c r="C451" i="84"/>
  <c r="C443" i="84"/>
  <c r="C435" i="84"/>
  <c r="C427" i="84"/>
  <c r="C423" i="84"/>
  <c r="C407" i="84"/>
  <c r="C327" i="84"/>
  <c r="C326" i="84"/>
  <c r="C316" i="84"/>
  <c r="C311" i="84"/>
  <c r="C310" i="84"/>
  <c r="C300" i="84"/>
  <c r="C295" i="84"/>
  <c r="C294" i="84"/>
  <c r="C284" i="84"/>
  <c r="C278" i="84"/>
  <c r="C256" i="84"/>
  <c r="C252" i="84"/>
  <c r="C248" i="84"/>
  <c r="C244" i="84"/>
  <c r="C240" i="84"/>
  <c r="C236" i="84"/>
  <c r="C232" i="84"/>
  <c r="C228" i="84"/>
  <c r="C224" i="84"/>
  <c r="C220" i="84"/>
  <c r="C216" i="84"/>
  <c r="C212" i="84"/>
  <c r="C208" i="84"/>
  <c r="C204" i="84"/>
  <c r="C200" i="84"/>
  <c r="C196" i="84"/>
  <c r="C192" i="84"/>
  <c r="C188" i="84"/>
  <c r="C184" i="84"/>
  <c r="C180" i="84"/>
  <c r="C176" i="84"/>
  <c r="C172" i="84"/>
  <c r="C168" i="84"/>
  <c r="C164" i="84"/>
  <c r="C160" i="84"/>
  <c r="C156" i="84"/>
  <c r="C152" i="84"/>
  <c r="C148" i="84"/>
  <c r="C144" i="84"/>
  <c r="C140" i="84"/>
  <c r="C136" i="84"/>
  <c r="C132" i="84"/>
  <c r="C128" i="84"/>
  <c r="C124" i="84"/>
  <c r="C490" i="84"/>
  <c r="C480" i="84"/>
  <c r="C474" i="84"/>
  <c r="C464" i="84"/>
  <c r="C419" i="84"/>
  <c r="C403" i="84"/>
  <c r="C395" i="84"/>
  <c r="C387" i="84"/>
  <c r="C379" i="84"/>
  <c r="C371" i="84"/>
  <c r="C363" i="84"/>
  <c r="C355" i="84"/>
  <c r="C347" i="84"/>
  <c r="C339" i="84"/>
  <c r="C331" i="84"/>
  <c r="C314" i="84"/>
  <c r="C298" i="84"/>
  <c r="C282" i="84"/>
  <c r="C489" i="84"/>
  <c r="C473" i="84"/>
  <c r="C455" i="84"/>
  <c r="C447" i="84"/>
  <c r="C439" i="84"/>
  <c r="C431" i="84"/>
  <c r="C415" i="84"/>
  <c r="C318" i="84"/>
  <c r="C302" i="84"/>
  <c r="C286" i="84"/>
  <c r="C488" i="84"/>
  <c r="C482" i="84"/>
  <c r="C472" i="84"/>
  <c r="C466" i="84"/>
  <c r="C391" i="84"/>
  <c r="C376" i="84"/>
  <c r="C359" i="84"/>
  <c r="C344" i="84"/>
  <c r="C307" i="84"/>
  <c r="C296" i="84"/>
  <c r="C274" i="84"/>
  <c r="C261" i="84"/>
  <c r="C245" i="84"/>
  <c r="C229" i="84"/>
  <c r="C213" i="84"/>
  <c r="C197" i="84"/>
  <c r="C122" i="84"/>
  <c r="C399" i="84"/>
  <c r="C384" i="84"/>
  <c r="C367" i="84"/>
  <c r="C352" i="84"/>
  <c r="C335" i="84"/>
  <c r="C323" i="84"/>
  <c r="C312" i="84"/>
  <c r="C290" i="84"/>
  <c r="C257" i="84"/>
  <c r="C241" i="84"/>
  <c r="C225" i="84"/>
  <c r="C209" i="84"/>
  <c r="C193" i="84"/>
  <c r="C181" i="84"/>
  <c r="C173" i="84"/>
  <c r="C165" i="84"/>
  <c r="C157" i="84"/>
  <c r="C149" i="84"/>
  <c r="C141" i="84"/>
  <c r="C133" i="84"/>
  <c r="C125" i="84"/>
  <c r="C120" i="84"/>
  <c r="C411" i="84"/>
  <c r="C392" i="84"/>
  <c r="C375" i="84"/>
  <c r="C360" i="84"/>
  <c r="C343" i="84"/>
  <c r="C328" i="84"/>
  <c r="C306" i="84"/>
  <c r="C400" i="84"/>
  <c r="C383" i="84"/>
  <c r="C368" i="84"/>
  <c r="C351" i="84"/>
  <c r="C336" i="84"/>
  <c r="C322" i="84"/>
  <c r="C291" i="84"/>
  <c r="C280" i="84"/>
  <c r="C265" i="84"/>
  <c r="C249" i="84"/>
  <c r="C233" i="84"/>
  <c r="C217" i="84"/>
  <c r="C201" i="84"/>
  <c r="C185" i="84"/>
  <c r="C177" i="84"/>
  <c r="C169" i="84"/>
  <c r="C161" i="84"/>
  <c r="C153" i="84"/>
  <c r="C145" i="84"/>
  <c r="C137" i="84"/>
  <c r="C129" i="84"/>
  <c r="C112" i="84"/>
  <c r="C26" i="84"/>
  <c r="E992" i="84"/>
  <c r="E988" i="84"/>
  <c r="E984" i="84"/>
  <c r="E980" i="84"/>
  <c r="E976" i="84"/>
  <c r="E972" i="84"/>
  <c r="E968" i="84"/>
  <c r="E964" i="84"/>
  <c r="E960" i="84"/>
  <c r="E956" i="84"/>
  <c r="E952" i="84"/>
  <c r="E948" i="84"/>
  <c r="E944" i="84"/>
  <c r="E940" i="84"/>
  <c r="E936" i="84"/>
  <c r="E932" i="84"/>
  <c r="E991" i="84"/>
  <c r="E987" i="84"/>
  <c r="E983" i="84"/>
  <c r="E979" i="84"/>
  <c r="E975" i="84"/>
  <c r="E971" i="84"/>
  <c r="E967" i="84"/>
  <c r="E963" i="84"/>
  <c r="E959" i="84"/>
  <c r="E955" i="84"/>
  <c r="E951" i="84"/>
  <c r="E947" i="84"/>
  <c r="E943" i="84"/>
  <c r="E995" i="84"/>
  <c r="E994" i="84"/>
  <c r="E990" i="84"/>
  <c r="E986" i="84"/>
  <c r="E982" i="84"/>
  <c r="E978" i="84"/>
  <c r="E974" i="84"/>
  <c r="E970" i="84"/>
  <c r="E966" i="84"/>
  <c r="E962" i="84"/>
  <c r="E958" i="84"/>
  <c r="E954" i="84"/>
  <c r="E950" i="84"/>
  <c r="E946" i="84"/>
  <c r="E942" i="84"/>
  <c r="E989" i="84"/>
  <c r="E973" i="84"/>
  <c r="E957" i="84"/>
  <c r="E931" i="84"/>
  <c r="E930" i="84"/>
  <c r="E929" i="84"/>
  <c r="E927" i="84"/>
  <c r="E923" i="84"/>
  <c r="E919" i="84"/>
  <c r="E915" i="84"/>
  <c r="E911" i="84"/>
  <c r="E907" i="84"/>
  <c r="E903" i="84"/>
  <c r="E899" i="84"/>
  <c r="E985" i="84"/>
  <c r="E969" i="84"/>
  <c r="E953" i="84"/>
  <c r="E941" i="84"/>
  <c r="E935" i="84"/>
  <c r="E934" i="84"/>
  <c r="E933" i="84"/>
  <c r="E926" i="84"/>
  <c r="E922" i="84"/>
  <c r="E918" i="84"/>
  <c r="E914" i="84"/>
  <c r="E910" i="84"/>
  <c r="E906" i="84"/>
  <c r="E902" i="84"/>
  <c r="E898" i="84"/>
  <c r="E894" i="84"/>
  <c r="E890" i="84"/>
  <c r="E981" i="84"/>
  <c r="E965" i="84"/>
  <c r="E949" i="84"/>
  <c r="E939" i="84"/>
  <c r="E938" i="84"/>
  <c r="E937" i="84"/>
  <c r="E925" i="84"/>
  <c r="E921" i="84"/>
  <c r="E993" i="84"/>
  <c r="E977" i="84"/>
  <c r="E961" i="84"/>
  <c r="E945" i="84"/>
  <c r="E928" i="84"/>
  <c r="E924" i="84"/>
  <c r="E920" i="84"/>
  <c r="E916" i="84"/>
  <c r="E912" i="84"/>
  <c r="E908" i="84"/>
  <c r="E909" i="84"/>
  <c r="E904" i="84"/>
  <c r="E896" i="84"/>
  <c r="E895" i="84"/>
  <c r="E887" i="84"/>
  <c r="E883" i="84"/>
  <c r="E879" i="84"/>
  <c r="E875" i="84"/>
  <c r="E871" i="84"/>
  <c r="E867" i="84"/>
  <c r="E863" i="84"/>
  <c r="E859" i="84"/>
  <c r="E855" i="84"/>
  <c r="E851" i="84"/>
  <c r="E847" i="84"/>
  <c r="E905" i="84"/>
  <c r="E897" i="84"/>
  <c r="E886" i="84"/>
  <c r="E882" i="84"/>
  <c r="E878" i="84"/>
  <c r="E874" i="84"/>
  <c r="E870" i="84"/>
  <c r="E866" i="84"/>
  <c r="E862" i="84"/>
  <c r="E858" i="84"/>
  <c r="E854" i="84"/>
  <c r="E850" i="84"/>
  <c r="E846" i="84"/>
  <c r="E842" i="84"/>
  <c r="E838" i="84"/>
  <c r="E834" i="84"/>
  <c r="E917" i="84"/>
  <c r="E900" i="84"/>
  <c r="E889" i="84"/>
  <c r="E885" i="84"/>
  <c r="E881" i="84"/>
  <c r="E877" i="84"/>
  <c r="E873" i="84"/>
  <c r="E869" i="84"/>
  <c r="E865" i="84"/>
  <c r="E861" i="84"/>
  <c r="E857" i="84"/>
  <c r="E853" i="84"/>
  <c r="E849" i="84"/>
  <c r="E845" i="84"/>
  <c r="E841" i="84"/>
  <c r="E837" i="84"/>
  <c r="E913" i="84"/>
  <c r="E901" i="84"/>
  <c r="E893" i="84"/>
  <c r="E892" i="84"/>
  <c r="E891" i="84"/>
  <c r="E888" i="84"/>
  <c r="E884" i="84"/>
  <c r="E880" i="84"/>
  <c r="E876" i="84"/>
  <c r="E872" i="84"/>
  <c r="E868" i="84"/>
  <c r="E864" i="84"/>
  <c r="E848" i="84"/>
  <c r="E839" i="84"/>
  <c r="E833" i="84"/>
  <c r="E829" i="84"/>
  <c r="E825" i="84"/>
  <c r="E821" i="84"/>
  <c r="E817" i="84"/>
  <c r="E813" i="84"/>
  <c r="E809" i="84"/>
  <c r="E805" i="84"/>
  <c r="E801" i="84"/>
  <c r="E797" i="84"/>
  <c r="E793" i="84"/>
  <c r="E789" i="84"/>
  <c r="E785" i="84"/>
  <c r="E781" i="84"/>
  <c r="E860" i="84"/>
  <c r="E840" i="84"/>
  <c r="E832" i="84"/>
  <c r="E828" i="84"/>
  <c r="E824" i="84"/>
  <c r="E820" i="84"/>
  <c r="E816" i="84"/>
  <c r="E812" i="84"/>
  <c r="E808" i="84"/>
  <c r="E804" i="84"/>
  <c r="E800" i="84"/>
  <c r="E796" i="84"/>
  <c r="E792" i="84"/>
  <c r="E788" i="84"/>
  <c r="E784" i="84"/>
  <c r="E780" i="84"/>
  <c r="E776" i="84"/>
  <c r="E772" i="84"/>
  <c r="E768" i="84"/>
  <c r="E764" i="84"/>
  <c r="E760" i="84"/>
  <c r="E756" i="84"/>
  <c r="E856" i="84"/>
  <c r="E843" i="84"/>
  <c r="E835" i="84"/>
  <c r="E831" i="84"/>
  <c r="E827" i="84"/>
  <c r="E823" i="84"/>
  <c r="E819" i="84"/>
  <c r="E815" i="84"/>
  <c r="E811" i="84"/>
  <c r="E807" i="84"/>
  <c r="E803" i="84"/>
  <c r="E799" i="84"/>
  <c r="E795" i="84"/>
  <c r="E791" i="84"/>
  <c r="E787" i="84"/>
  <c r="E783" i="84"/>
  <c r="E779" i="84"/>
  <c r="E775" i="84"/>
  <c r="E771" i="84"/>
  <c r="E767" i="84"/>
  <c r="E763" i="84"/>
  <c r="E759" i="84"/>
  <c r="E755" i="84"/>
  <c r="E852" i="84"/>
  <c r="E844" i="84"/>
  <c r="E836" i="84"/>
  <c r="E830" i="84"/>
  <c r="E826" i="84"/>
  <c r="E822" i="84"/>
  <c r="E818" i="84"/>
  <c r="E814" i="84"/>
  <c r="E810" i="84"/>
  <c r="E806" i="84"/>
  <c r="E802" i="84"/>
  <c r="E798" i="84"/>
  <c r="E794" i="84"/>
  <c r="E790" i="84"/>
  <c r="E786" i="84"/>
  <c r="E782" i="84"/>
  <c r="E778" i="84"/>
  <c r="E777" i="84"/>
  <c r="E774" i="84"/>
  <c r="E766" i="84"/>
  <c r="E758" i="84"/>
  <c r="E753" i="84"/>
  <c r="E749" i="84"/>
  <c r="E745" i="84"/>
  <c r="E741" i="84"/>
  <c r="E737" i="84"/>
  <c r="E733" i="84"/>
  <c r="E729" i="84"/>
  <c r="E725" i="84"/>
  <c r="E721" i="84"/>
  <c r="E717" i="84"/>
  <c r="E713" i="84"/>
  <c r="E709" i="84"/>
  <c r="E705" i="84"/>
  <c r="E701" i="84"/>
  <c r="E697" i="84"/>
  <c r="E693" i="84"/>
  <c r="E689" i="84"/>
  <c r="E685" i="84"/>
  <c r="E681" i="84"/>
  <c r="E677" i="84"/>
  <c r="E769" i="84"/>
  <c r="E761" i="84"/>
  <c r="E752" i="84"/>
  <c r="E748" i="84"/>
  <c r="E744" i="84"/>
  <c r="E740" i="84"/>
  <c r="E736" i="84"/>
  <c r="E732" i="84"/>
  <c r="E728" i="84"/>
  <c r="E724" i="84"/>
  <c r="E720" i="84"/>
  <c r="E716" i="84"/>
  <c r="E712" i="84"/>
  <c r="E708" i="84"/>
  <c r="E704" i="84"/>
  <c r="E700" i="84"/>
  <c r="E696" i="84"/>
  <c r="E770" i="84"/>
  <c r="E762" i="84"/>
  <c r="E751" i="84"/>
  <c r="E747" i="84"/>
  <c r="E743" i="84"/>
  <c r="E739" i="84"/>
  <c r="E735" i="84"/>
  <c r="E731" i="84"/>
  <c r="E727" i="84"/>
  <c r="E723" i="84"/>
  <c r="E719" i="84"/>
  <c r="E715" i="84"/>
  <c r="E711" i="84"/>
  <c r="E707" i="84"/>
  <c r="E703" i="84"/>
  <c r="E699" i="84"/>
  <c r="E695" i="84"/>
  <c r="E691" i="84"/>
  <c r="E687" i="84"/>
  <c r="E683" i="84"/>
  <c r="E679" i="84"/>
  <c r="E675" i="84"/>
  <c r="E671" i="84"/>
  <c r="E773" i="84"/>
  <c r="E765" i="84"/>
  <c r="E757" i="84"/>
  <c r="E754" i="84"/>
  <c r="E750" i="84"/>
  <c r="E746" i="84"/>
  <c r="E742" i="84"/>
  <c r="E738" i="84"/>
  <c r="E734" i="84"/>
  <c r="E730" i="84"/>
  <c r="E726" i="84"/>
  <c r="E722" i="84"/>
  <c r="E718" i="84"/>
  <c r="E714" i="84"/>
  <c r="E710" i="84"/>
  <c r="E706" i="84"/>
  <c r="E702" i="84"/>
  <c r="E670" i="84"/>
  <c r="E666" i="84"/>
  <c r="E662" i="84"/>
  <c r="E658" i="84"/>
  <c r="E654" i="84"/>
  <c r="E650" i="84"/>
  <c r="E646" i="84"/>
  <c r="E642" i="84"/>
  <c r="E638" i="84"/>
  <c r="E634" i="84"/>
  <c r="E630" i="84"/>
  <c r="E626" i="84"/>
  <c r="E622" i="84"/>
  <c r="E618" i="84"/>
  <c r="E614" i="84"/>
  <c r="E610" i="84"/>
  <c r="E606" i="84"/>
  <c r="E602" i="84"/>
  <c r="E598" i="84"/>
  <c r="E594" i="84"/>
  <c r="E590" i="84"/>
  <c r="E586" i="84"/>
  <c r="E582" i="84"/>
  <c r="E578" i="84"/>
  <c r="E574" i="84"/>
  <c r="E570" i="84"/>
  <c r="E566" i="84"/>
  <c r="E562" i="84"/>
  <c r="E673" i="84"/>
  <c r="E672" i="84"/>
  <c r="E669" i="84"/>
  <c r="E698" i="84"/>
  <c r="E694" i="84"/>
  <c r="E692" i="84"/>
  <c r="E690" i="84"/>
  <c r="E688" i="84"/>
  <c r="E686" i="84"/>
  <c r="E684" i="84"/>
  <c r="E682" i="84"/>
  <c r="E680" i="84"/>
  <c r="E678" i="84"/>
  <c r="E676" i="84"/>
  <c r="E674" i="84"/>
  <c r="E668" i="84"/>
  <c r="E664" i="84"/>
  <c r="E660" i="84"/>
  <c r="E656" i="84"/>
  <c r="E652" i="84"/>
  <c r="E648" i="84"/>
  <c r="E644" i="84"/>
  <c r="E640" i="84"/>
  <c r="E636" i="84"/>
  <c r="E632" i="84"/>
  <c r="E628" i="84"/>
  <c r="E624" i="84"/>
  <c r="E620" i="84"/>
  <c r="E616" i="84"/>
  <c r="E612" i="84"/>
  <c r="E608" i="84"/>
  <c r="E604" i="84"/>
  <c r="E600" i="84"/>
  <c r="E596" i="84"/>
  <c r="E592" i="84"/>
  <c r="E588" i="84"/>
  <c r="E584" i="84"/>
  <c r="E667" i="84"/>
  <c r="E663" i="84"/>
  <c r="E659" i="84"/>
  <c r="E655" i="84"/>
  <c r="E651" i="84"/>
  <c r="E647" i="84"/>
  <c r="E643" i="84"/>
  <c r="E639" i="84"/>
  <c r="E635" i="84"/>
  <c r="E631" i="84"/>
  <c r="E627" i="84"/>
  <c r="E623" i="84"/>
  <c r="E619" i="84"/>
  <c r="E615" i="84"/>
  <c r="E611" i="84"/>
  <c r="E607" i="84"/>
  <c r="E603" i="84"/>
  <c r="E599" i="84"/>
  <c r="E595" i="84"/>
  <c r="E558" i="84"/>
  <c r="E554" i="84"/>
  <c r="E550" i="84"/>
  <c r="E546" i="84"/>
  <c r="E542" i="84"/>
  <c r="E538" i="84"/>
  <c r="E534" i="84"/>
  <c r="E530" i="84"/>
  <c r="E526" i="84"/>
  <c r="E522" i="84"/>
  <c r="E518" i="84"/>
  <c r="E514" i="84"/>
  <c r="E510" i="84"/>
  <c r="E506" i="84"/>
  <c r="E502" i="84"/>
  <c r="E498" i="84"/>
  <c r="E494" i="84"/>
  <c r="E490" i="84"/>
  <c r="E486" i="84"/>
  <c r="E482" i="84"/>
  <c r="E478" i="84"/>
  <c r="E474" i="84"/>
  <c r="E470" i="84"/>
  <c r="E466" i="84"/>
  <c r="E462" i="84"/>
  <c r="E661" i="84"/>
  <c r="E653" i="84"/>
  <c r="E645" i="84"/>
  <c r="E637" i="84"/>
  <c r="E629" i="84"/>
  <c r="E621" i="84"/>
  <c r="E613" i="84"/>
  <c r="E605" i="84"/>
  <c r="E597" i="84"/>
  <c r="E581" i="84"/>
  <c r="E580" i="84"/>
  <c r="E579" i="84"/>
  <c r="E573" i="84"/>
  <c r="E572" i="84"/>
  <c r="E571" i="84"/>
  <c r="E565" i="84"/>
  <c r="E564" i="84"/>
  <c r="E563" i="84"/>
  <c r="E557" i="84"/>
  <c r="E553" i="84"/>
  <c r="E549" i="84"/>
  <c r="E545" i="84"/>
  <c r="E541" i="84"/>
  <c r="E537" i="84"/>
  <c r="E533" i="84"/>
  <c r="E529" i="84"/>
  <c r="E525" i="84"/>
  <c r="E521" i="84"/>
  <c r="E517" i="84"/>
  <c r="E513" i="84"/>
  <c r="E509" i="84"/>
  <c r="E505" i="84"/>
  <c r="E501" i="84"/>
  <c r="E497" i="84"/>
  <c r="E493" i="84"/>
  <c r="E591" i="84"/>
  <c r="E589" i="84"/>
  <c r="E587" i="84"/>
  <c r="E585" i="84"/>
  <c r="E556" i="84"/>
  <c r="E552" i="84"/>
  <c r="E548" i="84"/>
  <c r="E544" i="84"/>
  <c r="E540" i="84"/>
  <c r="E536" i="84"/>
  <c r="E532" i="84"/>
  <c r="E528" i="84"/>
  <c r="E524" i="84"/>
  <c r="E520" i="84"/>
  <c r="E516" i="84"/>
  <c r="E512" i="84"/>
  <c r="E508" i="84"/>
  <c r="E504" i="84"/>
  <c r="E500" i="84"/>
  <c r="E496" i="84"/>
  <c r="E492" i="84"/>
  <c r="E491" i="84"/>
  <c r="E485" i="84"/>
  <c r="E484" i="84"/>
  <c r="E483" i="84"/>
  <c r="E477" i="84"/>
  <c r="E476" i="84"/>
  <c r="E475" i="84"/>
  <c r="E469" i="84"/>
  <c r="E468" i="84"/>
  <c r="E467" i="84"/>
  <c r="E461" i="84"/>
  <c r="E460" i="84"/>
  <c r="E459" i="84"/>
  <c r="E457" i="84"/>
  <c r="E453" i="84"/>
  <c r="E449" i="84"/>
  <c r="E445" i="84"/>
  <c r="E441" i="84"/>
  <c r="E437" i="84"/>
  <c r="E433" i="84"/>
  <c r="E429" i="84"/>
  <c r="E425" i="84"/>
  <c r="E421" i="84"/>
  <c r="E417" i="84"/>
  <c r="E413" i="84"/>
  <c r="E409" i="84"/>
  <c r="E405" i="84"/>
  <c r="E401" i="84"/>
  <c r="E397" i="84"/>
  <c r="E393" i="84"/>
  <c r="E389" i="84"/>
  <c r="E385" i="84"/>
  <c r="E381" i="84"/>
  <c r="E377" i="84"/>
  <c r="E373" i="84"/>
  <c r="E369" i="84"/>
  <c r="E365" i="84"/>
  <c r="E361" i="84"/>
  <c r="E357" i="84"/>
  <c r="E353" i="84"/>
  <c r="E349" i="84"/>
  <c r="E345" i="84"/>
  <c r="E341" i="84"/>
  <c r="E337" i="84"/>
  <c r="E333" i="84"/>
  <c r="E329" i="84"/>
  <c r="E555" i="84"/>
  <c r="E456" i="84"/>
  <c r="E452" i="84"/>
  <c r="E448" i="84"/>
  <c r="E444" i="84"/>
  <c r="E440" i="84"/>
  <c r="E436" i="84"/>
  <c r="E432" i="84"/>
  <c r="E428" i="84"/>
  <c r="E424" i="84"/>
  <c r="E420" i="84"/>
  <c r="E416" i="84"/>
  <c r="E412" i="84"/>
  <c r="E408" i="84"/>
  <c r="E404" i="84"/>
  <c r="E400" i="84"/>
  <c r="E396" i="84"/>
  <c r="E392" i="84"/>
  <c r="E388" i="84"/>
  <c r="E384" i="84"/>
  <c r="E380" i="84"/>
  <c r="E376" i="84"/>
  <c r="E372" i="84"/>
  <c r="E368" i="84"/>
  <c r="E364" i="84"/>
  <c r="E360" i="84"/>
  <c r="E356" i="84"/>
  <c r="E352" i="84"/>
  <c r="E348" i="84"/>
  <c r="E344" i="84"/>
  <c r="E340" i="84"/>
  <c r="E336" i="84"/>
  <c r="E332" i="84"/>
  <c r="E328" i="84"/>
  <c r="E324" i="84"/>
  <c r="E320" i="84"/>
  <c r="E316" i="84"/>
  <c r="E312" i="84"/>
  <c r="E308" i="84"/>
  <c r="E304" i="84"/>
  <c r="E300" i="84"/>
  <c r="E296" i="84"/>
  <c r="E292" i="84"/>
  <c r="E288" i="84"/>
  <c r="E284" i="84"/>
  <c r="E280" i="84"/>
  <c r="E276" i="84"/>
  <c r="E272" i="84"/>
  <c r="E489" i="84"/>
  <c r="E488" i="84"/>
  <c r="E487" i="84"/>
  <c r="E481" i="84"/>
  <c r="E480" i="84"/>
  <c r="E479" i="84"/>
  <c r="E473" i="84"/>
  <c r="E472" i="84"/>
  <c r="E471" i="84"/>
  <c r="E465" i="84"/>
  <c r="E464" i="84"/>
  <c r="E463" i="84"/>
  <c r="E455" i="84"/>
  <c r="E451" i="84"/>
  <c r="E447" i="84"/>
  <c r="E443" i="84"/>
  <c r="E439" i="84"/>
  <c r="E435" i="84"/>
  <c r="E431" i="84"/>
  <c r="E427" i="84"/>
  <c r="E423" i="84"/>
  <c r="E419" i="84"/>
  <c r="E415" i="84"/>
  <c r="E411" i="84"/>
  <c r="E407" i="84"/>
  <c r="E403" i="84"/>
  <c r="E583" i="84"/>
  <c r="E577" i="84"/>
  <c r="E576" i="84"/>
  <c r="E575" i="84"/>
  <c r="E569" i="84"/>
  <c r="E568" i="84"/>
  <c r="E567" i="84"/>
  <c r="E561" i="84"/>
  <c r="E560" i="84"/>
  <c r="E559" i="84"/>
  <c r="E551" i="84"/>
  <c r="E535" i="84"/>
  <c r="E519" i="84"/>
  <c r="E503" i="84"/>
  <c r="E414" i="84"/>
  <c r="E395" i="84"/>
  <c r="E387" i="84"/>
  <c r="E379" i="84"/>
  <c r="E371" i="84"/>
  <c r="E363" i="84"/>
  <c r="E355" i="84"/>
  <c r="E347" i="84"/>
  <c r="E339" i="84"/>
  <c r="E331" i="84"/>
  <c r="E315" i="84"/>
  <c r="E314" i="84"/>
  <c r="E313" i="84"/>
  <c r="E299" i="84"/>
  <c r="E298" i="84"/>
  <c r="E297" i="84"/>
  <c r="E283" i="84"/>
  <c r="E282" i="84"/>
  <c r="E281" i="84"/>
  <c r="E267" i="84"/>
  <c r="E263" i="84"/>
  <c r="E259" i="84"/>
  <c r="E255" i="84"/>
  <c r="E251" i="84"/>
  <c r="E247" i="84"/>
  <c r="E243" i="84"/>
  <c r="E239" i="84"/>
  <c r="E235" i="84"/>
  <c r="E231" i="84"/>
  <c r="E227" i="84"/>
  <c r="E223" i="84"/>
  <c r="E219" i="84"/>
  <c r="E215" i="84"/>
  <c r="E211" i="84"/>
  <c r="E207" i="84"/>
  <c r="E203" i="84"/>
  <c r="E199" i="84"/>
  <c r="E195" i="84"/>
  <c r="E191" i="84"/>
  <c r="E187" i="84"/>
  <c r="E183" i="84"/>
  <c r="E179" i="84"/>
  <c r="E175" i="84"/>
  <c r="E171" i="84"/>
  <c r="E167" i="84"/>
  <c r="E163" i="84"/>
  <c r="E159" i="84"/>
  <c r="E155" i="84"/>
  <c r="E151" i="84"/>
  <c r="E147" i="84"/>
  <c r="E143" i="84"/>
  <c r="E139" i="84"/>
  <c r="E135" i="84"/>
  <c r="E131" i="84"/>
  <c r="E127" i="84"/>
  <c r="E539" i="84"/>
  <c r="E523" i="84"/>
  <c r="E507" i="84"/>
  <c r="E458" i="84"/>
  <c r="E450" i="84"/>
  <c r="E442" i="84"/>
  <c r="E434" i="84"/>
  <c r="E426" i="84"/>
  <c r="E410" i="84"/>
  <c r="E398" i="84"/>
  <c r="E390" i="84"/>
  <c r="E382" i="84"/>
  <c r="E374" i="84"/>
  <c r="E366" i="84"/>
  <c r="E358" i="84"/>
  <c r="E350" i="84"/>
  <c r="E342" i="84"/>
  <c r="E334" i="84"/>
  <c r="E319" i="84"/>
  <c r="E318" i="84"/>
  <c r="E317" i="84"/>
  <c r="E303" i="84"/>
  <c r="E302" i="84"/>
  <c r="E301" i="84"/>
  <c r="E287" i="84"/>
  <c r="E286" i="84"/>
  <c r="E285" i="84"/>
  <c r="E271" i="84"/>
  <c r="E270" i="84"/>
  <c r="E266" i="84"/>
  <c r="E262" i="84"/>
  <c r="E258" i="84"/>
  <c r="E254" i="84"/>
  <c r="E250" i="84"/>
  <c r="E246" i="84"/>
  <c r="E242" i="84"/>
  <c r="E238" i="84"/>
  <c r="E234" i="84"/>
  <c r="E230" i="84"/>
  <c r="E226" i="84"/>
  <c r="E222" i="84"/>
  <c r="E218" i="84"/>
  <c r="E214" i="84"/>
  <c r="E210" i="84"/>
  <c r="E206" i="84"/>
  <c r="E202" i="84"/>
  <c r="E198" i="84"/>
  <c r="E194" i="84"/>
  <c r="E190" i="84"/>
  <c r="E186" i="84"/>
  <c r="E182" i="84"/>
  <c r="E178" i="84"/>
  <c r="E174" i="84"/>
  <c r="E170" i="84"/>
  <c r="E166" i="84"/>
  <c r="E162" i="84"/>
  <c r="E158" i="84"/>
  <c r="E154" i="84"/>
  <c r="E150" i="84"/>
  <c r="E146" i="84"/>
  <c r="E142" i="84"/>
  <c r="E138" i="84"/>
  <c r="E134" i="84"/>
  <c r="E130" i="84"/>
  <c r="E126" i="84"/>
  <c r="E122" i="84"/>
  <c r="E118" i="84"/>
  <c r="E114" i="84"/>
  <c r="E543" i="84"/>
  <c r="E527" i="84"/>
  <c r="E511" i="84"/>
  <c r="E495" i="84"/>
  <c r="E422" i="84"/>
  <c r="E406" i="84"/>
  <c r="E399" i="84"/>
  <c r="E391" i="84"/>
  <c r="E383" i="84"/>
  <c r="E375" i="84"/>
  <c r="E367" i="84"/>
  <c r="E359" i="84"/>
  <c r="E351" i="84"/>
  <c r="E343" i="84"/>
  <c r="E335" i="84"/>
  <c r="E323" i="84"/>
  <c r="E322" i="84"/>
  <c r="E321" i="84"/>
  <c r="E307" i="84"/>
  <c r="E306" i="84"/>
  <c r="E305" i="84"/>
  <c r="E291" i="84"/>
  <c r="E290" i="84"/>
  <c r="E289" i="84"/>
  <c r="E275" i="84"/>
  <c r="E274" i="84"/>
  <c r="E273" i="84"/>
  <c r="E269" i="84"/>
  <c r="E265" i="84"/>
  <c r="E261" i="84"/>
  <c r="E257" i="84"/>
  <c r="E253" i="84"/>
  <c r="E249" i="84"/>
  <c r="E245" i="84"/>
  <c r="E241" i="84"/>
  <c r="E237" i="84"/>
  <c r="E233" i="84"/>
  <c r="E229" i="84"/>
  <c r="E225" i="84"/>
  <c r="E221" i="84"/>
  <c r="E217" i="84"/>
  <c r="E213" i="84"/>
  <c r="E209" i="84"/>
  <c r="E205" i="84"/>
  <c r="E201" i="84"/>
  <c r="E197" i="84"/>
  <c r="E193" i="84"/>
  <c r="E189" i="84"/>
  <c r="E185" i="84"/>
  <c r="E665" i="84"/>
  <c r="E657" i="84"/>
  <c r="E649" i="84"/>
  <c r="E641" i="84"/>
  <c r="E633" i="84"/>
  <c r="E625" i="84"/>
  <c r="E617" i="84"/>
  <c r="E609" i="84"/>
  <c r="E601" i="84"/>
  <c r="E593" i="84"/>
  <c r="E547" i="84"/>
  <c r="E531" i="84"/>
  <c r="E515" i="84"/>
  <c r="E499" i="84"/>
  <c r="E454" i="84"/>
  <c r="E446" i="84"/>
  <c r="E438" i="84"/>
  <c r="E430" i="84"/>
  <c r="E418" i="84"/>
  <c r="E394" i="84"/>
  <c r="E362" i="84"/>
  <c r="E330" i="84"/>
  <c r="E327" i="84"/>
  <c r="E310" i="84"/>
  <c r="E293" i="84"/>
  <c r="E268" i="84"/>
  <c r="E252" i="84"/>
  <c r="E236" i="84"/>
  <c r="E220" i="84"/>
  <c r="E204" i="84"/>
  <c r="E188" i="84"/>
  <c r="E181" i="84"/>
  <c r="E173" i="84"/>
  <c r="E165" i="84"/>
  <c r="E157" i="84"/>
  <c r="E149" i="84"/>
  <c r="E141" i="84"/>
  <c r="E133" i="84"/>
  <c r="E125" i="84"/>
  <c r="E121" i="84"/>
  <c r="E120" i="84"/>
  <c r="E402" i="84"/>
  <c r="E370" i="84"/>
  <c r="E338" i="84"/>
  <c r="E326" i="84"/>
  <c r="E309" i="84"/>
  <c r="E279" i="84"/>
  <c r="E264" i="84"/>
  <c r="E248" i="84"/>
  <c r="E232" i="84"/>
  <c r="E216" i="84"/>
  <c r="E200" i="84"/>
  <c r="E184" i="84"/>
  <c r="E176" i="84"/>
  <c r="E168" i="84"/>
  <c r="E160" i="84"/>
  <c r="E152" i="84"/>
  <c r="E144" i="84"/>
  <c r="E136" i="84"/>
  <c r="E128" i="84"/>
  <c r="E123" i="84"/>
  <c r="E110" i="84"/>
  <c r="E106" i="84"/>
  <c r="E102" i="84"/>
  <c r="E378" i="84"/>
  <c r="E346" i="84"/>
  <c r="E325" i="84"/>
  <c r="E295" i="84"/>
  <c r="E386" i="84"/>
  <c r="E354" i="84"/>
  <c r="E311" i="84"/>
  <c r="E294" i="84"/>
  <c r="E277" i="84"/>
  <c r="E256" i="84"/>
  <c r="E240" i="84"/>
  <c r="E224" i="84"/>
  <c r="E208" i="84"/>
  <c r="E192" i="84"/>
  <c r="E180" i="84"/>
  <c r="E172" i="84"/>
  <c r="E164" i="84"/>
  <c r="E156" i="84"/>
  <c r="E148" i="84"/>
  <c r="E140" i="84"/>
  <c r="E132" i="84"/>
  <c r="E124" i="84"/>
  <c r="E117" i="84"/>
  <c r="E116" i="84"/>
  <c r="E115" i="84"/>
  <c r="E108" i="84"/>
  <c r="E104" i="84"/>
  <c r="E100" i="84"/>
  <c r="E96" i="84"/>
  <c r="E92" i="84"/>
  <c r="G736" i="84"/>
  <c r="G732" i="84"/>
  <c r="G728" i="84"/>
  <c r="G724" i="84"/>
  <c r="G720" i="84"/>
  <c r="G716" i="84"/>
  <c r="G712" i="84"/>
  <c r="G708" i="84"/>
  <c r="G704" i="84"/>
  <c r="G700" i="84"/>
  <c r="G696" i="84"/>
  <c r="G692" i="84"/>
  <c r="G688" i="84"/>
  <c r="G684" i="84"/>
  <c r="G680" i="84"/>
  <c r="G676" i="84"/>
  <c r="G735" i="84"/>
  <c r="G731" i="84"/>
  <c r="G727" i="84"/>
  <c r="G723" i="84"/>
  <c r="G719" i="84"/>
  <c r="G715" i="84"/>
  <c r="G711" i="84"/>
  <c r="G707" i="84"/>
  <c r="G703" i="84"/>
  <c r="G699" i="84"/>
  <c r="G734" i="84"/>
  <c r="G730" i="84"/>
  <c r="G726" i="84"/>
  <c r="G722" i="84"/>
  <c r="G718" i="84"/>
  <c r="G714" i="84"/>
  <c r="G710" i="84"/>
  <c r="G706" i="84"/>
  <c r="G702" i="84"/>
  <c r="G698" i="84"/>
  <c r="G694" i="84"/>
  <c r="G690" i="84"/>
  <c r="G686" i="84"/>
  <c r="G682" i="84"/>
  <c r="G678" i="84"/>
  <c r="G674" i="84"/>
  <c r="G737" i="84"/>
  <c r="G733" i="84"/>
  <c r="G729" i="84"/>
  <c r="G725" i="84"/>
  <c r="G721" i="84"/>
  <c r="G717" i="84"/>
  <c r="G713" i="84"/>
  <c r="G709" i="84"/>
  <c r="G705" i="84"/>
  <c r="G701" i="84"/>
  <c r="G673" i="84"/>
  <c r="G672" i="84"/>
  <c r="G669" i="84"/>
  <c r="G665" i="84"/>
  <c r="G661" i="84"/>
  <c r="G657" i="84"/>
  <c r="G653" i="84"/>
  <c r="G649" i="84"/>
  <c r="G645" i="84"/>
  <c r="G641" i="84"/>
  <c r="G637" i="84"/>
  <c r="G633" i="84"/>
  <c r="G629" i="84"/>
  <c r="G625" i="84"/>
  <c r="G621" i="84"/>
  <c r="G617" i="84"/>
  <c r="G613" i="84"/>
  <c r="G609" i="84"/>
  <c r="G605" i="84"/>
  <c r="G601" i="84"/>
  <c r="G597" i="84"/>
  <c r="G593" i="84"/>
  <c r="G589" i="84"/>
  <c r="G585" i="84"/>
  <c r="G581" i="84"/>
  <c r="G577" i="84"/>
  <c r="G573" i="84"/>
  <c r="G569" i="84"/>
  <c r="G565" i="84"/>
  <c r="G561" i="84"/>
  <c r="G668" i="84"/>
  <c r="G697" i="84"/>
  <c r="G667" i="84"/>
  <c r="G663" i="84"/>
  <c r="G659" i="84"/>
  <c r="G655" i="84"/>
  <c r="G651" i="84"/>
  <c r="G647" i="84"/>
  <c r="G643" i="84"/>
  <c r="G639" i="84"/>
  <c r="G635" i="84"/>
  <c r="G631" i="84"/>
  <c r="G627" i="84"/>
  <c r="G623" i="84"/>
  <c r="G619" i="84"/>
  <c r="G615" i="84"/>
  <c r="G611" i="84"/>
  <c r="G607" i="84"/>
  <c r="G603" i="84"/>
  <c r="G599" i="84"/>
  <c r="G595" i="84"/>
  <c r="G591" i="84"/>
  <c r="G587" i="84"/>
  <c r="G695" i="84"/>
  <c r="G693" i="84"/>
  <c r="G691" i="84"/>
  <c r="G689" i="84"/>
  <c r="G687" i="84"/>
  <c r="G685" i="84"/>
  <c r="G683" i="84"/>
  <c r="G681" i="84"/>
  <c r="G679" i="84"/>
  <c r="G677" i="84"/>
  <c r="G675" i="84"/>
  <c r="G671" i="84"/>
  <c r="G670" i="84"/>
  <c r="G666" i="84"/>
  <c r="G662" i="84"/>
  <c r="G658" i="84"/>
  <c r="G654" i="84"/>
  <c r="G650" i="84"/>
  <c r="G646" i="84"/>
  <c r="G642" i="84"/>
  <c r="G638" i="84"/>
  <c r="G634" i="84"/>
  <c r="G630" i="84"/>
  <c r="G626" i="84"/>
  <c r="G622" i="84"/>
  <c r="G618" i="84"/>
  <c r="G614" i="84"/>
  <c r="G610" i="84"/>
  <c r="G606" i="84"/>
  <c r="G602" i="84"/>
  <c r="G598" i="84"/>
  <c r="G594" i="84"/>
  <c r="G580" i="84"/>
  <c r="G579" i="84"/>
  <c r="G572" i="84"/>
  <c r="G571" i="84"/>
  <c r="G564" i="84"/>
  <c r="G563" i="84"/>
  <c r="G557" i="84"/>
  <c r="G553" i="84"/>
  <c r="G549" i="84"/>
  <c r="G545" i="84"/>
  <c r="G541" i="84"/>
  <c r="G537" i="84"/>
  <c r="G533" i="84"/>
  <c r="G529" i="84"/>
  <c r="G525" i="84"/>
  <c r="G521" i="84"/>
  <c r="G517" i="84"/>
  <c r="G513" i="84"/>
  <c r="G509" i="84"/>
  <c r="G505" i="84"/>
  <c r="G501" i="84"/>
  <c r="G497" i="84"/>
  <c r="G493" i="84"/>
  <c r="G489" i="84"/>
  <c r="G485" i="84"/>
  <c r="G481" i="84"/>
  <c r="G477" i="84"/>
  <c r="G473" i="84"/>
  <c r="G469" i="84"/>
  <c r="G465" i="84"/>
  <c r="G461" i="84"/>
  <c r="G660" i="84"/>
  <c r="G652" i="84"/>
  <c r="G644" i="84"/>
  <c r="G636" i="84"/>
  <c r="G628" i="84"/>
  <c r="G620" i="84"/>
  <c r="G612" i="84"/>
  <c r="G604" i="84"/>
  <c r="G596" i="84"/>
  <c r="G582" i="84"/>
  <c r="G574" i="84"/>
  <c r="G566" i="84"/>
  <c r="G556" i="84"/>
  <c r="G552" i="84"/>
  <c r="G548" i="84"/>
  <c r="G544" i="84"/>
  <c r="G540" i="84"/>
  <c r="G536" i="84"/>
  <c r="G532" i="84"/>
  <c r="G528" i="84"/>
  <c r="G524" i="84"/>
  <c r="G520" i="84"/>
  <c r="G516" i="84"/>
  <c r="G512" i="84"/>
  <c r="G508" i="84"/>
  <c r="G504" i="84"/>
  <c r="G500" i="84"/>
  <c r="G496" i="84"/>
  <c r="G492" i="84"/>
  <c r="G583" i="84"/>
  <c r="G576" i="84"/>
  <c r="G575" i="84"/>
  <c r="G568" i="84"/>
  <c r="G567" i="84"/>
  <c r="G560" i="84"/>
  <c r="G559" i="84"/>
  <c r="G555" i="84"/>
  <c r="G551" i="84"/>
  <c r="G586" i="84"/>
  <c r="G550" i="84"/>
  <c r="G546" i="84"/>
  <c r="G542" i="84"/>
  <c r="G538" i="84"/>
  <c r="G534" i="84"/>
  <c r="G530" i="84"/>
  <c r="G526" i="84"/>
  <c r="G522" i="84"/>
  <c r="G518" i="84"/>
  <c r="G514" i="84"/>
  <c r="G510" i="84"/>
  <c r="G506" i="84"/>
  <c r="G502" i="84"/>
  <c r="G498" i="84"/>
  <c r="G494" i="84"/>
  <c r="G486" i="84"/>
  <c r="G478" i="84"/>
  <c r="G470" i="84"/>
  <c r="G462" i="84"/>
  <c r="G456" i="84"/>
  <c r="G452" i="84"/>
  <c r="G448" i="84"/>
  <c r="G444" i="84"/>
  <c r="G440" i="84"/>
  <c r="G436" i="84"/>
  <c r="G432" i="84"/>
  <c r="G428" i="84"/>
  <c r="G588" i="84"/>
  <c r="G554" i="84"/>
  <c r="G488" i="84"/>
  <c r="G487" i="84"/>
  <c r="G480" i="84"/>
  <c r="G479" i="84"/>
  <c r="G472" i="84"/>
  <c r="G471" i="84"/>
  <c r="G464" i="84"/>
  <c r="G463" i="84"/>
  <c r="G455" i="84"/>
  <c r="G451" i="84"/>
  <c r="G447" i="84"/>
  <c r="G443" i="84"/>
  <c r="G439" i="84"/>
  <c r="G435" i="84"/>
  <c r="G431" i="84"/>
  <c r="G427" i="84"/>
  <c r="G590" i="84"/>
  <c r="G547" i="84"/>
  <c r="G543" i="84"/>
  <c r="G539" i="84"/>
  <c r="G535" i="84"/>
  <c r="G531" i="84"/>
  <c r="G527" i="84"/>
  <c r="G523" i="84"/>
  <c r="G519" i="84"/>
  <c r="G515" i="84"/>
  <c r="G511" i="84"/>
  <c r="G507" i="84"/>
  <c r="G503" i="84"/>
  <c r="G499" i="84"/>
  <c r="G495" i="84"/>
  <c r="G490" i="84"/>
  <c r="G482" i="84"/>
  <c r="G474" i="84"/>
  <c r="G466" i="84"/>
  <c r="G458" i="84"/>
  <c r="G454" i="84"/>
  <c r="G450" i="84"/>
  <c r="G446" i="84"/>
  <c r="G442" i="84"/>
  <c r="G438" i="84"/>
  <c r="G434" i="84"/>
  <c r="G430" i="84"/>
  <c r="G426" i="84"/>
  <c r="G584" i="84"/>
  <c r="G578" i="84"/>
  <c r="G570" i="84"/>
  <c r="G562" i="84"/>
  <c r="G558" i="84"/>
  <c r="G491" i="84"/>
  <c r="G476" i="84"/>
  <c r="G475" i="84"/>
  <c r="G460" i="84"/>
  <c r="G459" i="84"/>
  <c r="G457" i="84"/>
  <c r="G449" i="84"/>
  <c r="G441" i="84"/>
  <c r="G433" i="84"/>
  <c r="G425" i="84"/>
  <c r="G664" i="84"/>
  <c r="G656" i="84"/>
  <c r="G648" i="84"/>
  <c r="G640" i="84"/>
  <c r="G632" i="84"/>
  <c r="G624" i="84"/>
  <c r="G616" i="84"/>
  <c r="G608" i="84"/>
  <c r="G600" i="84"/>
  <c r="G592" i="84"/>
  <c r="G484" i="84"/>
  <c r="G483" i="84"/>
  <c r="G468" i="84"/>
  <c r="G467" i="84"/>
  <c r="G453" i="84"/>
  <c r="G445" i="84"/>
  <c r="G437" i="84"/>
  <c r="G429" i="84"/>
  <c r="E27" i="84"/>
  <c r="H2" i="84"/>
  <c r="E8" i="84"/>
  <c r="F8" i="84" s="1"/>
  <c r="G8" i="84" s="1"/>
  <c r="H8" i="84" s="1"/>
  <c r="I8" i="84" s="1"/>
  <c r="J8" i="84" s="1"/>
  <c r="K8" i="84" s="1"/>
  <c r="L8" i="84" s="1"/>
  <c r="M8" i="84" s="1"/>
  <c r="N8" i="84" s="1"/>
  <c r="O8" i="84" s="1"/>
  <c r="P8" i="84" s="1"/>
  <c r="Q8" i="84" s="1"/>
  <c r="R8" i="84" s="1"/>
  <c r="S8" i="84" s="1"/>
  <c r="D10" i="84"/>
  <c r="C25" i="84"/>
  <c r="E28" i="84"/>
  <c r="C29" i="84"/>
  <c r="E32" i="84"/>
  <c r="C33" i="84"/>
  <c r="E36" i="84"/>
  <c r="C37" i="84"/>
  <c r="E40" i="84"/>
  <c r="C41" i="84"/>
  <c r="E44" i="84"/>
  <c r="C45" i="84"/>
  <c r="E48" i="84"/>
  <c r="C49" i="84"/>
  <c r="E52" i="84"/>
  <c r="C53" i="84"/>
  <c r="E56" i="84"/>
  <c r="C57" i="84"/>
  <c r="E60" i="84"/>
  <c r="C61" i="84"/>
  <c r="E64" i="84"/>
  <c r="C65" i="84"/>
  <c r="E68" i="84"/>
  <c r="C69" i="84"/>
  <c r="E72" i="84"/>
  <c r="C73" i="84"/>
  <c r="E76" i="84"/>
  <c r="C77" i="84"/>
  <c r="E80" i="84"/>
  <c r="C81" i="84"/>
  <c r="E84" i="84"/>
  <c r="C85" i="84"/>
  <c r="E88" i="84"/>
  <c r="C89" i="84"/>
  <c r="C93" i="84"/>
  <c r="C94" i="84"/>
  <c r="C95" i="84"/>
  <c r="E97" i="84"/>
  <c r="E98" i="84"/>
  <c r="E99" i="84"/>
  <c r="E103" i="84"/>
  <c r="C105" i="84"/>
  <c r="C106" i="84"/>
  <c r="E111" i="84"/>
  <c r="E113" i="84"/>
  <c r="C115" i="84"/>
  <c r="C117" i="84"/>
  <c r="C126" i="84"/>
  <c r="E145" i="84"/>
  <c r="C158" i="84"/>
  <c r="E177" i="84"/>
  <c r="C189" i="84"/>
  <c r="C218" i="84"/>
  <c r="E228" i="84"/>
  <c r="C253" i="84"/>
  <c r="C275" i="84"/>
  <c r="C111" i="84"/>
  <c r="C127" i="84"/>
  <c r="C130" i="84"/>
  <c r="C135" i="84"/>
  <c r="C138" i="84"/>
  <c r="C143" i="84"/>
  <c r="C146" i="84"/>
  <c r="C151" i="84"/>
  <c r="C154" i="84"/>
  <c r="C159" i="84"/>
  <c r="C162" i="84"/>
  <c r="C167" i="84"/>
  <c r="C170" i="84"/>
  <c r="C175" i="84"/>
  <c r="C178" i="84"/>
  <c r="C183" i="84"/>
  <c r="C198" i="84"/>
  <c r="C214" i="84"/>
  <c r="C230" i="84"/>
  <c r="C246" i="84"/>
  <c r="C262" i="84"/>
  <c r="C272" i="84"/>
  <c r="C289" i="84"/>
  <c r="C308" i="84"/>
  <c r="C319" i="84"/>
  <c r="C333" i="84"/>
  <c r="C356" i="84"/>
  <c r="C365" i="84"/>
  <c r="C388" i="84"/>
  <c r="C397" i="84"/>
  <c r="C424" i="84"/>
  <c r="C292" i="84"/>
  <c r="C303" i="84"/>
  <c r="C320" i="84"/>
  <c r="C348" i="84"/>
  <c r="C357" i="84"/>
  <c r="C380" i="84"/>
  <c r="C389" i="84"/>
  <c r="C119" i="84"/>
  <c r="C131" i="84"/>
  <c r="C139" i="84"/>
  <c r="C147" i="84"/>
  <c r="C155" i="84"/>
  <c r="C163" i="84"/>
  <c r="C171" i="84"/>
  <c r="C179" i="84"/>
  <c r="C190" i="84"/>
  <c r="C206" i="84"/>
  <c r="C222" i="84"/>
  <c r="C238" i="84"/>
  <c r="C254" i="84"/>
  <c r="C270" i="84"/>
  <c r="C276" i="84"/>
  <c r="C287" i="84"/>
  <c r="C304" i="84"/>
  <c r="C321" i="84"/>
  <c r="C340" i="84"/>
  <c r="C349" i="84"/>
  <c r="C372" i="84"/>
  <c r="C381" i="84"/>
  <c r="C194" i="84"/>
  <c r="C210" i="84"/>
  <c r="C226" i="84"/>
  <c r="C242" i="84"/>
  <c r="C258" i="84"/>
  <c r="C271" i="84"/>
  <c r="C288" i="84"/>
  <c r="C305" i="84"/>
  <c r="C324" i="84"/>
  <c r="C332" i="84"/>
  <c r="C341" i="84"/>
  <c r="C364" i="84"/>
  <c r="C373" i="84"/>
  <c r="C396" i="84"/>
  <c r="C408" i="84"/>
  <c r="C497" i="84"/>
  <c r="C513" i="84"/>
  <c r="C529" i="84"/>
  <c r="C545" i="84"/>
  <c r="C591" i="84"/>
  <c r="C285" i="84"/>
  <c r="C301" i="84"/>
  <c r="C317" i="84"/>
  <c r="C412" i="84"/>
  <c r="C432" i="84"/>
  <c r="C440" i="84"/>
  <c r="C448" i="84"/>
  <c r="C456" i="84"/>
  <c r="C461" i="84"/>
  <c r="C462" i="84"/>
  <c r="C463" i="84"/>
  <c r="C477" i="84"/>
  <c r="C478" i="84"/>
  <c r="C479" i="84"/>
  <c r="C493" i="84"/>
  <c r="C509" i="84"/>
  <c r="C525" i="84"/>
  <c r="C541" i="84"/>
  <c r="C187" i="84"/>
  <c r="C191" i="84"/>
  <c r="C195" i="84"/>
  <c r="C199" i="84"/>
  <c r="C203" i="84"/>
  <c r="C207" i="84"/>
  <c r="C211" i="84"/>
  <c r="C215" i="84"/>
  <c r="C219" i="84"/>
  <c r="C223" i="84"/>
  <c r="C227" i="84"/>
  <c r="C231" i="84"/>
  <c r="C235" i="84"/>
  <c r="C239" i="84"/>
  <c r="C243" i="84"/>
  <c r="C247" i="84"/>
  <c r="C251" i="84"/>
  <c r="C255" i="84"/>
  <c r="C259" i="84"/>
  <c r="C263" i="84"/>
  <c r="C267" i="84"/>
  <c r="C281" i="84"/>
  <c r="C283" i="84"/>
  <c r="C297" i="84"/>
  <c r="C299" i="84"/>
  <c r="C313" i="84"/>
  <c r="C315" i="84"/>
  <c r="C329" i="84"/>
  <c r="C337" i="84"/>
  <c r="C345" i="84"/>
  <c r="C353" i="84"/>
  <c r="C361" i="84"/>
  <c r="C369" i="84"/>
  <c r="C377" i="84"/>
  <c r="C385" i="84"/>
  <c r="C393" i="84"/>
  <c r="C401" i="84"/>
  <c r="C416" i="84"/>
  <c r="C505" i="84"/>
  <c r="C521" i="84"/>
  <c r="C537" i="84"/>
  <c r="C260" i="84"/>
  <c r="C264" i="84"/>
  <c r="C268" i="84"/>
  <c r="C277" i="84"/>
  <c r="C279" i="84"/>
  <c r="C293" i="84"/>
  <c r="C309" i="84"/>
  <c r="C325" i="84"/>
  <c r="C404" i="84"/>
  <c r="C420" i="84"/>
  <c r="C428" i="84"/>
  <c r="C436" i="84"/>
  <c r="C444" i="84"/>
  <c r="C452" i="84"/>
  <c r="C469" i="84"/>
  <c r="C470" i="84"/>
  <c r="C471" i="84"/>
  <c r="C487" i="84"/>
  <c r="C501" i="84"/>
  <c r="C517" i="84"/>
  <c r="C533" i="84"/>
  <c r="C549" i="84"/>
  <c r="C553" i="84"/>
  <c r="C589" i="84"/>
  <c r="C405" i="84"/>
  <c r="C409" i="84"/>
  <c r="C413" i="84"/>
  <c r="C417" i="84"/>
  <c r="C421" i="84"/>
  <c r="C425" i="84"/>
  <c r="C429" i="84"/>
  <c r="C433" i="84"/>
  <c r="C437" i="84"/>
  <c r="C441" i="84"/>
  <c r="C445" i="84"/>
  <c r="C449" i="84"/>
  <c r="C453" i="84"/>
  <c r="C457" i="84"/>
  <c r="C459" i="84"/>
  <c r="C467" i="84"/>
  <c r="C475" i="84"/>
  <c r="C483" i="84"/>
  <c r="C491" i="84"/>
  <c r="C494" i="84"/>
  <c r="C498" i="84"/>
  <c r="C502" i="84"/>
  <c r="C506" i="84"/>
  <c r="C510" i="84"/>
  <c r="C514" i="84"/>
  <c r="C518" i="84"/>
  <c r="C522" i="84"/>
  <c r="C526" i="84"/>
  <c r="C530" i="84"/>
  <c r="C534" i="84"/>
  <c r="C538" i="84"/>
  <c r="C542" i="84"/>
  <c r="C546" i="84"/>
  <c r="C550" i="84"/>
  <c r="C587" i="84"/>
  <c r="C557" i="84"/>
  <c r="C561" i="84"/>
  <c r="C562" i="84"/>
  <c r="C565" i="84"/>
  <c r="C566" i="84"/>
  <c r="C569" i="84"/>
  <c r="C570" i="84"/>
  <c r="C573" i="84"/>
  <c r="C574" i="84"/>
  <c r="C577" i="84"/>
  <c r="C578" i="84"/>
  <c r="C581" i="84"/>
  <c r="C582" i="84"/>
  <c r="C585" i="84"/>
  <c r="C563" i="84"/>
  <c r="C571" i="84"/>
  <c r="C579" i="84"/>
  <c r="C595" i="84"/>
  <c r="C603" i="84"/>
  <c r="C611" i="84"/>
  <c r="C619" i="84"/>
  <c r="C627" i="84"/>
  <c r="C635" i="84"/>
  <c r="C643" i="84"/>
  <c r="C651" i="84"/>
  <c r="C659" i="84"/>
  <c r="C667" i="84"/>
  <c r="C554" i="84"/>
  <c r="C558" i="84"/>
  <c r="C495" i="84"/>
  <c r="C499" i="84"/>
  <c r="C503" i="84"/>
  <c r="C507" i="84"/>
  <c r="C511" i="84"/>
  <c r="C515" i="84"/>
  <c r="C519" i="84"/>
  <c r="C523" i="84"/>
  <c r="C527" i="84"/>
  <c r="C531" i="84"/>
  <c r="C535" i="84"/>
  <c r="C539" i="84"/>
  <c r="C543" i="84"/>
  <c r="C547" i="84"/>
  <c r="C551" i="84"/>
  <c r="C555" i="84"/>
  <c r="C559" i="84"/>
  <c r="C567" i="84"/>
  <c r="C575" i="84"/>
  <c r="C583" i="84"/>
  <c r="C599" i="84"/>
  <c r="C607" i="84"/>
  <c r="C615" i="84"/>
  <c r="C623" i="84"/>
  <c r="C631" i="84"/>
  <c r="C639" i="84"/>
  <c r="C647" i="84"/>
  <c r="C655" i="84"/>
  <c r="C663" i="84"/>
  <c r="C674" i="84"/>
  <c r="C676" i="84"/>
  <c r="C678" i="84"/>
  <c r="C680" i="84"/>
  <c r="C682" i="84"/>
  <c r="C684" i="84"/>
  <c r="C686" i="84"/>
  <c r="C688" i="84"/>
  <c r="C690" i="84"/>
  <c r="C692" i="84"/>
  <c r="C694" i="84"/>
  <c r="C696" i="84"/>
  <c r="C593" i="84"/>
  <c r="C597" i="84"/>
  <c r="C601" i="84"/>
  <c r="C605" i="84"/>
  <c r="C609" i="84"/>
  <c r="C613" i="84"/>
  <c r="C617" i="84"/>
  <c r="C621" i="84"/>
  <c r="C625" i="84"/>
  <c r="C629" i="84"/>
  <c r="C633" i="84"/>
  <c r="C637" i="84"/>
  <c r="C641" i="84"/>
  <c r="C645" i="84"/>
  <c r="C649" i="84"/>
  <c r="C653" i="84"/>
  <c r="C657" i="84"/>
  <c r="C661" i="84"/>
  <c r="C665" i="84"/>
  <c r="C669" i="84"/>
  <c r="C672" i="84"/>
  <c r="C670" i="84"/>
  <c r="C760" i="84"/>
  <c r="C768" i="84"/>
  <c r="C700" i="84"/>
  <c r="C704" i="84"/>
  <c r="C708" i="84"/>
  <c r="C712" i="84"/>
  <c r="C716" i="84"/>
  <c r="C720" i="84"/>
  <c r="C724" i="84"/>
  <c r="C728" i="84"/>
  <c r="C732" i="84"/>
  <c r="C736" i="84"/>
  <c r="C740" i="84"/>
  <c r="C744" i="84"/>
  <c r="C748" i="84"/>
  <c r="C752" i="84"/>
  <c r="C775" i="84"/>
  <c r="C756" i="84"/>
  <c r="C764" i="84"/>
  <c r="C772" i="84"/>
  <c r="C779" i="84"/>
  <c r="C698" i="84"/>
  <c r="C702" i="84"/>
  <c r="C706" i="84"/>
  <c r="C710" i="84"/>
  <c r="C714" i="84"/>
  <c r="C718" i="84"/>
  <c r="C722" i="84"/>
  <c r="C726" i="84"/>
  <c r="C730" i="84"/>
  <c r="C734" i="84"/>
  <c r="C738" i="84"/>
  <c r="C742" i="84"/>
  <c r="C746" i="84"/>
  <c r="C750" i="84"/>
  <c r="C841" i="84"/>
  <c r="C783" i="84"/>
  <c r="C787" i="84"/>
  <c r="C791" i="84"/>
  <c r="C795" i="84"/>
  <c r="C799" i="84"/>
  <c r="C803" i="84"/>
  <c r="C807" i="84"/>
  <c r="C811" i="84"/>
  <c r="C815" i="84"/>
  <c r="C819" i="84"/>
  <c r="C823" i="84"/>
  <c r="C827" i="84"/>
  <c r="C831" i="84"/>
  <c r="C858" i="84"/>
  <c r="C776" i="84"/>
  <c r="C780" i="84"/>
  <c r="C784" i="84"/>
  <c r="C788" i="84"/>
  <c r="C792" i="84"/>
  <c r="C796" i="84"/>
  <c r="C800" i="84"/>
  <c r="C804" i="84"/>
  <c r="C808" i="84"/>
  <c r="C812" i="84"/>
  <c r="C816" i="84"/>
  <c r="C820" i="84"/>
  <c r="C824" i="84"/>
  <c r="C828" i="84"/>
  <c r="C832" i="84"/>
  <c r="C838" i="84"/>
  <c r="C846" i="84"/>
  <c r="C862" i="84"/>
  <c r="C833" i="84"/>
  <c r="C850" i="84"/>
  <c r="C842" i="84"/>
  <c r="C854" i="84"/>
  <c r="C890" i="84"/>
  <c r="C898" i="84"/>
  <c r="C866" i="84"/>
  <c r="C870" i="84"/>
  <c r="C874" i="84"/>
  <c r="C878" i="84"/>
  <c r="C882" i="84"/>
  <c r="C886" i="84"/>
  <c r="C903" i="84"/>
  <c r="C907" i="84"/>
  <c r="C835" i="84"/>
  <c r="C839" i="84"/>
  <c r="C843" i="84"/>
  <c r="C847" i="84"/>
  <c r="C851" i="84"/>
  <c r="C855" i="84"/>
  <c r="C859" i="84"/>
  <c r="C863" i="84"/>
  <c r="C867" i="84"/>
  <c r="C871" i="84"/>
  <c r="C875" i="84"/>
  <c r="C879" i="84"/>
  <c r="C883" i="84"/>
  <c r="C887" i="84"/>
  <c r="C895" i="84"/>
  <c r="C911" i="84"/>
  <c r="C891" i="84"/>
  <c r="C899" i="84"/>
  <c r="C915" i="84"/>
  <c r="C932" i="84"/>
  <c r="C936" i="84"/>
  <c r="C937" i="84"/>
  <c r="C951" i="84"/>
  <c r="C967" i="84"/>
  <c r="C983" i="84"/>
  <c r="C933" i="84"/>
  <c r="C941" i="84"/>
  <c r="C955" i="84"/>
  <c r="C971" i="84"/>
  <c r="C987" i="84"/>
  <c r="C919" i="84"/>
  <c r="C923" i="84"/>
  <c r="C927" i="84"/>
  <c r="C929" i="84"/>
  <c r="C931" i="84"/>
  <c r="C943" i="84"/>
  <c r="C959" i="84"/>
  <c r="C975" i="84"/>
  <c r="C991" i="84"/>
  <c r="C947" i="84"/>
  <c r="C963" i="84"/>
  <c r="C979" i="84"/>
  <c r="C945" i="84"/>
  <c r="C949" i="84"/>
  <c r="C953" i="84"/>
  <c r="C957" i="84"/>
  <c r="C961" i="84"/>
  <c r="C965" i="84"/>
  <c r="C969" i="84"/>
  <c r="C973" i="84"/>
  <c r="C977" i="84"/>
  <c r="C981" i="84"/>
  <c r="C985" i="84"/>
  <c r="C989" i="84"/>
  <c r="C993" i="84"/>
  <c r="A126" i="83"/>
  <c r="A124" i="83"/>
  <c r="A122" i="83"/>
  <c r="A120" i="83"/>
  <c r="E111" i="83"/>
  <c r="H112" i="83" s="1"/>
  <c r="E109" i="83"/>
  <c r="H109" i="83" s="1"/>
  <c r="E107" i="83"/>
  <c r="H106" i="83"/>
  <c r="H105" i="83"/>
  <c r="H104" i="83"/>
  <c r="H103" i="83"/>
  <c r="D120" i="83" s="1"/>
  <c r="D101" i="83"/>
  <c r="C101" i="83"/>
  <c r="C91" i="83"/>
  <c r="E90" i="83"/>
  <c r="D89" i="83"/>
  <c r="C89" i="83" s="1"/>
  <c r="C87" i="83" s="1"/>
  <c r="H77" i="83"/>
  <c r="D77" i="83"/>
  <c r="C76" i="83"/>
  <c r="F59" i="83"/>
  <c r="O55" i="83" s="1"/>
  <c r="E59" i="83"/>
  <c r="N55" i="83" s="1"/>
  <c r="F56" i="83"/>
  <c r="O54" i="83" s="1"/>
  <c r="K55" i="83"/>
  <c r="J55" i="83"/>
  <c r="I55" i="83"/>
  <c r="F55" i="83"/>
  <c r="O53" i="83" s="1"/>
  <c r="N54" i="83"/>
  <c r="N53" i="83"/>
  <c r="K49" i="83"/>
  <c r="E48" i="83"/>
  <c r="N52" i="83" s="1"/>
  <c r="D48" i="83"/>
  <c r="M52" i="83" s="1"/>
  <c r="F33" i="83"/>
  <c r="D27" i="83"/>
  <c r="C25" i="83"/>
  <c r="C24" i="83"/>
  <c r="D17" i="83"/>
  <c r="C18" i="83" s="1"/>
  <c r="D18" i="83" s="1"/>
  <c r="C17" i="83"/>
  <c r="L4" i="83"/>
  <c r="K4" i="83"/>
  <c r="H1" i="83"/>
  <c r="Q72" i="82"/>
  <c r="Q59" i="82"/>
  <c r="K59" i="82"/>
  <c r="P74" i="82" s="1"/>
  <c r="F59" i="82"/>
  <c r="Q58" i="82"/>
  <c r="Q51" i="82"/>
  <c r="J50" i="82"/>
  <c r="M47" i="82"/>
  <c r="D46" i="82"/>
  <c r="F33" i="82"/>
  <c r="F61" i="82" s="1"/>
  <c r="F31" i="82"/>
  <c r="F23" i="82"/>
  <c r="D24" i="82" s="1"/>
  <c r="D22" i="82"/>
  <c r="F21" i="82"/>
  <c r="F20" i="82"/>
  <c r="M19" i="82"/>
  <c r="F18" i="82"/>
  <c r="M17" i="82"/>
  <c r="F17" i="82"/>
  <c r="F15" i="82"/>
  <c r="T9" i="31"/>
  <c r="D67" i="34"/>
  <c r="E67" i="34" s="1"/>
  <c r="F67" i="34" s="1"/>
  <c r="G67" i="34" s="1"/>
  <c r="H67" i="34" s="1"/>
  <c r="K525" i="31"/>
  <c r="M525" i="31"/>
  <c r="O525" i="31"/>
  <c r="Q525" i="31"/>
  <c r="K526" i="31"/>
  <c r="M526" i="31"/>
  <c r="O526" i="31"/>
  <c r="Q526" i="31"/>
  <c r="K527" i="31"/>
  <c r="M527" i="31"/>
  <c r="O527" i="31"/>
  <c r="Q527" i="31"/>
  <c r="K528" i="31"/>
  <c r="M528" i="31"/>
  <c r="O528" i="31"/>
  <c r="Q528" i="31"/>
  <c r="K529" i="31"/>
  <c r="M529" i="31"/>
  <c r="O529" i="31"/>
  <c r="Q529" i="31"/>
  <c r="K530" i="31"/>
  <c r="M530" i="31"/>
  <c r="O530" i="31"/>
  <c r="Q530" i="31"/>
  <c r="K531" i="31"/>
  <c r="M531" i="31"/>
  <c r="O531" i="31"/>
  <c r="Q531" i="31"/>
  <c r="K532" i="31"/>
  <c r="M532" i="31"/>
  <c r="O532" i="31"/>
  <c r="Q532" i="31"/>
  <c r="K533" i="31"/>
  <c r="M533" i="31"/>
  <c r="O533" i="31"/>
  <c r="Q533" i="31"/>
  <c r="K534" i="31"/>
  <c r="M534" i="31"/>
  <c r="O534" i="31"/>
  <c r="Q534" i="31"/>
  <c r="K535" i="31"/>
  <c r="M535" i="31"/>
  <c r="O535" i="31"/>
  <c r="Q535" i="31"/>
  <c r="K536" i="31"/>
  <c r="M536" i="31"/>
  <c r="O536" i="31"/>
  <c r="Q536" i="31"/>
  <c r="K537" i="31"/>
  <c r="M537" i="31"/>
  <c r="O537" i="31"/>
  <c r="Q537" i="31"/>
  <c r="K538" i="31"/>
  <c r="M538" i="31"/>
  <c r="O538" i="31"/>
  <c r="Q538" i="31"/>
  <c r="K539" i="31"/>
  <c r="M539" i="31"/>
  <c r="O539" i="31"/>
  <c r="Q539" i="31"/>
  <c r="K540" i="31"/>
  <c r="M540" i="31"/>
  <c r="O540" i="31"/>
  <c r="Q540" i="31"/>
  <c r="K541" i="31"/>
  <c r="M541" i="31"/>
  <c r="O541" i="31"/>
  <c r="Q541" i="31"/>
  <c r="K542" i="31"/>
  <c r="M542" i="31"/>
  <c r="O542" i="31"/>
  <c r="Q542" i="31"/>
  <c r="K543" i="31"/>
  <c r="M543" i="31"/>
  <c r="O543" i="31"/>
  <c r="Q543" i="31"/>
  <c r="K544" i="31"/>
  <c r="M544" i="31"/>
  <c r="O544" i="31"/>
  <c r="Q544" i="31"/>
  <c r="K545" i="31"/>
  <c r="M545" i="31"/>
  <c r="O545" i="31"/>
  <c r="Q545" i="31"/>
  <c r="K546" i="31"/>
  <c r="M546" i="31"/>
  <c r="O546" i="31"/>
  <c r="Q546" i="31"/>
  <c r="K547" i="31"/>
  <c r="M547" i="31"/>
  <c r="O547" i="31"/>
  <c r="Q547" i="31"/>
  <c r="K548" i="31"/>
  <c r="M548" i="31"/>
  <c r="O548" i="31"/>
  <c r="Q548" i="31"/>
  <c r="K549" i="31"/>
  <c r="M549" i="31"/>
  <c r="O549" i="31"/>
  <c r="Q549" i="31"/>
  <c r="K550" i="31"/>
  <c r="M550" i="31"/>
  <c r="O550" i="31"/>
  <c r="Q550" i="31"/>
  <c r="K551" i="31"/>
  <c r="M551" i="31"/>
  <c r="O551" i="31"/>
  <c r="Q551" i="31"/>
  <c r="K552" i="31"/>
  <c r="M552" i="31"/>
  <c r="O552" i="31"/>
  <c r="Q552" i="31"/>
  <c r="K553" i="31"/>
  <c r="M553" i="31"/>
  <c r="O553" i="31"/>
  <c r="Q553" i="31"/>
  <c r="K554" i="31"/>
  <c r="M554" i="31"/>
  <c r="O554" i="31"/>
  <c r="Q554" i="31"/>
  <c r="K555" i="31"/>
  <c r="M555" i="31"/>
  <c r="O555" i="31"/>
  <c r="Q555" i="31"/>
  <c r="K556" i="31"/>
  <c r="M556" i="31"/>
  <c r="O556" i="31"/>
  <c r="Q556" i="31"/>
  <c r="K557" i="31"/>
  <c r="M557" i="31"/>
  <c r="O557" i="31"/>
  <c r="Q557" i="31"/>
  <c r="K558" i="31"/>
  <c r="M558" i="31"/>
  <c r="O558" i="31"/>
  <c r="Q558" i="31"/>
  <c r="K559" i="31"/>
  <c r="M559" i="31"/>
  <c r="O559" i="31"/>
  <c r="Q559" i="31"/>
  <c r="K560" i="31"/>
  <c r="M560" i="31"/>
  <c r="O560" i="31"/>
  <c r="Q560" i="31"/>
  <c r="K561" i="31"/>
  <c r="M561" i="31"/>
  <c r="O561" i="31"/>
  <c r="Q561" i="31"/>
  <c r="K562" i="31"/>
  <c r="M562" i="31"/>
  <c r="O562" i="31"/>
  <c r="Q562" i="31"/>
  <c r="K563" i="31"/>
  <c r="M563" i="31"/>
  <c r="O563" i="31"/>
  <c r="Q563" i="31"/>
  <c r="K564" i="31"/>
  <c r="M564" i="31"/>
  <c r="O564" i="31"/>
  <c r="Q564" i="31"/>
  <c r="K565" i="31"/>
  <c r="M565" i="31"/>
  <c r="O565" i="31"/>
  <c r="Q565" i="31"/>
  <c r="K566" i="31"/>
  <c r="M566" i="31"/>
  <c r="O566" i="31"/>
  <c r="Q566" i="31"/>
  <c r="K567" i="31"/>
  <c r="M567" i="31"/>
  <c r="O567" i="31"/>
  <c r="Q567" i="31"/>
  <c r="K568" i="31"/>
  <c r="M568" i="31"/>
  <c r="O568" i="31"/>
  <c r="Q568" i="31"/>
  <c r="K569" i="31"/>
  <c r="M569" i="31"/>
  <c r="O569" i="31"/>
  <c r="Q569" i="31"/>
  <c r="K570" i="31"/>
  <c r="M570" i="31"/>
  <c r="O570" i="31"/>
  <c r="Q570" i="31"/>
  <c r="K571" i="31"/>
  <c r="M571" i="31"/>
  <c r="O571" i="31"/>
  <c r="Q571" i="31"/>
  <c r="K572" i="31"/>
  <c r="M572" i="31"/>
  <c r="O572" i="31"/>
  <c r="Q572" i="31"/>
  <c r="K573" i="31"/>
  <c r="M573" i="31"/>
  <c r="O573" i="31"/>
  <c r="Q573" i="31"/>
  <c r="K574" i="31"/>
  <c r="M574" i="31"/>
  <c r="O574" i="31"/>
  <c r="Q574" i="31"/>
  <c r="K575" i="31"/>
  <c r="M575" i="31"/>
  <c r="O575" i="31"/>
  <c r="Q575" i="31"/>
  <c r="K576" i="31"/>
  <c r="M576" i="31"/>
  <c r="O576" i="31"/>
  <c r="Q576" i="31"/>
  <c r="K577" i="31"/>
  <c r="M577" i="31"/>
  <c r="O577" i="31"/>
  <c r="Q577" i="31"/>
  <c r="K578" i="31"/>
  <c r="M578" i="31"/>
  <c r="O578" i="31"/>
  <c r="Q578" i="31"/>
  <c r="K579" i="31"/>
  <c r="M579" i="31"/>
  <c r="O579" i="31"/>
  <c r="Q579" i="31"/>
  <c r="K580" i="31"/>
  <c r="M580" i="31"/>
  <c r="O580" i="31"/>
  <c r="Q580" i="31"/>
  <c r="K581" i="31"/>
  <c r="M581" i="31"/>
  <c r="O581" i="31"/>
  <c r="Q581" i="31"/>
  <c r="K582" i="31"/>
  <c r="M582" i="31"/>
  <c r="O582" i="31"/>
  <c r="Q582" i="31"/>
  <c r="K583" i="31"/>
  <c r="M583" i="31"/>
  <c r="O583" i="31"/>
  <c r="Q583" i="31"/>
  <c r="K584" i="31"/>
  <c r="M584" i="31"/>
  <c r="O584" i="31"/>
  <c r="Q584" i="31"/>
  <c r="K585" i="31"/>
  <c r="M585" i="31"/>
  <c r="O585" i="31"/>
  <c r="Q585" i="31"/>
  <c r="K586" i="31"/>
  <c r="M586" i="31"/>
  <c r="O586" i="31"/>
  <c r="Q586" i="31"/>
  <c r="K587" i="31"/>
  <c r="M587" i="31"/>
  <c r="O587" i="31"/>
  <c r="Q587" i="31"/>
  <c r="K588" i="31"/>
  <c r="M588" i="31"/>
  <c r="O588" i="31"/>
  <c r="Q588" i="31"/>
  <c r="K589" i="31"/>
  <c r="M589" i="31"/>
  <c r="O589" i="31"/>
  <c r="Q589" i="31"/>
  <c r="K590" i="31"/>
  <c r="M590" i="31"/>
  <c r="O590" i="31"/>
  <c r="Q590" i="31"/>
  <c r="K591" i="31"/>
  <c r="M591" i="31"/>
  <c r="O591" i="31"/>
  <c r="Q591" i="31"/>
  <c r="K592" i="31"/>
  <c r="M592" i="31"/>
  <c r="O592" i="31"/>
  <c r="Q592" i="31"/>
  <c r="K593" i="31"/>
  <c r="M593" i="31"/>
  <c r="O593" i="31"/>
  <c r="Q593" i="31"/>
  <c r="K594" i="31"/>
  <c r="M594" i="31"/>
  <c r="O594" i="31"/>
  <c r="Q594" i="31"/>
  <c r="K595" i="31"/>
  <c r="M595" i="31"/>
  <c r="O595" i="31"/>
  <c r="Q595" i="31"/>
  <c r="K596" i="31"/>
  <c r="M596" i="31"/>
  <c r="O596" i="31"/>
  <c r="Q596" i="31"/>
  <c r="K597" i="31"/>
  <c r="M597" i="31"/>
  <c r="O597" i="31"/>
  <c r="Q597" i="31"/>
  <c r="K598" i="31"/>
  <c r="M598" i="31"/>
  <c r="O598" i="31"/>
  <c r="Q598" i="31"/>
  <c r="K599" i="31"/>
  <c r="M599" i="31"/>
  <c r="O599" i="31"/>
  <c r="Q599" i="31"/>
  <c r="K600" i="31"/>
  <c r="M600" i="31"/>
  <c r="O600" i="31"/>
  <c r="Q600" i="31"/>
  <c r="K601" i="31"/>
  <c r="M601" i="31"/>
  <c r="O601" i="31"/>
  <c r="Q601" i="31"/>
  <c r="K602" i="31"/>
  <c r="M602" i="31"/>
  <c r="O602" i="31"/>
  <c r="Q602" i="31"/>
  <c r="K603" i="31"/>
  <c r="M603" i="31"/>
  <c r="O603" i="31"/>
  <c r="Q603" i="31"/>
  <c r="K604" i="31"/>
  <c r="M604" i="31"/>
  <c r="O604" i="31"/>
  <c r="Q604" i="31"/>
  <c r="K605" i="31"/>
  <c r="M605" i="31"/>
  <c r="O605" i="31"/>
  <c r="Q605" i="31"/>
  <c r="K606" i="31"/>
  <c r="M606" i="31"/>
  <c r="O606" i="31"/>
  <c r="Q606" i="31"/>
  <c r="K607" i="31"/>
  <c r="M607" i="31"/>
  <c r="O607" i="31"/>
  <c r="Q607" i="31"/>
  <c r="K608" i="31"/>
  <c r="M608" i="31"/>
  <c r="O608" i="31"/>
  <c r="Q608" i="31"/>
  <c r="K609" i="31"/>
  <c r="M609" i="31"/>
  <c r="O609" i="31"/>
  <c r="Q609" i="31"/>
  <c r="K610" i="31"/>
  <c r="M610" i="31"/>
  <c r="O610" i="31"/>
  <c r="Q610" i="31"/>
  <c r="K611" i="31"/>
  <c r="M611" i="31"/>
  <c r="O611" i="31"/>
  <c r="Q611" i="31"/>
  <c r="K612" i="31"/>
  <c r="M612" i="31"/>
  <c r="O612" i="31"/>
  <c r="Q612" i="31"/>
  <c r="K613" i="31"/>
  <c r="M613" i="31"/>
  <c r="O613" i="31"/>
  <c r="Q613" i="31"/>
  <c r="K614" i="31"/>
  <c r="M614" i="31"/>
  <c r="O614" i="31"/>
  <c r="Q614" i="31"/>
  <c r="K615" i="31"/>
  <c r="M615" i="31"/>
  <c r="O615" i="31"/>
  <c r="Q615" i="31"/>
  <c r="K616" i="31"/>
  <c r="M616" i="31"/>
  <c r="O616" i="31"/>
  <c r="Q616" i="31"/>
  <c r="K617" i="31"/>
  <c r="M617" i="31"/>
  <c r="O617" i="31"/>
  <c r="Q617" i="31"/>
  <c r="K618" i="31"/>
  <c r="M618" i="31"/>
  <c r="O618" i="31"/>
  <c r="Q618" i="31"/>
  <c r="K619" i="31"/>
  <c r="M619" i="31"/>
  <c r="O619" i="31"/>
  <c r="Q619" i="31"/>
  <c r="K620" i="31"/>
  <c r="M620" i="31"/>
  <c r="O620" i="31"/>
  <c r="Q620" i="31"/>
  <c r="K621" i="31"/>
  <c r="M621" i="31"/>
  <c r="O621" i="31"/>
  <c r="Q621" i="31"/>
  <c r="K622" i="31"/>
  <c r="M622" i="31"/>
  <c r="O622" i="31"/>
  <c r="Q622" i="31"/>
  <c r="K623" i="31"/>
  <c r="M623" i="31"/>
  <c r="O623" i="31"/>
  <c r="Q623" i="31"/>
  <c r="K624" i="31"/>
  <c r="M624" i="31"/>
  <c r="O624" i="31"/>
  <c r="Q624" i="31"/>
  <c r="K625" i="31"/>
  <c r="M625" i="31"/>
  <c r="O625" i="31"/>
  <c r="Q625" i="31"/>
  <c r="K626" i="31"/>
  <c r="M626" i="31"/>
  <c r="O626" i="31"/>
  <c r="Q626" i="31"/>
  <c r="K627" i="31"/>
  <c r="M627" i="31"/>
  <c r="O627" i="31"/>
  <c r="Q627" i="31"/>
  <c r="K628" i="31"/>
  <c r="M628" i="31"/>
  <c r="O628" i="31"/>
  <c r="Q628" i="31"/>
  <c r="K629" i="31"/>
  <c r="M629" i="31"/>
  <c r="O629" i="31"/>
  <c r="Q629" i="31"/>
  <c r="K630" i="31"/>
  <c r="M630" i="31"/>
  <c r="O630" i="31"/>
  <c r="Q630" i="31"/>
  <c r="K631" i="31"/>
  <c r="M631" i="31"/>
  <c r="O631" i="31"/>
  <c r="Q631" i="31"/>
  <c r="K632" i="31"/>
  <c r="M632" i="31"/>
  <c r="O632" i="31"/>
  <c r="Q632" i="31"/>
  <c r="K633" i="31"/>
  <c r="M633" i="31"/>
  <c r="O633" i="31"/>
  <c r="Q633" i="31"/>
  <c r="K634" i="31"/>
  <c r="M634" i="31"/>
  <c r="O634" i="31"/>
  <c r="Q634" i="31"/>
  <c r="K635" i="31"/>
  <c r="M635" i="31"/>
  <c r="O635" i="31"/>
  <c r="Q635" i="31"/>
  <c r="K636" i="31"/>
  <c r="M636" i="31"/>
  <c r="O636" i="31"/>
  <c r="Q636" i="31"/>
  <c r="K637" i="31"/>
  <c r="M637" i="31"/>
  <c r="O637" i="31"/>
  <c r="Q637" i="31"/>
  <c r="K638" i="31"/>
  <c r="M638" i="31"/>
  <c r="O638" i="31"/>
  <c r="Q638" i="31"/>
  <c r="K639" i="31"/>
  <c r="M639" i="31"/>
  <c r="O639" i="31"/>
  <c r="Q639" i="31"/>
  <c r="K640" i="31"/>
  <c r="M640" i="31"/>
  <c r="O640" i="31"/>
  <c r="Q640" i="31"/>
  <c r="K641" i="31"/>
  <c r="M641" i="31"/>
  <c r="O641" i="31"/>
  <c r="Q641" i="31"/>
  <c r="K642" i="31"/>
  <c r="M642" i="31"/>
  <c r="O642" i="31"/>
  <c r="Q642" i="31"/>
  <c r="K643" i="31"/>
  <c r="M643" i="31"/>
  <c r="O643" i="31"/>
  <c r="Q643" i="31"/>
  <c r="K644" i="31"/>
  <c r="M644" i="31"/>
  <c r="O644" i="31"/>
  <c r="Q644" i="31"/>
  <c r="K645" i="31"/>
  <c r="M645" i="31"/>
  <c r="O645" i="31"/>
  <c r="Q645" i="31"/>
  <c r="K646" i="31"/>
  <c r="M646" i="31"/>
  <c r="O646" i="31"/>
  <c r="Q646" i="31"/>
  <c r="K647" i="31"/>
  <c r="M647" i="31"/>
  <c r="O647" i="31"/>
  <c r="Q647" i="31"/>
  <c r="K648" i="31"/>
  <c r="M648" i="31"/>
  <c r="O648" i="31"/>
  <c r="Q648" i="31"/>
  <c r="K649" i="31"/>
  <c r="M649" i="31"/>
  <c r="O649" i="31"/>
  <c r="Q649" i="31"/>
  <c r="K650" i="31"/>
  <c r="M650" i="31"/>
  <c r="O650" i="31"/>
  <c r="Q650" i="31"/>
  <c r="K651" i="31"/>
  <c r="M651" i="31"/>
  <c r="O651" i="31"/>
  <c r="Q651" i="31"/>
  <c r="K652" i="31"/>
  <c r="M652" i="31"/>
  <c r="O652" i="31"/>
  <c r="Q652" i="31"/>
  <c r="K653" i="31"/>
  <c r="M653" i="31"/>
  <c r="O653" i="31"/>
  <c r="Q653" i="31"/>
  <c r="K654" i="31"/>
  <c r="M654" i="31"/>
  <c r="O654" i="31"/>
  <c r="Q654" i="31"/>
  <c r="K655" i="31"/>
  <c r="M655" i="31"/>
  <c r="O655" i="31"/>
  <c r="Q655" i="31"/>
  <c r="K656" i="31"/>
  <c r="M656" i="31"/>
  <c r="O656" i="31"/>
  <c r="Q656" i="31"/>
  <c r="K657" i="31"/>
  <c r="M657" i="31"/>
  <c r="O657" i="31"/>
  <c r="Q657" i="31"/>
  <c r="K658" i="31"/>
  <c r="M658" i="31"/>
  <c r="O658" i="31"/>
  <c r="Q658" i="31"/>
  <c r="K659" i="31"/>
  <c r="M659" i="31"/>
  <c r="O659" i="31"/>
  <c r="Q659" i="31"/>
  <c r="K660" i="31"/>
  <c r="M660" i="31"/>
  <c r="O660" i="31"/>
  <c r="Q660" i="31"/>
  <c r="K661" i="31"/>
  <c r="M661" i="31"/>
  <c r="O661" i="31"/>
  <c r="Q661" i="31"/>
  <c r="K662" i="31"/>
  <c r="M662" i="31"/>
  <c r="O662" i="31"/>
  <c r="Q662" i="31"/>
  <c r="K663" i="31"/>
  <c r="M663" i="31"/>
  <c r="O663" i="31"/>
  <c r="Q663" i="31"/>
  <c r="K664" i="31"/>
  <c r="M664" i="31"/>
  <c r="O664" i="31"/>
  <c r="Q664" i="31"/>
  <c r="K665" i="31"/>
  <c r="M665" i="31"/>
  <c r="O665" i="31"/>
  <c r="Q665" i="31"/>
  <c r="K666" i="31"/>
  <c r="M666" i="31"/>
  <c r="O666" i="31"/>
  <c r="Q666" i="31"/>
  <c r="K667" i="31"/>
  <c r="M667" i="31"/>
  <c r="O667" i="31"/>
  <c r="Q667" i="31"/>
  <c r="K668" i="31"/>
  <c r="M668" i="31"/>
  <c r="O668" i="31"/>
  <c r="Q668" i="31"/>
  <c r="K669" i="31"/>
  <c r="M669" i="31"/>
  <c r="O669" i="31"/>
  <c r="Q669" i="31"/>
  <c r="K670" i="31"/>
  <c r="M670" i="31"/>
  <c r="O670" i="31"/>
  <c r="Q670" i="31"/>
  <c r="K671" i="31"/>
  <c r="M671" i="31"/>
  <c r="O671" i="31"/>
  <c r="Q671" i="31"/>
  <c r="K672" i="31"/>
  <c r="M672" i="31"/>
  <c r="O672" i="31"/>
  <c r="Q672" i="31"/>
  <c r="K673" i="31"/>
  <c r="M673" i="31"/>
  <c r="O673" i="31"/>
  <c r="Q673" i="31"/>
  <c r="K674" i="31"/>
  <c r="M674" i="31"/>
  <c r="O674" i="31"/>
  <c r="Q674" i="31"/>
  <c r="K675" i="31"/>
  <c r="M675" i="31"/>
  <c r="O675" i="31"/>
  <c r="Q675" i="31"/>
  <c r="K676" i="31"/>
  <c r="M676" i="31"/>
  <c r="O676" i="31"/>
  <c r="Q676" i="31"/>
  <c r="K677" i="31"/>
  <c r="M677" i="31"/>
  <c r="O677" i="31"/>
  <c r="Q677" i="31"/>
  <c r="K678" i="31"/>
  <c r="M678" i="31"/>
  <c r="O678" i="31"/>
  <c r="Q678" i="31"/>
  <c r="K679" i="31"/>
  <c r="M679" i="31"/>
  <c r="O679" i="31"/>
  <c r="Q679" i="31"/>
  <c r="K680" i="31"/>
  <c r="M680" i="31"/>
  <c r="O680" i="31"/>
  <c r="Q680" i="31"/>
  <c r="K681" i="31"/>
  <c r="M681" i="31"/>
  <c r="O681" i="31"/>
  <c r="Q681" i="31"/>
  <c r="K682" i="31"/>
  <c r="M682" i="31"/>
  <c r="O682" i="31"/>
  <c r="Q682" i="31"/>
  <c r="K683" i="31"/>
  <c r="M683" i="31"/>
  <c r="O683" i="31"/>
  <c r="Q683" i="31"/>
  <c r="K684" i="31"/>
  <c r="M684" i="31"/>
  <c r="O684" i="31"/>
  <c r="Q684" i="31"/>
  <c r="K685" i="31"/>
  <c r="M685" i="31"/>
  <c r="O685" i="31"/>
  <c r="Q685" i="31"/>
  <c r="K686" i="31"/>
  <c r="M686" i="31"/>
  <c r="O686" i="31"/>
  <c r="Q686" i="31"/>
  <c r="K687" i="31"/>
  <c r="M687" i="31"/>
  <c r="O687" i="31"/>
  <c r="Q687" i="31"/>
  <c r="K688" i="31"/>
  <c r="M688" i="31"/>
  <c r="O688" i="31"/>
  <c r="Q688" i="31"/>
  <c r="K689" i="31"/>
  <c r="M689" i="31"/>
  <c r="O689" i="31"/>
  <c r="Q689" i="31"/>
  <c r="K690" i="31"/>
  <c r="M690" i="31"/>
  <c r="O690" i="31"/>
  <c r="Q690" i="31"/>
  <c r="K691" i="31"/>
  <c r="M691" i="31"/>
  <c r="O691" i="31"/>
  <c r="Q691" i="31"/>
  <c r="K692" i="31"/>
  <c r="M692" i="31"/>
  <c r="O692" i="31"/>
  <c r="Q692" i="31"/>
  <c r="K693" i="31"/>
  <c r="M693" i="31"/>
  <c r="O693" i="31"/>
  <c r="Q693" i="31"/>
  <c r="K694" i="31"/>
  <c r="M694" i="31"/>
  <c r="O694" i="31"/>
  <c r="Q694" i="31"/>
  <c r="K695" i="31"/>
  <c r="M695" i="31"/>
  <c r="O695" i="31"/>
  <c r="Q695" i="31"/>
  <c r="K696" i="31"/>
  <c r="M696" i="31"/>
  <c r="O696" i="31"/>
  <c r="Q696" i="31"/>
  <c r="K697" i="31"/>
  <c r="M697" i="31"/>
  <c r="O697" i="31"/>
  <c r="Q697" i="31"/>
  <c r="K698" i="31"/>
  <c r="M698" i="31"/>
  <c r="O698" i="31"/>
  <c r="Q698" i="31"/>
  <c r="K699" i="31"/>
  <c r="M699" i="31"/>
  <c r="O699" i="31"/>
  <c r="Q699" i="31"/>
  <c r="K700" i="31"/>
  <c r="M700" i="31"/>
  <c r="O700" i="31"/>
  <c r="Q700" i="31"/>
  <c r="K701" i="31"/>
  <c r="M701" i="31"/>
  <c r="O701" i="31"/>
  <c r="Q701" i="31"/>
  <c r="K702" i="31"/>
  <c r="M702" i="31"/>
  <c r="O702" i="31"/>
  <c r="Q702" i="31"/>
  <c r="K703" i="31"/>
  <c r="M703" i="31"/>
  <c r="O703" i="31"/>
  <c r="Q703" i="31"/>
  <c r="K704" i="31"/>
  <c r="M704" i="31"/>
  <c r="O704" i="31"/>
  <c r="Q704" i="31"/>
  <c r="K705" i="31"/>
  <c r="M705" i="31"/>
  <c r="O705" i="31"/>
  <c r="Q705" i="31"/>
  <c r="K706" i="31"/>
  <c r="M706" i="31"/>
  <c r="O706" i="31"/>
  <c r="Q706" i="31"/>
  <c r="K707" i="31"/>
  <c r="M707" i="31"/>
  <c r="O707" i="31"/>
  <c r="Q707" i="31"/>
  <c r="K708" i="31"/>
  <c r="M708" i="31"/>
  <c r="O708" i="31"/>
  <c r="Q708" i="31"/>
  <c r="K709" i="31"/>
  <c r="M709" i="31"/>
  <c r="O709" i="31"/>
  <c r="Q709" i="31"/>
  <c r="K710" i="31"/>
  <c r="M710" i="31"/>
  <c r="O710" i="31"/>
  <c r="Q710" i="31"/>
  <c r="K711" i="31"/>
  <c r="M711" i="31"/>
  <c r="O711" i="31"/>
  <c r="Q711" i="31"/>
  <c r="K712" i="31"/>
  <c r="M712" i="31"/>
  <c r="O712" i="31"/>
  <c r="Q712" i="31"/>
  <c r="K713" i="31"/>
  <c r="M713" i="31"/>
  <c r="O713" i="31"/>
  <c r="Q713" i="31"/>
  <c r="K714" i="31"/>
  <c r="M714" i="31"/>
  <c r="O714" i="31"/>
  <c r="Q714" i="31"/>
  <c r="K715" i="31"/>
  <c r="M715" i="31"/>
  <c r="O715" i="31"/>
  <c r="Q715" i="31"/>
  <c r="K716" i="31"/>
  <c r="M716" i="31"/>
  <c r="O716" i="31"/>
  <c r="Q716" i="31"/>
  <c r="K717" i="31"/>
  <c r="M717" i="31"/>
  <c r="O717" i="31"/>
  <c r="Q717" i="31"/>
  <c r="K718" i="31"/>
  <c r="M718" i="31"/>
  <c r="O718" i="31"/>
  <c r="Q718" i="31"/>
  <c r="K719" i="31"/>
  <c r="M719" i="31"/>
  <c r="O719" i="31"/>
  <c r="Q719" i="31"/>
  <c r="K720" i="31"/>
  <c r="M720" i="31"/>
  <c r="O720" i="31"/>
  <c r="Q720" i="31"/>
  <c r="K721" i="31"/>
  <c r="M721" i="31"/>
  <c r="O721" i="31"/>
  <c r="Q721" i="31"/>
  <c r="K722" i="31"/>
  <c r="M722" i="31"/>
  <c r="O722" i="31"/>
  <c r="Q722" i="31"/>
  <c r="K723" i="31"/>
  <c r="M723" i="31"/>
  <c r="O723" i="31"/>
  <c r="Q723" i="31"/>
  <c r="K724" i="31"/>
  <c r="M724" i="31"/>
  <c r="O724" i="31"/>
  <c r="Q724" i="31"/>
  <c r="K725" i="31"/>
  <c r="M725" i="31"/>
  <c r="O725" i="31"/>
  <c r="Q725" i="31"/>
  <c r="K726" i="31"/>
  <c r="M726" i="31"/>
  <c r="O726" i="31"/>
  <c r="Q726" i="31"/>
  <c r="K727" i="31"/>
  <c r="M727" i="31"/>
  <c r="O727" i="31"/>
  <c r="Q727" i="31"/>
  <c r="K728" i="31"/>
  <c r="M728" i="31"/>
  <c r="O728" i="31"/>
  <c r="Q728" i="31"/>
  <c r="K729" i="31"/>
  <c r="M729" i="31"/>
  <c r="O729" i="31"/>
  <c r="Q729" i="31"/>
  <c r="K730" i="31"/>
  <c r="M730" i="31"/>
  <c r="O730" i="31"/>
  <c r="Q730" i="31"/>
  <c r="K731" i="31"/>
  <c r="M731" i="31"/>
  <c r="O731" i="31"/>
  <c r="Q731" i="31"/>
  <c r="K732" i="31"/>
  <c r="M732" i="31"/>
  <c r="O732" i="31"/>
  <c r="Q732" i="31"/>
  <c r="K733" i="31"/>
  <c r="M733" i="31"/>
  <c r="O733" i="31"/>
  <c r="Q733" i="31"/>
  <c r="K734" i="31"/>
  <c r="M734" i="31"/>
  <c r="O734" i="31"/>
  <c r="Q734" i="31"/>
  <c r="K735" i="31"/>
  <c r="M735" i="31"/>
  <c r="O735" i="31"/>
  <c r="Q735" i="31"/>
  <c r="K736" i="31"/>
  <c r="M736" i="31"/>
  <c r="O736" i="31"/>
  <c r="Q736" i="31"/>
  <c r="K737" i="31"/>
  <c r="M737" i="31"/>
  <c r="O737" i="31"/>
  <c r="Q737" i="31"/>
  <c r="G738" i="31"/>
  <c r="K738" i="31"/>
  <c r="M738" i="31"/>
  <c r="O738" i="31"/>
  <c r="Q738" i="31"/>
  <c r="G739" i="31"/>
  <c r="K739" i="31"/>
  <c r="M739" i="31"/>
  <c r="O739" i="31"/>
  <c r="Q739" i="31"/>
  <c r="G740" i="31"/>
  <c r="K740" i="31"/>
  <c r="M740" i="31"/>
  <c r="O740" i="31"/>
  <c r="Q740" i="31"/>
  <c r="G741" i="31"/>
  <c r="K741" i="31"/>
  <c r="M741" i="31"/>
  <c r="O741" i="31"/>
  <c r="Q741" i="31"/>
  <c r="G742" i="31"/>
  <c r="K742" i="31"/>
  <c r="M742" i="31"/>
  <c r="O742" i="31"/>
  <c r="Q742" i="31"/>
  <c r="G743" i="31"/>
  <c r="K743" i="31"/>
  <c r="M743" i="31"/>
  <c r="O743" i="31"/>
  <c r="Q743" i="31"/>
  <c r="G744" i="31"/>
  <c r="K744" i="31"/>
  <c r="M744" i="31"/>
  <c r="O744" i="31"/>
  <c r="Q744" i="31"/>
  <c r="G745" i="31"/>
  <c r="K745" i="31"/>
  <c r="M745" i="31"/>
  <c r="O745" i="31"/>
  <c r="Q745" i="31"/>
  <c r="G746" i="31"/>
  <c r="K746" i="31"/>
  <c r="M746" i="31"/>
  <c r="O746" i="31"/>
  <c r="Q746" i="31"/>
  <c r="G747" i="31"/>
  <c r="K747" i="31"/>
  <c r="M747" i="31"/>
  <c r="O747" i="31"/>
  <c r="Q747" i="31"/>
  <c r="G748" i="31"/>
  <c r="K748" i="31"/>
  <c r="M748" i="31"/>
  <c r="O748" i="31"/>
  <c r="Q748" i="31"/>
  <c r="G749" i="31"/>
  <c r="K749" i="31"/>
  <c r="M749" i="31"/>
  <c r="O749" i="31"/>
  <c r="Q749" i="31"/>
  <c r="G750" i="31"/>
  <c r="K750" i="31"/>
  <c r="M750" i="31"/>
  <c r="O750" i="31"/>
  <c r="Q750" i="31"/>
  <c r="G751" i="31"/>
  <c r="K751" i="31"/>
  <c r="M751" i="31"/>
  <c r="O751" i="31"/>
  <c r="Q751" i="31"/>
  <c r="G752" i="31"/>
  <c r="K752" i="31"/>
  <c r="M752" i="31"/>
  <c r="O752" i="31"/>
  <c r="Q752" i="31"/>
  <c r="G753" i="31"/>
  <c r="K753" i="31"/>
  <c r="M753" i="31"/>
  <c r="O753" i="31"/>
  <c r="Q753" i="31"/>
  <c r="G754" i="31"/>
  <c r="K754" i="31"/>
  <c r="M754" i="31"/>
  <c r="O754" i="31"/>
  <c r="Q754" i="31"/>
  <c r="G755" i="31"/>
  <c r="K755" i="31"/>
  <c r="M755" i="31"/>
  <c r="O755" i="31"/>
  <c r="Q755" i="31"/>
  <c r="G756" i="31"/>
  <c r="K756" i="31"/>
  <c r="M756" i="31"/>
  <c r="O756" i="31"/>
  <c r="Q756" i="31"/>
  <c r="G757" i="31"/>
  <c r="K757" i="31"/>
  <c r="M757" i="31"/>
  <c r="O757" i="31"/>
  <c r="Q757" i="31"/>
  <c r="G758" i="31"/>
  <c r="K758" i="31"/>
  <c r="M758" i="31"/>
  <c r="O758" i="31"/>
  <c r="Q758" i="31"/>
  <c r="G759" i="31"/>
  <c r="K759" i="31"/>
  <c r="M759" i="31"/>
  <c r="O759" i="31"/>
  <c r="Q759" i="31"/>
  <c r="G760" i="31"/>
  <c r="K760" i="31"/>
  <c r="M760" i="31"/>
  <c r="O760" i="31"/>
  <c r="Q760" i="31"/>
  <c r="G761" i="31"/>
  <c r="K761" i="31"/>
  <c r="M761" i="31"/>
  <c r="O761" i="31"/>
  <c r="Q761" i="31"/>
  <c r="G762" i="31"/>
  <c r="K762" i="31"/>
  <c r="M762" i="31"/>
  <c r="O762" i="31"/>
  <c r="Q762" i="31"/>
  <c r="G763" i="31"/>
  <c r="K763" i="31"/>
  <c r="M763" i="31"/>
  <c r="O763" i="31"/>
  <c r="Q763" i="31"/>
  <c r="G764" i="31"/>
  <c r="K764" i="31"/>
  <c r="M764" i="31"/>
  <c r="O764" i="31"/>
  <c r="Q764" i="31"/>
  <c r="G765" i="31"/>
  <c r="K765" i="31"/>
  <c r="M765" i="31"/>
  <c r="O765" i="31"/>
  <c r="Q765" i="31"/>
  <c r="G766" i="31"/>
  <c r="K766" i="31"/>
  <c r="M766" i="31"/>
  <c r="O766" i="31"/>
  <c r="Q766" i="31"/>
  <c r="G767" i="31"/>
  <c r="K767" i="31"/>
  <c r="M767" i="31"/>
  <c r="O767" i="31"/>
  <c r="Q767" i="31"/>
  <c r="G768" i="31"/>
  <c r="K768" i="31"/>
  <c r="M768" i="31"/>
  <c r="O768" i="31"/>
  <c r="Q768" i="31"/>
  <c r="G769" i="31"/>
  <c r="K769" i="31"/>
  <c r="M769" i="31"/>
  <c r="O769" i="31"/>
  <c r="Q769" i="31"/>
  <c r="G770" i="31"/>
  <c r="K770" i="31"/>
  <c r="M770" i="31"/>
  <c r="O770" i="31"/>
  <c r="Q770" i="31"/>
  <c r="G771" i="31"/>
  <c r="K771" i="31"/>
  <c r="M771" i="31"/>
  <c r="O771" i="31"/>
  <c r="Q771" i="31"/>
  <c r="G772" i="31"/>
  <c r="K772" i="31"/>
  <c r="M772" i="31"/>
  <c r="O772" i="31"/>
  <c r="Q772" i="31"/>
  <c r="G773" i="31"/>
  <c r="K773" i="31"/>
  <c r="M773" i="31"/>
  <c r="O773" i="31"/>
  <c r="Q773" i="31"/>
  <c r="G774" i="31"/>
  <c r="K774" i="31"/>
  <c r="M774" i="31"/>
  <c r="O774" i="31"/>
  <c r="Q774" i="31"/>
  <c r="G775" i="31"/>
  <c r="K775" i="31"/>
  <c r="M775" i="31"/>
  <c r="O775" i="31"/>
  <c r="Q775" i="31"/>
  <c r="G776" i="31"/>
  <c r="K776" i="31"/>
  <c r="M776" i="31"/>
  <c r="O776" i="31"/>
  <c r="Q776" i="31"/>
  <c r="G777" i="31"/>
  <c r="K777" i="31"/>
  <c r="M777" i="31"/>
  <c r="O777" i="31"/>
  <c r="Q777" i="31"/>
  <c r="G778" i="31"/>
  <c r="K778" i="31"/>
  <c r="M778" i="31"/>
  <c r="O778" i="31"/>
  <c r="Q778" i="31"/>
  <c r="G779" i="31"/>
  <c r="K779" i="31"/>
  <c r="M779" i="31"/>
  <c r="O779" i="31"/>
  <c r="Q779" i="31"/>
  <c r="G780" i="31"/>
  <c r="K780" i="31"/>
  <c r="M780" i="31"/>
  <c r="O780" i="31"/>
  <c r="Q780" i="31"/>
  <c r="G781" i="31"/>
  <c r="K781" i="31"/>
  <c r="M781" i="31"/>
  <c r="O781" i="31"/>
  <c r="Q781" i="31"/>
  <c r="G782" i="31"/>
  <c r="K782" i="31"/>
  <c r="M782" i="31"/>
  <c r="O782" i="31"/>
  <c r="Q782" i="31"/>
  <c r="G783" i="31"/>
  <c r="K783" i="31"/>
  <c r="M783" i="31"/>
  <c r="O783" i="31"/>
  <c r="Q783" i="31"/>
  <c r="G784" i="31"/>
  <c r="K784" i="31"/>
  <c r="M784" i="31"/>
  <c r="O784" i="31"/>
  <c r="Q784" i="31"/>
  <c r="G785" i="31"/>
  <c r="K785" i="31"/>
  <c r="M785" i="31"/>
  <c r="O785" i="31"/>
  <c r="Q785" i="31"/>
  <c r="G786" i="31"/>
  <c r="K786" i="31"/>
  <c r="M786" i="31"/>
  <c r="O786" i="31"/>
  <c r="Q786" i="31"/>
  <c r="G787" i="31"/>
  <c r="K787" i="31"/>
  <c r="M787" i="31"/>
  <c r="O787" i="31"/>
  <c r="Q787" i="31"/>
  <c r="G788" i="31"/>
  <c r="K788" i="31"/>
  <c r="M788" i="31"/>
  <c r="O788" i="31"/>
  <c r="Q788" i="31"/>
  <c r="G789" i="31"/>
  <c r="K789" i="31"/>
  <c r="M789" i="31"/>
  <c r="O789" i="31"/>
  <c r="Q789" i="31"/>
  <c r="G790" i="31"/>
  <c r="K790" i="31"/>
  <c r="M790" i="31"/>
  <c r="O790" i="31"/>
  <c r="Q790" i="31"/>
  <c r="G791" i="31"/>
  <c r="K791" i="31"/>
  <c r="M791" i="31"/>
  <c r="O791" i="31"/>
  <c r="Q791" i="31"/>
  <c r="G792" i="31"/>
  <c r="K792" i="31"/>
  <c r="M792" i="31"/>
  <c r="O792" i="31"/>
  <c r="Q792" i="31"/>
  <c r="G793" i="31"/>
  <c r="K793" i="31"/>
  <c r="M793" i="31"/>
  <c r="O793" i="31"/>
  <c r="Q793" i="31"/>
  <c r="G794" i="31"/>
  <c r="K794" i="31"/>
  <c r="M794" i="31"/>
  <c r="O794" i="31"/>
  <c r="Q794" i="31"/>
  <c r="G795" i="31"/>
  <c r="K795" i="31"/>
  <c r="M795" i="31"/>
  <c r="O795" i="31"/>
  <c r="Q795" i="31"/>
  <c r="G796" i="31"/>
  <c r="K796" i="31"/>
  <c r="M796" i="31"/>
  <c r="O796" i="31"/>
  <c r="Q796" i="31"/>
  <c r="G797" i="31"/>
  <c r="K797" i="31"/>
  <c r="M797" i="31"/>
  <c r="O797" i="31"/>
  <c r="Q797" i="31"/>
  <c r="G798" i="31"/>
  <c r="K798" i="31"/>
  <c r="M798" i="31"/>
  <c r="O798" i="31"/>
  <c r="Q798" i="31"/>
  <c r="G799" i="31"/>
  <c r="K799" i="31"/>
  <c r="M799" i="31"/>
  <c r="O799" i="31"/>
  <c r="Q799" i="31"/>
  <c r="G800" i="31"/>
  <c r="K800" i="31"/>
  <c r="M800" i="31"/>
  <c r="O800" i="31"/>
  <c r="Q800" i="31"/>
  <c r="G801" i="31"/>
  <c r="K801" i="31"/>
  <c r="M801" i="31"/>
  <c r="O801" i="31"/>
  <c r="Q801" i="31"/>
  <c r="G802" i="31"/>
  <c r="K802" i="31"/>
  <c r="M802" i="31"/>
  <c r="O802" i="31"/>
  <c r="Q802" i="31"/>
  <c r="G803" i="31"/>
  <c r="K803" i="31"/>
  <c r="M803" i="31"/>
  <c r="O803" i="31"/>
  <c r="Q803" i="31"/>
  <c r="G804" i="31"/>
  <c r="K804" i="31"/>
  <c r="M804" i="31"/>
  <c r="O804" i="31"/>
  <c r="Q804" i="31"/>
  <c r="G805" i="31"/>
  <c r="K805" i="31"/>
  <c r="M805" i="31"/>
  <c r="O805" i="31"/>
  <c r="Q805" i="31"/>
  <c r="G806" i="31"/>
  <c r="K806" i="31"/>
  <c r="M806" i="31"/>
  <c r="O806" i="31"/>
  <c r="Q806" i="31"/>
  <c r="G807" i="31"/>
  <c r="K807" i="31"/>
  <c r="M807" i="31"/>
  <c r="O807" i="31"/>
  <c r="Q807" i="31"/>
  <c r="G808" i="31"/>
  <c r="K808" i="31"/>
  <c r="M808" i="31"/>
  <c r="O808" i="31"/>
  <c r="Q808" i="31"/>
  <c r="G809" i="31"/>
  <c r="K809" i="31"/>
  <c r="M809" i="31"/>
  <c r="O809" i="31"/>
  <c r="Q809" i="31"/>
  <c r="G810" i="31"/>
  <c r="K810" i="31"/>
  <c r="M810" i="31"/>
  <c r="O810" i="31"/>
  <c r="Q810" i="31"/>
  <c r="G811" i="31"/>
  <c r="K811" i="31"/>
  <c r="M811" i="31"/>
  <c r="O811" i="31"/>
  <c r="Q811" i="31"/>
  <c r="G812" i="31"/>
  <c r="K812" i="31"/>
  <c r="M812" i="31"/>
  <c r="O812" i="31"/>
  <c r="Q812" i="31"/>
  <c r="G813" i="31"/>
  <c r="K813" i="31"/>
  <c r="M813" i="31"/>
  <c r="O813" i="31"/>
  <c r="Q813" i="31"/>
  <c r="G814" i="31"/>
  <c r="K814" i="31"/>
  <c r="M814" i="31"/>
  <c r="O814" i="31"/>
  <c r="Q814" i="31"/>
  <c r="G815" i="31"/>
  <c r="K815" i="31"/>
  <c r="M815" i="31"/>
  <c r="O815" i="31"/>
  <c r="Q815" i="31"/>
  <c r="G816" i="31"/>
  <c r="K816" i="31"/>
  <c r="M816" i="31"/>
  <c r="O816" i="31"/>
  <c r="Q816" i="31"/>
  <c r="G817" i="31"/>
  <c r="K817" i="31"/>
  <c r="M817" i="31"/>
  <c r="O817" i="31"/>
  <c r="Q817" i="31"/>
  <c r="G818" i="31"/>
  <c r="K818" i="31"/>
  <c r="M818" i="31"/>
  <c r="O818" i="31"/>
  <c r="Q818" i="31"/>
  <c r="G819" i="31"/>
  <c r="K819" i="31"/>
  <c r="M819" i="31"/>
  <c r="O819" i="31"/>
  <c r="Q819" i="31"/>
  <c r="G820" i="31"/>
  <c r="K820" i="31"/>
  <c r="M820" i="31"/>
  <c r="O820" i="31"/>
  <c r="Q820" i="31"/>
  <c r="G821" i="31"/>
  <c r="K821" i="31"/>
  <c r="M821" i="31"/>
  <c r="O821" i="31"/>
  <c r="Q821" i="31"/>
  <c r="G822" i="31"/>
  <c r="K822" i="31"/>
  <c r="M822" i="31"/>
  <c r="O822" i="31"/>
  <c r="Q822" i="31"/>
  <c r="G823" i="31"/>
  <c r="K823" i="31"/>
  <c r="M823" i="31"/>
  <c r="O823" i="31"/>
  <c r="Q823" i="31"/>
  <c r="G824" i="31"/>
  <c r="K824" i="31"/>
  <c r="M824" i="31"/>
  <c r="O824" i="31"/>
  <c r="Q824" i="31"/>
  <c r="G825" i="31"/>
  <c r="K825" i="31"/>
  <c r="M825" i="31"/>
  <c r="O825" i="31"/>
  <c r="Q825" i="31"/>
  <c r="G826" i="31"/>
  <c r="K826" i="31"/>
  <c r="M826" i="31"/>
  <c r="O826" i="31"/>
  <c r="Q826" i="31"/>
  <c r="G827" i="31"/>
  <c r="K827" i="31"/>
  <c r="M827" i="31"/>
  <c r="O827" i="31"/>
  <c r="Q827" i="31"/>
  <c r="G828" i="31"/>
  <c r="K828" i="31"/>
  <c r="M828" i="31"/>
  <c r="O828" i="31"/>
  <c r="Q828" i="31"/>
  <c r="G829" i="31"/>
  <c r="K829" i="31"/>
  <c r="M829" i="31"/>
  <c r="O829" i="31"/>
  <c r="Q829" i="31"/>
  <c r="G830" i="31"/>
  <c r="K830" i="31"/>
  <c r="M830" i="31"/>
  <c r="O830" i="31"/>
  <c r="Q830" i="31"/>
  <c r="G831" i="31"/>
  <c r="K831" i="31"/>
  <c r="M831" i="31"/>
  <c r="O831" i="31"/>
  <c r="Q831" i="31"/>
  <c r="G832" i="31"/>
  <c r="K832" i="31"/>
  <c r="M832" i="31"/>
  <c r="O832" i="31"/>
  <c r="Q832" i="31"/>
  <c r="G833" i="31"/>
  <c r="K833" i="31"/>
  <c r="M833" i="31"/>
  <c r="O833" i="31"/>
  <c r="Q833" i="31"/>
  <c r="G834" i="31"/>
  <c r="K834" i="31"/>
  <c r="M834" i="31"/>
  <c r="O834" i="31"/>
  <c r="Q834" i="31"/>
  <c r="G835" i="31"/>
  <c r="K835" i="31"/>
  <c r="M835" i="31"/>
  <c r="O835" i="31"/>
  <c r="Q835" i="31"/>
  <c r="G836" i="31"/>
  <c r="K836" i="31"/>
  <c r="M836" i="31"/>
  <c r="O836" i="31"/>
  <c r="Q836" i="31"/>
  <c r="G837" i="31"/>
  <c r="K837" i="31"/>
  <c r="M837" i="31"/>
  <c r="O837" i="31"/>
  <c r="Q837" i="31"/>
  <c r="G838" i="31"/>
  <c r="K838" i="31"/>
  <c r="M838" i="31"/>
  <c r="O838" i="31"/>
  <c r="Q838" i="31"/>
  <c r="G839" i="31"/>
  <c r="K839" i="31"/>
  <c r="M839" i="31"/>
  <c r="O839" i="31"/>
  <c r="Q839" i="31"/>
  <c r="G840" i="31"/>
  <c r="K840" i="31"/>
  <c r="M840" i="31"/>
  <c r="O840" i="31"/>
  <c r="Q840" i="31"/>
  <c r="G841" i="31"/>
  <c r="K841" i="31"/>
  <c r="M841" i="31"/>
  <c r="O841" i="31"/>
  <c r="Q841" i="31"/>
  <c r="G842" i="31"/>
  <c r="K842" i="31"/>
  <c r="M842" i="31"/>
  <c r="O842" i="31"/>
  <c r="Q842" i="31"/>
  <c r="G843" i="31"/>
  <c r="K843" i="31"/>
  <c r="M843" i="31"/>
  <c r="O843" i="31"/>
  <c r="Q843" i="31"/>
  <c r="G844" i="31"/>
  <c r="K844" i="31"/>
  <c r="M844" i="31"/>
  <c r="O844" i="31"/>
  <c r="Q844" i="31"/>
  <c r="G845" i="31"/>
  <c r="K845" i="31"/>
  <c r="M845" i="31"/>
  <c r="O845" i="31"/>
  <c r="Q845" i="31"/>
  <c r="G846" i="31"/>
  <c r="K846" i="31"/>
  <c r="M846" i="31"/>
  <c r="O846" i="31"/>
  <c r="Q846" i="31"/>
  <c r="G847" i="31"/>
  <c r="K847" i="31"/>
  <c r="M847" i="31"/>
  <c r="O847" i="31"/>
  <c r="Q847" i="31"/>
  <c r="G848" i="31"/>
  <c r="K848" i="31"/>
  <c r="M848" i="31"/>
  <c r="O848" i="31"/>
  <c r="Q848" i="31"/>
  <c r="G849" i="31"/>
  <c r="K849" i="31"/>
  <c r="M849" i="31"/>
  <c r="O849" i="31"/>
  <c r="Q849" i="31"/>
  <c r="G850" i="31"/>
  <c r="K850" i="31"/>
  <c r="M850" i="31"/>
  <c r="O850" i="31"/>
  <c r="Q850" i="31"/>
  <c r="G851" i="31"/>
  <c r="K851" i="31"/>
  <c r="M851" i="31"/>
  <c r="O851" i="31"/>
  <c r="Q851" i="31"/>
  <c r="G852" i="31"/>
  <c r="K852" i="31"/>
  <c r="M852" i="31"/>
  <c r="O852" i="31"/>
  <c r="Q852" i="31"/>
  <c r="G853" i="31"/>
  <c r="K853" i="31"/>
  <c r="M853" i="31"/>
  <c r="O853" i="31"/>
  <c r="Q853" i="31"/>
  <c r="G854" i="31"/>
  <c r="K854" i="31"/>
  <c r="M854" i="31"/>
  <c r="O854" i="31"/>
  <c r="Q854" i="31"/>
  <c r="G855" i="31"/>
  <c r="K855" i="31"/>
  <c r="M855" i="31"/>
  <c r="O855" i="31"/>
  <c r="Q855" i="31"/>
  <c r="G856" i="31"/>
  <c r="K856" i="31"/>
  <c r="M856" i="31"/>
  <c r="O856" i="31"/>
  <c r="Q856" i="31"/>
  <c r="G857" i="31"/>
  <c r="K857" i="31"/>
  <c r="M857" i="31"/>
  <c r="O857" i="31"/>
  <c r="Q857" i="31"/>
  <c r="G858" i="31"/>
  <c r="K858" i="31"/>
  <c r="M858" i="31"/>
  <c r="O858" i="31"/>
  <c r="Q858" i="31"/>
  <c r="G859" i="31"/>
  <c r="K859" i="31"/>
  <c r="M859" i="31"/>
  <c r="O859" i="31"/>
  <c r="Q859" i="31"/>
  <c r="G860" i="31"/>
  <c r="K860" i="31"/>
  <c r="M860" i="31"/>
  <c r="O860" i="31"/>
  <c r="Q860" i="31"/>
  <c r="G861" i="31"/>
  <c r="K861" i="31"/>
  <c r="M861" i="31"/>
  <c r="O861" i="31"/>
  <c r="Q861" i="31"/>
  <c r="G862" i="31"/>
  <c r="K862" i="31"/>
  <c r="M862" i="31"/>
  <c r="O862" i="31"/>
  <c r="Q862" i="31"/>
  <c r="G863" i="31"/>
  <c r="K863" i="31"/>
  <c r="M863" i="31"/>
  <c r="O863" i="31"/>
  <c r="Q863" i="31"/>
  <c r="G864" i="31"/>
  <c r="K864" i="31"/>
  <c r="M864" i="31"/>
  <c r="O864" i="31"/>
  <c r="Q864" i="31"/>
  <c r="G865" i="31"/>
  <c r="K865" i="31"/>
  <c r="M865" i="31"/>
  <c r="O865" i="31"/>
  <c r="Q865" i="31"/>
  <c r="G866" i="31"/>
  <c r="K866" i="31"/>
  <c r="M866" i="31"/>
  <c r="O866" i="31"/>
  <c r="Q866" i="31"/>
  <c r="G867" i="31"/>
  <c r="K867" i="31"/>
  <c r="M867" i="31"/>
  <c r="O867" i="31"/>
  <c r="Q867" i="31"/>
  <c r="G868" i="31"/>
  <c r="K868" i="31"/>
  <c r="M868" i="31"/>
  <c r="O868" i="31"/>
  <c r="Q868" i="31"/>
  <c r="G869" i="31"/>
  <c r="K869" i="31"/>
  <c r="M869" i="31"/>
  <c r="O869" i="31"/>
  <c r="Q869" i="31"/>
  <c r="G870" i="31"/>
  <c r="K870" i="31"/>
  <c r="M870" i="31"/>
  <c r="O870" i="31"/>
  <c r="Q870" i="31"/>
  <c r="G871" i="31"/>
  <c r="K871" i="31"/>
  <c r="M871" i="31"/>
  <c r="O871" i="31"/>
  <c r="Q871" i="31"/>
  <c r="G872" i="31"/>
  <c r="K872" i="31"/>
  <c r="M872" i="31"/>
  <c r="O872" i="31"/>
  <c r="Q872" i="31"/>
  <c r="G873" i="31"/>
  <c r="K873" i="31"/>
  <c r="M873" i="31"/>
  <c r="O873" i="31"/>
  <c r="Q873" i="31"/>
  <c r="G874" i="31"/>
  <c r="K874" i="31"/>
  <c r="M874" i="31"/>
  <c r="O874" i="31"/>
  <c r="Q874" i="31"/>
  <c r="G875" i="31"/>
  <c r="K875" i="31"/>
  <c r="M875" i="31"/>
  <c r="O875" i="31"/>
  <c r="Q875" i="31"/>
  <c r="G876" i="31"/>
  <c r="K876" i="31"/>
  <c r="M876" i="31"/>
  <c r="O876" i="31"/>
  <c r="Q876" i="31"/>
  <c r="G877" i="31"/>
  <c r="K877" i="31"/>
  <c r="M877" i="31"/>
  <c r="O877" i="31"/>
  <c r="Q877" i="31"/>
  <c r="G878" i="31"/>
  <c r="K878" i="31"/>
  <c r="M878" i="31"/>
  <c r="O878" i="31"/>
  <c r="Q878" i="31"/>
  <c r="G879" i="31"/>
  <c r="K879" i="31"/>
  <c r="M879" i="31"/>
  <c r="O879" i="31"/>
  <c r="Q879" i="31"/>
  <c r="G880" i="31"/>
  <c r="K880" i="31"/>
  <c r="M880" i="31"/>
  <c r="O880" i="31"/>
  <c r="Q880" i="31"/>
  <c r="G881" i="31"/>
  <c r="K881" i="31"/>
  <c r="M881" i="31"/>
  <c r="O881" i="31"/>
  <c r="Q881" i="31"/>
  <c r="G882" i="31"/>
  <c r="K882" i="31"/>
  <c r="M882" i="31"/>
  <c r="O882" i="31"/>
  <c r="Q882" i="31"/>
  <c r="G883" i="31"/>
  <c r="K883" i="31"/>
  <c r="M883" i="31"/>
  <c r="O883" i="31"/>
  <c r="Q883" i="31"/>
  <c r="G884" i="31"/>
  <c r="K884" i="31"/>
  <c r="M884" i="31"/>
  <c r="O884" i="31"/>
  <c r="Q884" i="31"/>
  <c r="G885" i="31"/>
  <c r="K885" i="31"/>
  <c r="M885" i="31"/>
  <c r="O885" i="31"/>
  <c r="Q885" i="31"/>
  <c r="G886" i="31"/>
  <c r="K886" i="31"/>
  <c r="M886" i="31"/>
  <c r="O886" i="31"/>
  <c r="Q886" i="31"/>
  <c r="G887" i="31"/>
  <c r="K887" i="31"/>
  <c r="M887" i="31"/>
  <c r="O887" i="31"/>
  <c r="Q887" i="31"/>
  <c r="G888" i="31"/>
  <c r="K888" i="31"/>
  <c r="M888" i="31"/>
  <c r="O888" i="31"/>
  <c r="Q888" i="31"/>
  <c r="G889" i="31"/>
  <c r="K889" i="31"/>
  <c r="M889" i="31"/>
  <c r="O889" i="31"/>
  <c r="Q889" i="31"/>
  <c r="G890" i="31"/>
  <c r="K890" i="31"/>
  <c r="M890" i="31"/>
  <c r="O890" i="31"/>
  <c r="Q890" i="31"/>
  <c r="G891" i="31"/>
  <c r="K891" i="31"/>
  <c r="M891" i="31"/>
  <c r="O891" i="31"/>
  <c r="Q891" i="31"/>
  <c r="G892" i="31"/>
  <c r="K892" i="31"/>
  <c r="M892" i="31"/>
  <c r="O892" i="31"/>
  <c r="Q892" i="31"/>
  <c r="G893" i="31"/>
  <c r="K893" i="31"/>
  <c r="M893" i="31"/>
  <c r="O893" i="31"/>
  <c r="Q893" i="31"/>
  <c r="G894" i="31"/>
  <c r="K894" i="31"/>
  <c r="M894" i="31"/>
  <c r="O894" i="31"/>
  <c r="Q894" i="31"/>
  <c r="G895" i="31"/>
  <c r="K895" i="31"/>
  <c r="M895" i="31"/>
  <c r="O895" i="31"/>
  <c r="Q895" i="31"/>
  <c r="G896" i="31"/>
  <c r="K896" i="31"/>
  <c r="M896" i="31"/>
  <c r="O896" i="31"/>
  <c r="Q896" i="31"/>
  <c r="G897" i="31"/>
  <c r="K897" i="31"/>
  <c r="M897" i="31"/>
  <c r="O897" i="31"/>
  <c r="Q897" i="31"/>
  <c r="G898" i="31"/>
  <c r="K898" i="31"/>
  <c r="M898" i="31"/>
  <c r="O898" i="31"/>
  <c r="Q898" i="31"/>
  <c r="G899" i="31"/>
  <c r="K899" i="31"/>
  <c r="M899" i="31"/>
  <c r="O899" i="31"/>
  <c r="Q899" i="31"/>
  <c r="G900" i="31"/>
  <c r="K900" i="31"/>
  <c r="M900" i="31"/>
  <c r="O900" i="31"/>
  <c r="Q900" i="31"/>
  <c r="G901" i="31"/>
  <c r="K901" i="31"/>
  <c r="M901" i="31"/>
  <c r="O901" i="31"/>
  <c r="Q901" i="31"/>
  <c r="G902" i="31"/>
  <c r="K902" i="31"/>
  <c r="M902" i="31"/>
  <c r="O902" i="31"/>
  <c r="Q902" i="31"/>
  <c r="G903" i="31"/>
  <c r="K903" i="31"/>
  <c r="M903" i="31"/>
  <c r="O903" i="31"/>
  <c r="Q903" i="31"/>
  <c r="G904" i="31"/>
  <c r="K904" i="31"/>
  <c r="M904" i="31"/>
  <c r="O904" i="31"/>
  <c r="Q904" i="31"/>
  <c r="G905" i="31"/>
  <c r="K905" i="31"/>
  <c r="M905" i="31"/>
  <c r="O905" i="31"/>
  <c r="Q905" i="31"/>
  <c r="G906" i="31"/>
  <c r="K906" i="31"/>
  <c r="M906" i="31"/>
  <c r="O906" i="31"/>
  <c r="Q906" i="31"/>
  <c r="G907" i="31"/>
  <c r="K907" i="31"/>
  <c r="M907" i="31"/>
  <c r="O907" i="31"/>
  <c r="Q907" i="31"/>
  <c r="G908" i="31"/>
  <c r="K908" i="31"/>
  <c r="M908" i="31"/>
  <c r="O908" i="31"/>
  <c r="Q908" i="31"/>
  <c r="G909" i="31"/>
  <c r="K909" i="31"/>
  <c r="M909" i="31"/>
  <c r="O909" i="31"/>
  <c r="Q909" i="31"/>
  <c r="G910" i="31"/>
  <c r="K910" i="31"/>
  <c r="M910" i="31"/>
  <c r="O910" i="31"/>
  <c r="Q910" i="31"/>
  <c r="G911" i="31"/>
  <c r="K911" i="31"/>
  <c r="M911" i="31"/>
  <c r="O911" i="31"/>
  <c r="Q911" i="31"/>
  <c r="G912" i="31"/>
  <c r="K912" i="31"/>
  <c r="M912" i="31"/>
  <c r="O912" i="31"/>
  <c r="Q912" i="31"/>
  <c r="G913" i="31"/>
  <c r="K913" i="31"/>
  <c r="M913" i="31"/>
  <c r="O913" i="31"/>
  <c r="Q913" i="31"/>
  <c r="G914" i="31"/>
  <c r="K914" i="31"/>
  <c r="M914" i="31"/>
  <c r="O914" i="31"/>
  <c r="Q914" i="31"/>
  <c r="G915" i="31"/>
  <c r="K915" i="31"/>
  <c r="M915" i="31"/>
  <c r="O915" i="31"/>
  <c r="Q915" i="31"/>
  <c r="G916" i="31"/>
  <c r="K916" i="31"/>
  <c r="M916" i="31"/>
  <c r="O916" i="31"/>
  <c r="Q916" i="31"/>
  <c r="G917" i="31"/>
  <c r="K917" i="31"/>
  <c r="M917" i="31"/>
  <c r="O917" i="31"/>
  <c r="Q917" i="31"/>
  <c r="G918" i="31"/>
  <c r="K918" i="31"/>
  <c r="M918" i="31"/>
  <c r="O918" i="31"/>
  <c r="Q918" i="31"/>
  <c r="G919" i="31"/>
  <c r="K919" i="31"/>
  <c r="M919" i="31"/>
  <c r="O919" i="31"/>
  <c r="Q919" i="31"/>
  <c r="G920" i="31"/>
  <c r="K920" i="31"/>
  <c r="M920" i="31"/>
  <c r="O920" i="31"/>
  <c r="Q920" i="31"/>
  <c r="G921" i="31"/>
  <c r="K921" i="31"/>
  <c r="M921" i="31"/>
  <c r="O921" i="31"/>
  <c r="Q921" i="31"/>
  <c r="G922" i="31"/>
  <c r="K922" i="31"/>
  <c r="M922" i="31"/>
  <c r="O922" i="31"/>
  <c r="Q922" i="31"/>
  <c r="G923" i="31"/>
  <c r="K923" i="31"/>
  <c r="M923" i="31"/>
  <c r="O923" i="31"/>
  <c r="Q923" i="31"/>
  <c r="G924" i="31"/>
  <c r="K924" i="31"/>
  <c r="M924" i="31"/>
  <c r="O924" i="31"/>
  <c r="Q924" i="31"/>
  <c r="G925" i="31"/>
  <c r="K925" i="31"/>
  <c r="M925" i="31"/>
  <c r="O925" i="31"/>
  <c r="Q925" i="31"/>
  <c r="G926" i="31"/>
  <c r="K926" i="31"/>
  <c r="M926" i="31"/>
  <c r="O926" i="31"/>
  <c r="Q926" i="31"/>
  <c r="G927" i="31"/>
  <c r="K927" i="31"/>
  <c r="M927" i="31"/>
  <c r="O927" i="31"/>
  <c r="Q927" i="31"/>
  <c r="G928" i="31"/>
  <c r="K928" i="31"/>
  <c r="M928" i="31"/>
  <c r="O928" i="31"/>
  <c r="Q928" i="31"/>
  <c r="G929" i="31"/>
  <c r="K929" i="31"/>
  <c r="M929" i="31"/>
  <c r="O929" i="31"/>
  <c r="Q929" i="31"/>
  <c r="G930" i="31"/>
  <c r="K930" i="31"/>
  <c r="M930" i="31"/>
  <c r="O930" i="31"/>
  <c r="Q930" i="31"/>
  <c r="G931" i="31"/>
  <c r="K931" i="31"/>
  <c r="M931" i="31"/>
  <c r="O931" i="31"/>
  <c r="Q931" i="31"/>
  <c r="G932" i="31"/>
  <c r="K932" i="31"/>
  <c r="M932" i="31"/>
  <c r="O932" i="31"/>
  <c r="Q932" i="31"/>
  <c r="G933" i="31"/>
  <c r="K933" i="31"/>
  <c r="M933" i="31"/>
  <c r="O933" i="31"/>
  <c r="Q933" i="31"/>
  <c r="G934" i="31"/>
  <c r="K934" i="31"/>
  <c r="M934" i="31"/>
  <c r="O934" i="31"/>
  <c r="Q934" i="31"/>
  <c r="G935" i="31"/>
  <c r="K935" i="31"/>
  <c r="M935" i="31"/>
  <c r="O935" i="31"/>
  <c r="Q935" i="31"/>
  <c r="G936" i="31"/>
  <c r="K936" i="31"/>
  <c r="M936" i="31"/>
  <c r="O936" i="31"/>
  <c r="Q936" i="31"/>
  <c r="G937" i="31"/>
  <c r="K937" i="31"/>
  <c r="M937" i="31"/>
  <c r="O937" i="31"/>
  <c r="Q937" i="31"/>
  <c r="G938" i="31"/>
  <c r="K938" i="31"/>
  <c r="M938" i="31"/>
  <c r="O938" i="31"/>
  <c r="Q938" i="31"/>
  <c r="G939" i="31"/>
  <c r="K939" i="31"/>
  <c r="M939" i="31"/>
  <c r="O939" i="31"/>
  <c r="Q939" i="31"/>
  <c r="G940" i="31"/>
  <c r="K940" i="31"/>
  <c r="M940" i="31"/>
  <c r="O940" i="31"/>
  <c r="Q940" i="31"/>
  <c r="G941" i="31"/>
  <c r="K941" i="31"/>
  <c r="M941" i="31"/>
  <c r="O941" i="31"/>
  <c r="Q941" i="31"/>
  <c r="G942" i="31"/>
  <c r="K942" i="31"/>
  <c r="M942" i="31"/>
  <c r="O942" i="31"/>
  <c r="Q942" i="31"/>
  <c r="G943" i="31"/>
  <c r="K943" i="31"/>
  <c r="M943" i="31"/>
  <c r="O943" i="31"/>
  <c r="Q943" i="31"/>
  <c r="G944" i="31"/>
  <c r="K944" i="31"/>
  <c r="M944" i="31"/>
  <c r="O944" i="31"/>
  <c r="Q944" i="31"/>
  <c r="G945" i="31"/>
  <c r="K945" i="31"/>
  <c r="M945" i="31"/>
  <c r="O945" i="31"/>
  <c r="Q945" i="31"/>
  <c r="G946" i="31"/>
  <c r="K946" i="31"/>
  <c r="M946" i="31"/>
  <c r="O946" i="31"/>
  <c r="Q946" i="31"/>
  <c r="G947" i="31"/>
  <c r="K947" i="31"/>
  <c r="M947" i="31"/>
  <c r="O947" i="31"/>
  <c r="Q947" i="31"/>
  <c r="G948" i="31"/>
  <c r="K948" i="31"/>
  <c r="M948" i="31"/>
  <c r="O948" i="31"/>
  <c r="Q948" i="31"/>
  <c r="G949" i="31"/>
  <c r="K949" i="31"/>
  <c r="M949" i="31"/>
  <c r="O949" i="31"/>
  <c r="Q949" i="31"/>
  <c r="G950" i="31"/>
  <c r="K950" i="31"/>
  <c r="M950" i="31"/>
  <c r="O950" i="31"/>
  <c r="Q950" i="31"/>
  <c r="G951" i="31"/>
  <c r="K951" i="31"/>
  <c r="M951" i="31"/>
  <c r="O951" i="31"/>
  <c r="Q951" i="31"/>
  <c r="G952" i="31"/>
  <c r="K952" i="31"/>
  <c r="M952" i="31"/>
  <c r="O952" i="31"/>
  <c r="Q952" i="31"/>
  <c r="G953" i="31"/>
  <c r="K953" i="31"/>
  <c r="M953" i="31"/>
  <c r="O953" i="31"/>
  <c r="Q953" i="31"/>
  <c r="G954" i="31"/>
  <c r="K954" i="31"/>
  <c r="M954" i="31"/>
  <c r="O954" i="31"/>
  <c r="Q954" i="31"/>
  <c r="G955" i="31"/>
  <c r="K955" i="31"/>
  <c r="M955" i="31"/>
  <c r="O955" i="31"/>
  <c r="Q955" i="31"/>
  <c r="G956" i="31"/>
  <c r="K956" i="31"/>
  <c r="M956" i="31"/>
  <c r="O956" i="31"/>
  <c r="Q956" i="31"/>
  <c r="G957" i="31"/>
  <c r="K957" i="31"/>
  <c r="M957" i="31"/>
  <c r="O957" i="31"/>
  <c r="Q957" i="31"/>
  <c r="G958" i="31"/>
  <c r="K958" i="31"/>
  <c r="M958" i="31"/>
  <c r="O958" i="31"/>
  <c r="Q958" i="31"/>
  <c r="G959" i="31"/>
  <c r="K959" i="31"/>
  <c r="M959" i="31"/>
  <c r="O959" i="31"/>
  <c r="Q959" i="31"/>
  <c r="G960" i="31"/>
  <c r="K960" i="31"/>
  <c r="M960" i="31"/>
  <c r="O960" i="31"/>
  <c r="Q960" i="31"/>
  <c r="G961" i="31"/>
  <c r="K961" i="31"/>
  <c r="M961" i="31"/>
  <c r="O961" i="31"/>
  <c r="Q961" i="31"/>
  <c r="G962" i="31"/>
  <c r="K962" i="31"/>
  <c r="M962" i="31"/>
  <c r="O962" i="31"/>
  <c r="Q962" i="31"/>
  <c r="G963" i="31"/>
  <c r="K963" i="31"/>
  <c r="M963" i="31"/>
  <c r="O963" i="31"/>
  <c r="Q963" i="31"/>
  <c r="G964" i="31"/>
  <c r="K964" i="31"/>
  <c r="M964" i="31"/>
  <c r="O964" i="31"/>
  <c r="Q964" i="31"/>
  <c r="G965" i="31"/>
  <c r="K965" i="31"/>
  <c r="M965" i="31"/>
  <c r="O965" i="31"/>
  <c r="Q965" i="31"/>
  <c r="G966" i="31"/>
  <c r="K966" i="31"/>
  <c r="M966" i="31"/>
  <c r="O966" i="31"/>
  <c r="Q966" i="31"/>
  <c r="G967" i="31"/>
  <c r="K967" i="31"/>
  <c r="M967" i="31"/>
  <c r="O967" i="31"/>
  <c r="Q967" i="31"/>
  <c r="G968" i="31"/>
  <c r="K968" i="31"/>
  <c r="M968" i="31"/>
  <c r="O968" i="31"/>
  <c r="Q968" i="31"/>
  <c r="G969" i="31"/>
  <c r="K969" i="31"/>
  <c r="M969" i="31"/>
  <c r="O969" i="31"/>
  <c r="Q969" i="31"/>
  <c r="G970" i="31"/>
  <c r="K970" i="31"/>
  <c r="M970" i="31"/>
  <c r="O970" i="31"/>
  <c r="Q970" i="31"/>
  <c r="G971" i="31"/>
  <c r="K971" i="31"/>
  <c r="M971" i="31"/>
  <c r="O971" i="31"/>
  <c r="Q971" i="31"/>
  <c r="G972" i="31"/>
  <c r="K972" i="31"/>
  <c r="M972" i="31"/>
  <c r="O972" i="31"/>
  <c r="Q972" i="31"/>
  <c r="G973" i="31"/>
  <c r="K973" i="31"/>
  <c r="M973" i="31"/>
  <c r="O973" i="31"/>
  <c r="Q973" i="31"/>
  <c r="G974" i="31"/>
  <c r="K974" i="31"/>
  <c r="M974" i="31"/>
  <c r="O974" i="31"/>
  <c r="Q974" i="31"/>
  <c r="G975" i="31"/>
  <c r="K975" i="31"/>
  <c r="M975" i="31"/>
  <c r="O975" i="31"/>
  <c r="Q975" i="31"/>
  <c r="G976" i="31"/>
  <c r="K976" i="31"/>
  <c r="M976" i="31"/>
  <c r="O976" i="31"/>
  <c r="Q976" i="31"/>
  <c r="G977" i="31"/>
  <c r="K977" i="31"/>
  <c r="M977" i="31"/>
  <c r="O977" i="31"/>
  <c r="Q977" i="31"/>
  <c r="G978" i="31"/>
  <c r="K978" i="31"/>
  <c r="M978" i="31"/>
  <c r="O978" i="31"/>
  <c r="Q978" i="31"/>
  <c r="G979" i="31"/>
  <c r="K979" i="31"/>
  <c r="M979" i="31"/>
  <c r="O979" i="31"/>
  <c r="Q979" i="31"/>
  <c r="G980" i="31"/>
  <c r="K980" i="31"/>
  <c r="M980" i="31"/>
  <c r="O980" i="31"/>
  <c r="Q980" i="31"/>
  <c r="G981" i="31"/>
  <c r="K981" i="31"/>
  <c r="M981" i="31"/>
  <c r="O981" i="31"/>
  <c r="Q981" i="31"/>
  <c r="G982" i="31"/>
  <c r="K982" i="31"/>
  <c r="M982" i="31"/>
  <c r="O982" i="31"/>
  <c r="Q982" i="31"/>
  <c r="G983" i="31"/>
  <c r="K983" i="31"/>
  <c r="M983" i="31"/>
  <c r="O983" i="31"/>
  <c r="Q983" i="31"/>
  <c r="G984" i="31"/>
  <c r="K984" i="31"/>
  <c r="M984" i="31"/>
  <c r="O984" i="31"/>
  <c r="Q984" i="31"/>
  <c r="G985" i="31"/>
  <c r="K985" i="31"/>
  <c r="M985" i="31"/>
  <c r="O985" i="31"/>
  <c r="Q985" i="31"/>
  <c r="G986" i="31"/>
  <c r="K986" i="31"/>
  <c r="M986" i="31"/>
  <c r="O986" i="31"/>
  <c r="Q986" i="31"/>
  <c r="G987" i="31"/>
  <c r="K987" i="31"/>
  <c r="M987" i="31"/>
  <c r="O987" i="31"/>
  <c r="Q987" i="31"/>
  <c r="G988" i="31"/>
  <c r="K988" i="31"/>
  <c r="M988" i="31"/>
  <c r="O988" i="31"/>
  <c r="Q988" i="31"/>
  <c r="G989" i="31"/>
  <c r="K989" i="31"/>
  <c r="M989" i="31"/>
  <c r="O989" i="31"/>
  <c r="Q989" i="31"/>
  <c r="G990" i="31"/>
  <c r="K990" i="31"/>
  <c r="M990" i="31"/>
  <c r="O990" i="31"/>
  <c r="Q990" i="31"/>
  <c r="G991" i="31"/>
  <c r="K991" i="31"/>
  <c r="M991" i="31"/>
  <c r="O991" i="31"/>
  <c r="Q991" i="31"/>
  <c r="G992" i="31"/>
  <c r="K992" i="31"/>
  <c r="M992" i="31"/>
  <c r="O992" i="31"/>
  <c r="Q992" i="31"/>
  <c r="G993" i="31"/>
  <c r="K993" i="31"/>
  <c r="M993" i="31"/>
  <c r="O993" i="31"/>
  <c r="Q993" i="31"/>
  <c r="G994" i="31"/>
  <c r="K994" i="31"/>
  <c r="M994" i="31"/>
  <c r="O994" i="31"/>
  <c r="Q994" i="31"/>
  <c r="C995" i="31"/>
  <c r="G995" i="31"/>
  <c r="K995" i="31"/>
  <c r="M995" i="31"/>
  <c r="O995" i="31"/>
  <c r="Q995" i="31"/>
  <c r="R995" i="31"/>
  <c r="S995" i="31" s="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869" i="31"/>
  <c r="T870" i="31"/>
  <c r="T871" i="31"/>
  <c r="T872" i="31"/>
  <c r="T873" i="31"/>
  <c r="T874" i="31"/>
  <c r="T875" i="31"/>
  <c r="T876" i="31"/>
  <c r="T877" i="31"/>
  <c r="T878" i="31"/>
  <c r="T879" i="31"/>
  <c r="T880" i="31"/>
  <c r="T881" i="31"/>
  <c r="T882" i="31"/>
  <c r="T883" i="31"/>
  <c r="T884" i="31"/>
  <c r="T885" i="31"/>
  <c r="T886" i="31"/>
  <c r="T887" i="31"/>
  <c r="T888" i="31"/>
  <c r="T889" i="31"/>
  <c r="T890" i="31"/>
  <c r="T891" i="31"/>
  <c r="T892" i="31"/>
  <c r="T893" i="31"/>
  <c r="T894" i="31"/>
  <c r="T895" i="31"/>
  <c r="T896" i="31"/>
  <c r="T897" i="31"/>
  <c r="T898" i="31"/>
  <c r="T899" i="31"/>
  <c r="T900" i="31"/>
  <c r="T901" i="31"/>
  <c r="T902" i="31"/>
  <c r="T903" i="31"/>
  <c r="T904" i="31"/>
  <c r="T905" i="31"/>
  <c r="T906" i="31"/>
  <c r="T907" i="31"/>
  <c r="T908" i="31"/>
  <c r="T909" i="31"/>
  <c r="T910" i="31"/>
  <c r="T911" i="31"/>
  <c r="T912" i="31"/>
  <c r="T913" i="31"/>
  <c r="T914" i="31"/>
  <c r="T915" i="31"/>
  <c r="T916" i="31"/>
  <c r="T917" i="31"/>
  <c r="T918" i="31"/>
  <c r="T919" i="31"/>
  <c r="T920" i="31"/>
  <c r="T921" i="31"/>
  <c r="T922" i="31"/>
  <c r="T923" i="31"/>
  <c r="T924" i="31"/>
  <c r="T925" i="31"/>
  <c r="T926" i="31"/>
  <c r="T927" i="31"/>
  <c r="T928" i="31"/>
  <c r="T929" i="31"/>
  <c r="T930" i="31"/>
  <c r="T931" i="31"/>
  <c r="T932" i="31"/>
  <c r="T933" i="31"/>
  <c r="T934" i="31"/>
  <c r="T935" i="31"/>
  <c r="T936" i="31"/>
  <c r="T937" i="31"/>
  <c r="T938" i="31"/>
  <c r="T939" i="31"/>
  <c r="T940" i="31"/>
  <c r="T941" i="31"/>
  <c r="T942" i="31"/>
  <c r="T943" i="31"/>
  <c r="T944" i="31"/>
  <c r="T945" i="31"/>
  <c r="T946" i="31"/>
  <c r="T947" i="31"/>
  <c r="T948" i="31"/>
  <c r="T949" i="31"/>
  <c r="T950" i="31"/>
  <c r="T951" i="31"/>
  <c r="T952" i="31"/>
  <c r="T953" i="31"/>
  <c r="T954" i="31"/>
  <c r="T955" i="31"/>
  <c r="T956" i="31"/>
  <c r="T957" i="31"/>
  <c r="T958" i="31"/>
  <c r="T959" i="31"/>
  <c r="T960" i="31"/>
  <c r="T961" i="31"/>
  <c r="T962" i="31"/>
  <c r="T963" i="31"/>
  <c r="T964" i="31"/>
  <c r="T965" i="31"/>
  <c r="T966" i="31"/>
  <c r="T967" i="31"/>
  <c r="T968" i="31"/>
  <c r="T969" i="31"/>
  <c r="T970" i="31"/>
  <c r="T971" i="31"/>
  <c r="T972" i="31"/>
  <c r="T973" i="31"/>
  <c r="T974" i="31"/>
  <c r="T975" i="31"/>
  <c r="T976" i="31"/>
  <c r="T977" i="31"/>
  <c r="T978" i="31"/>
  <c r="T979" i="31"/>
  <c r="T980" i="31"/>
  <c r="T981" i="31"/>
  <c r="T982" i="31"/>
  <c r="T983" i="31"/>
  <c r="T984" i="31"/>
  <c r="T985" i="31"/>
  <c r="T986" i="31"/>
  <c r="T987" i="31"/>
  <c r="T988" i="31"/>
  <c r="T989" i="31"/>
  <c r="T990" i="31"/>
  <c r="T991" i="31"/>
  <c r="T992" i="31"/>
  <c r="T993" i="31"/>
  <c r="T994" i="31"/>
  <c r="T995" i="31"/>
  <c r="T996" i="31"/>
  <c r="F5" i="31"/>
  <c r="E5" i="31"/>
  <c r="D5" i="31"/>
  <c r="C5" i="31"/>
  <c r="B5" i="31"/>
  <c r="D3" i="31"/>
  <c r="E3" i="31"/>
  <c r="F3" i="31"/>
  <c r="G3" i="31"/>
  <c r="H3" i="31"/>
  <c r="I3" i="31"/>
  <c r="J3" i="31"/>
  <c r="K3" i="31"/>
  <c r="D4" i="31"/>
  <c r="E4" i="31"/>
  <c r="F4" i="31"/>
  <c r="G4" i="31"/>
  <c r="H4" i="31"/>
  <c r="I4" i="31"/>
  <c r="J4" i="31"/>
  <c r="K4" i="31"/>
  <c r="C4" i="31"/>
  <c r="C3" i="31"/>
  <c r="A878" i="31"/>
  <c r="B878" i="31"/>
  <c r="A879" i="31"/>
  <c r="B879" i="31"/>
  <c r="A880" i="31"/>
  <c r="B880" i="31"/>
  <c r="A881" i="31"/>
  <c r="B881" i="31"/>
  <c r="A882" i="31"/>
  <c r="B882" i="31"/>
  <c r="A883" i="31"/>
  <c r="B883" i="31"/>
  <c r="A884" i="31"/>
  <c r="B884" i="31"/>
  <c r="A885" i="31"/>
  <c r="B885" i="31"/>
  <c r="A886" i="31"/>
  <c r="B886" i="31"/>
  <c r="A887" i="31"/>
  <c r="B887" i="31"/>
  <c r="A888" i="31"/>
  <c r="B888" i="31"/>
  <c r="A889" i="31"/>
  <c r="B889" i="31"/>
  <c r="A890" i="31"/>
  <c r="B890" i="31"/>
  <c r="A891" i="31"/>
  <c r="B891" i="31"/>
  <c r="A892" i="31"/>
  <c r="B892" i="31"/>
  <c r="A893" i="31"/>
  <c r="B893" i="31"/>
  <c r="A894" i="31"/>
  <c r="B894" i="31"/>
  <c r="A895" i="31"/>
  <c r="B895" i="31"/>
  <c r="A896" i="31"/>
  <c r="B896" i="31"/>
  <c r="A897" i="31"/>
  <c r="B897" i="31"/>
  <c r="A898" i="31"/>
  <c r="B898" i="31"/>
  <c r="A899" i="31"/>
  <c r="B899" i="31"/>
  <c r="A900" i="31"/>
  <c r="B900" i="31"/>
  <c r="A901" i="31"/>
  <c r="B901" i="31"/>
  <c r="A902" i="31"/>
  <c r="B902" i="31"/>
  <c r="A903" i="31"/>
  <c r="B903" i="31"/>
  <c r="A904" i="31"/>
  <c r="B904" i="31"/>
  <c r="A905" i="31"/>
  <c r="B905" i="31"/>
  <c r="A906" i="31"/>
  <c r="B906" i="31"/>
  <c r="A907" i="31"/>
  <c r="B907" i="31"/>
  <c r="A908" i="31"/>
  <c r="B908" i="31"/>
  <c r="A909" i="31"/>
  <c r="B909" i="31"/>
  <c r="A910" i="31"/>
  <c r="B910" i="31"/>
  <c r="A911" i="31"/>
  <c r="B911" i="31"/>
  <c r="A912" i="31"/>
  <c r="B912" i="31"/>
  <c r="A913" i="31"/>
  <c r="B913" i="31"/>
  <c r="A914" i="31"/>
  <c r="B914" i="31"/>
  <c r="A915" i="31"/>
  <c r="B915" i="31"/>
  <c r="A916" i="31"/>
  <c r="B916" i="31"/>
  <c r="A917" i="31"/>
  <c r="B917" i="31"/>
  <c r="A918" i="31"/>
  <c r="B918" i="31"/>
  <c r="A919" i="31"/>
  <c r="B919" i="31"/>
  <c r="A920" i="31"/>
  <c r="B920" i="31"/>
  <c r="A921" i="31"/>
  <c r="B921" i="31"/>
  <c r="A922" i="31"/>
  <c r="B922" i="31"/>
  <c r="A923" i="31"/>
  <c r="B923" i="31"/>
  <c r="A924" i="31"/>
  <c r="B924" i="31"/>
  <c r="A925" i="31"/>
  <c r="B925" i="31"/>
  <c r="A926" i="31"/>
  <c r="B926" i="31"/>
  <c r="A927" i="31"/>
  <c r="B927" i="31"/>
  <c r="A928" i="31"/>
  <c r="B928" i="31"/>
  <c r="A929" i="31"/>
  <c r="B929" i="31"/>
  <c r="A930" i="31"/>
  <c r="B930" i="31"/>
  <c r="A931" i="31"/>
  <c r="B931" i="31"/>
  <c r="A932" i="31"/>
  <c r="B932" i="31"/>
  <c r="A933" i="31"/>
  <c r="B933" i="31"/>
  <c r="A934" i="31"/>
  <c r="B934" i="31"/>
  <c r="A935" i="31"/>
  <c r="B935" i="31"/>
  <c r="A936" i="31"/>
  <c r="B936" i="31"/>
  <c r="A937" i="31"/>
  <c r="B937" i="31"/>
  <c r="A938" i="31"/>
  <c r="B938" i="31"/>
  <c r="A939" i="31"/>
  <c r="B939" i="31"/>
  <c r="A940" i="31"/>
  <c r="B940" i="31"/>
  <c r="A941" i="31"/>
  <c r="B941" i="31"/>
  <c r="A942" i="31"/>
  <c r="B942" i="31"/>
  <c r="A943" i="31"/>
  <c r="B943" i="31"/>
  <c r="A944" i="31"/>
  <c r="B944" i="31"/>
  <c r="A945" i="31"/>
  <c r="B945" i="31"/>
  <c r="A946" i="31"/>
  <c r="B946" i="31"/>
  <c r="A947" i="31"/>
  <c r="B947" i="31"/>
  <c r="A948" i="31"/>
  <c r="B948" i="31"/>
  <c r="A949" i="31"/>
  <c r="B949" i="31"/>
  <c r="A950" i="31"/>
  <c r="B950" i="31"/>
  <c r="A951" i="31"/>
  <c r="B951" i="31"/>
  <c r="A952" i="31"/>
  <c r="B952" i="31"/>
  <c r="A953" i="31"/>
  <c r="B953" i="31"/>
  <c r="A954" i="31"/>
  <c r="B954" i="31"/>
  <c r="A955" i="31"/>
  <c r="B955" i="31"/>
  <c r="A956" i="31"/>
  <c r="B956" i="31"/>
  <c r="A957" i="31"/>
  <c r="B957" i="31"/>
  <c r="A958" i="31"/>
  <c r="B958" i="31"/>
  <c r="A959" i="31"/>
  <c r="B959" i="31"/>
  <c r="A960" i="31"/>
  <c r="B960" i="31"/>
  <c r="A961" i="31"/>
  <c r="B961" i="31"/>
  <c r="A962" i="31"/>
  <c r="B962" i="31"/>
  <c r="A963" i="31"/>
  <c r="B963" i="31"/>
  <c r="A964" i="31"/>
  <c r="B964" i="31"/>
  <c r="A965" i="31"/>
  <c r="B965" i="31"/>
  <c r="A966" i="31"/>
  <c r="B966" i="31"/>
  <c r="A967" i="31"/>
  <c r="B967" i="31"/>
  <c r="A968" i="31"/>
  <c r="B968" i="31"/>
  <c r="A969" i="31"/>
  <c r="B969" i="31"/>
  <c r="A970" i="31"/>
  <c r="B970" i="31"/>
  <c r="A971" i="31"/>
  <c r="B971" i="31"/>
  <c r="A972" i="31"/>
  <c r="B972" i="31"/>
  <c r="A973" i="31"/>
  <c r="B973" i="31"/>
  <c r="A974" i="31"/>
  <c r="B974" i="31"/>
  <c r="A975" i="31"/>
  <c r="B975" i="31"/>
  <c r="A976" i="31"/>
  <c r="B976" i="31"/>
  <c r="A977" i="31"/>
  <c r="B977" i="31"/>
  <c r="A978" i="31"/>
  <c r="B978" i="31"/>
  <c r="A979" i="31"/>
  <c r="B979" i="31"/>
  <c r="A980" i="31"/>
  <c r="B980" i="31"/>
  <c r="A981" i="31"/>
  <c r="B981" i="31"/>
  <c r="A982" i="31"/>
  <c r="B982" i="31"/>
  <c r="A983" i="31"/>
  <c r="B983" i="31"/>
  <c r="A984" i="31"/>
  <c r="B984" i="31"/>
  <c r="A985" i="31"/>
  <c r="B985" i="31"/>
  <c r="A986" i="31"/>
  <c r="B986" i="31"/>
  <c r="A987" i="31"/>
  <c r="B987" i="31"/>
  <c r="A988" i="31"/>
  <c r="B988" i="31"/>
  <c r="A989" i="31"/>
  <c r="B989" i="31"/>
  <c r="A990" i="31"/>
  <c r="B990" i="31"/>
  <c r="A991" i="31"/>
  <c r="B991" i="31"/>
  <c r="A992" i="31"/>
  <c r="B992" i="31"/>
  <c r="A993" i="31"/>
  <c r="B993" i="31"/>
  <c r="A994" i="31"/>
  <c r="B994" i="31"/>
  <c r="A995" i="31"/>
  <c r="A996" i="31"/>
  <c r="B996" i="31"/>
  <c r="A997" i="31"/>
  <c r="B997" i="31"/>
  <c r="A998" i="31"/>
  <c r="B998" i="31"/>
  <c r="A999" i="31"/>
  <c r="B999" i="31"/>
  <c r="A1000" i="31"/>
  <c r="B1000" i="31"/>
  <c r="A1001" i="31"/>
  <c r="B1001" i="31"/>
  <c r="A1002" i="31"/>
  <c r="B1002" i="31"/>
  <c r="A1003" i="31"/>
  <c r="B1003" i="31"/>
  <c r="A1004" i="31"/>
  <c r="B1004" i="31"/>
  <c r="A1005" i="31"/>
  <c r="B1005" i="31"/>
  <c r="A1006" i="31"/>
  <c r="B1006" i="31"/>
  <c r="A1007" i="31"/>
  <c r="B1007"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A869" i="31"/>
  <c r="B869" i="31"/>
  <c r="A870" i="31"/>
  <c r="B870" i="31"/>
  <c r="A871" i="31"/>
  <c r="B871" i="31"/>
  <c r="A872" i="31"/>
  <c r="B872" i="31"/>
  <c r="A873" i="31"/>
  <c r="B873" i="31"/>
  <c r="A874" i="31"/>
  <c r="B874" i="31"/>
  <c r="A875" i="31"/>
  <c r="B875" i="31"/>
  <c r="A876" i="31"/>
  <c r="B876" i="31"/>
  <c r="A877" i="31"/>
  <c r="B877"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T25" i="31"/>
  <c r="T26" i="31"/>
  <c r="T24" i="31"/>
  <c r="B25" i="31"/>
  <c r="A25" i="31"/>
  <c r="B24" i="31"/>
  <c r="A24" i="31"/>
  <c r="D13" i="81"/>
  <c r="D9" i="81"/>
  <c r="D4" i="81"/>
  <c r="D5" i="81"/>
  <c r="D6" i="81"/>
  <c r="D7" i="81"/>
  <c r="D8" i="81"/>
  <c r="D3" i="81"/>
  <c r="G37" i="34"/>
  <c r="C37" i="34"/>
  <c r="E37" i="34"/>
  <c r="I37" i="34"/>
  <c r="C34" i="34"/>
  <c r="D35" i="83"/>
  <c r="D34" i="83"/>
  <c r="C993" i="31" l="1"/>
  <c r="C725" i="31"/>
  <c r="C723" i="31"/>
  <c r="C721" i="31"/>
  <c r="C719" i="31"/>
  <c r="C717" i="31"/>
  <c r="C715" i="31"/>
  <c r="C713" i="31"/>
  <c r="C711" i="31"/>
  <c r="C709" i="31"/>
  <c r="C707" i="31"/>
  <c r="C705" i="31"/>
  <c r="C703" i="31"/>
  <c r="C701" i="31"/>
  <c r="C699" i="31"/>
  <c r="C697" i="31"/>
  <c r="C695" i="31"/>
  <c r="C693"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994" i="31"/>
  <c r="C992" i="31"/>
  <c r="C726" i="31"/>
  <c r="C724" i="31"/>
  <c r="C722" i="31"/>
  <c r="C720" i="31"/>
  <c r="C718" i="31"/>
  <c r="C716" i="31"/>
  <c r="C714" i="31"/>
  <c r="C712" i="31"/>
  <c r="C710" i="31"/>
  <c r="C708" i="31"/>
  <c r="C706" i="31"/>
  <c r="C704" i="31"/>
  <c r="C702" i="31"/>
  <c r="C700" i="31"/>
  <c r="C698" i="31"/>
  <c r="C696" i="31"/>
  <c r="C694" i="31"/>
  <c r="C692" i="31"/>
  <c r="C690" i="31"/>
  <c r="C688" i="31"/>
  <c r="C686" i="31"/>
  <c r="C684" i="31"/>
  <c r="C682" i="31"/>
  <c r="C680" i="31"/>
  <c r="C678" i="31"/>
  <c r="C676" i="31"/>
  <c r="C674" i="31"/>
  <c r="C990" i="31"/>
  <c r="C988" i="31"/>
  <c r="C986" i="31"/>
  <c r="C984" i="31"/>
  <c r="C982" i="31"/>
  <c r="C980" i="31"/>
  <c r="C978" i="31"/>
  <c r="C976" i="31"/>
  <c r="C974" i="31"/>
  <c r="C972" i="31"/>
  <c r="C970" i="31"/>
  <c r="C968" i="31"/>
  <c r="C966" i="31"/>
  <c r="C964" i="31"/>
  <c r="C962" i="31"/>
  <c r="C960" i="31"/>
  <c r="C958" i="31"/>
  <c r="C956" i="31"/>
  <c r="C954" i="31"/>
  <c r="C952" i="31"/>
  <c r="C950" i="31"/>
  <c r="C948" i="31"/>
  <c r="C946" i="31"/>
  <c r="C944" i="31"/>
  <c r="C942" i="31"/>
  <c r="C940" i="31"/>
  <c r="C938" i="31"/>
  <c r="C936" i="31"/>
  <c r="C934" i="31"/>
  <c r="C932" i="31"/>
  <c r="C930" i="31"/>
  <c r="C928" i="31"/>
  <c r="C926" i="31"/>
  <c r="C924" i="31"/>
  <c r="C922" i="31"/>
  <c r="C920" i="31"/>
  <c r="C918" i="31"/>
  <c r="C916" i="31"/>
  <c r="C914" i="31"/>
  <c r="C912" i="31"/>
  <c r="C910" i="31"/>
  <c r="C908" i="31"/>
  <c r="C906" i="31"/>
  <c r="C904" i="31"/>
  <c r="C902" i="31"/>
  <c r="C900" i="31"/>
  <c r="C898" i="31"/>
  <c r="C896" i="31"/>
  <c r="C894" i="31"/>
  <c r="C892" i="31"/>
  <c r="C890" i="31"/>
  <c r="C888" i="31"/>
  <c r="C886" i="31"/>
  <c r="C884" i="31"/>
  <c r="C882" i="31"/>
  <c r="C880" i="31"/>
  <c r="C878" i="31"/>
  <c r="C672" i="31"/>
  <c r="C670" i="31"/>
  <c r="C668" i="31"/>
  <c r="C666" i="31"/>
  <c r="C664" i="31"/>
  <c r="C662" i="31"/>
  <c r="C660" i="31"/>
  <c r="C658" i="31"/>
  <c r="C656" i="31"/>
  <c r="C654" i="31"/>
  <c r="C652" i="31"/>
  <c r="C650" i="31"/>
  <c r="C648" i="31"/>
  <c r="C646" i="31"/>
  <c r="C644" i="31"/>
  <c r="C642" i="31"/>
  <c r="C640" i="31"/>
  <c r="C638" i="31"/>
  <c r="C636" i="31"/>
  <c r="C634" i="31"/>
  <c r="C632" i="31"/>
  <c r="C630" i="31"/>
  <c r="C628" i="31"/>
  <c r="C626" i="31"/>
  <c r="C624" i="31"/>
  <c r="C622" i="31"/>
  <c r="C620" i="31"/>
  <c r="C618" i="31"/>
  <c r="C616" i="31"/>
  <c r="C614" i="31"/>
  <c r="C612" i="31"/>
  <c r="C610" i="31"/>
  <c r="C608" i="31"/>
  <c r="C606" i="31"/>
  <c r="C604" i="31"/>
  <c r="C602" i="31"/>
  <c r="C600" i="31"/>
  <c r="C598" i="31"/>
  <c r="C596" i="31"/>
  <c r="C594" i="31"/>
  <c r="C592" i="31"/>
  <c r="C590" i="31"/>
  <c r="C588" i="31"/>
  <c r="C586" i="31"/>
  <c r="C584" i="31"/>
  <c r="C582" i="31"/>
  <c r="C580" i="31"/>
  <c r="C578" i="31"/>
  <c r="C576" i="31"/>
  <c r="C574" i="31"/>
  <c r="C572" i="31"/>
  <c r="C570" i="31"/>
  <c r="C568" i="31"/>
  <c r="C566" i="31"/>
  <c r="C564" i="31"/>
  <c r="C562" i="31"/>
  <c r="C560" i="31"/>
  <c r="C558" i="31"/>
  <c r="C556" i="31"/>
  <c r="C554" i="31"/>
  <c r="C552" i="31"/>
  <c r="C550" i="31"/>
  <c r="C548" i="31"/>
  <c r="C546" i="31"/>
  <c r="C544" i="31"/>
  <c r="C542" i="31"/>
  <c r="C540" i="31"/>
  <c r="C538" i="31"/>
  <c r="C536" i="31"/>
  <c r="C534" i="31"/>
  <c r="C532" i="31"/>
  <c r="C530" i="31"/>
  <c r="C528" i="31"/>
  <c r="C526" i="31"/>
  <c r="C877" i="31"/>
  <c r="C875" i="31"/>
  <c r="C873" i="31"/>
  <c r="C871" i="31"/>
  <c r="C869" i="31"/>
  <c r="C867" i="31"/>
  <c r="C865" i="31"/>
  <c r="C863" i="31"/>
  <c r="C861" i="31"/>
  <c r="C859" i="31"/>
  <c r="C857" i="31"/>
  <c r="C855" i="31"/>
  <c r="C853" i="31"/>
  <c r="C851" i="31"/>
  <c r="C849" i="31"/>
  <c r="C847" i="31"/>
  <c r="C845" i="31"/>
  <c r="C843" i="31"/>
  <c r="C841" i="31"/>
  <c r="C839" i="31"/>
  <c r="C837" i="31"/>
  <c r="C835" i="31"/>
  <c r="C833" i="31"/>
  <c r="C831" i="31"/>
  <c r="C829" i="31"/>
  <c r="C827" i="31"/>
  <c r="C825" i="31"/>
  <c r="C823" i="31"/>
  <c r="C821"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767" i="31"/>
  <c r="C765" i="31"/>
  <c r="C763" i="31"/>
  <c r="C761" i="31"/>
  <c r="C759" i="31"/>
  <c r="C757" i="31"/>
  <c r="C755" i="31"/>
  <c r="C753" i="31"/>
  <c r="C751" i="31"/>
  <c r="C749" i="31"/>
  <c r="C747" i="31"/>
  <c r="C745" i="31"/>
  <c r="C743" i="31"/>
  <c r="C741" i="31"/>
  <c r="C739" i="31"/>
  <c r="C737" i="31"/>
  <c r="C735" i="31"/>
  <c r="C733" i="31"/>
  <c r="C731" i="31"/>
  <c r="C729" i="31"/>
  <c r="C727" i="31"/>
  <c r="C991" i="31"/>
  <c r="C989" i="31"/>
  <c r="C987" i="31"/>
  <c r="C985" i="31"/>
  <c r="C983" i="31"/>
  <c r="C981" i="31"/>
  <c r="C979" i="31"/>
  <c r="C977" i="31"/>
  <c r="C975" i="31"/>
  <c r="C973" i="31"/>
  <c r="C971" i="31"/>
  <c r="C969" i="31"/>
  <c r="C967" i="31"/>
  <c r="C965" i="31"/>
  <c r="C963" i="31"/>
  <c r="C961" i="31"/>
  <c r="C959" i="31"/>
  <c r="C957" i="31"/>
  <c r="C955" i="31"/>
  <c r="C953" i="31"/>
  <c r="C951" i="31"/>
  <c r="C949" i="31"/>
  <c r="C947" i="31"/>
  <c r="C945" i="31"/>
  <c r="C943" i="31"/>
  <c r="C941" i="31"/>
  <c r="C939" i="31"/>
  <c r="C937" i="31"/>
  <c r="C935" i="31"/>
  <c r="C933" i="31"/>
  <c r="C931" i="31"/>
  <c r="C929" i="31"/>
  <c r="C927" i="31"/>
  <c r="C925" i="3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641" i="31"/>
  <c r="C639" i="31"/>
  <c r="C637" i="31"/>
  <c r="C635" i="31"/>
  <c r="C633" i="31"/>
  <c r="C631" i="31"/>
  <c r="C629" i="31"/>
  <c r="C627" i="31"/>
  <c r="C625" i="31"/>
  <c r="C623" i="31"/>
  <c r="C621" i="31"/>
  <c r="C619" i="31"/>
  <c r="C617" i="31"/>
  <c r="C615" i="31"/>
  <c r="C613" i="31"/>
  <c r="C611" i="31"/>
  <c r="C609" i="31"/>
  <c r="C607" i="31"/>
  <c r="C605" i="31"/>
  <c r="C603" i="31"/>
  <c r="C601" i="31"/>
  <c r="C599" i="31"/>
  <c r="C597" i="31"/>
  <c r="C595" i="31"/>
  <c r="C593" i="31"/>
  <c r="C591" i="31"/>
  <c r="C589" i="31"/>
  <c r="C587" i="31"/>
  <c r="C585" i="31"/>
  <c r="C583" i="31"/>
  <c r="C581" i="31"/>
  <c r="C579" i="31"/>
  <c r="C577" i="31"/>
  <c r="C575" i="31"/>
  <c r="C573" i="31"/>
  <c r="C571" i="31"/>
  <c r="C569" i="31"/>
  <c r="C567" i="31"/>
  <c r="C565" i="31"/>
  <c r="C563" i="31"/>
  <c r="C561" i="31"/>
  <c r="C559" i="31"/>
  <c r="C557" i="31"/>
  <c r="C555" i="31"/>
  <c r="C553" i="31"/>
  <c r="C551" i="31"/>
  <c r="C549" i="31"/>
  <c r="C547" i="31"/>
  <c r="C545" i="31"/>
  <c r="C543" i="31"/>
  <c r="C541" i="31"/>
  <c r="C539" i="31"/>
  <c r="C537" i="31"/>
  <c r="C535" i="31"/>
  <c r="C533" i="31"/>
  <c r="C531" i="31"/>
  <c r="C529" i="31"/>
  <c r="C527" i="31"/>
  <c r="C525" i="31"/>
  <c r="C876" i="31"/>
  <c r="C874" i="31"/>
  <c r="C872" i="31"/>
  <c r="C870" i="31"/>
  <c r="C868" i="31"/>
  <c r="C866" i="31"/>
  <c r="C864" i="31"/>
  <c r="C862" i="31"/>
  <c r="C860" i="31"/>
  <c r="C858" i="31"/>
  <c r="C856" i="31"/>
  <c r="C854" i="31"/>
  <c r="C852" i="31"/>
  <c r="C850" i="31"/>
  <c r="C848" i="31"/>
  <c r="C846" i="31"/>
  <c r="C844" i="31"/>
  <c r="C842" i="31"/>
  <c r="C840" i="31"/>
  <c r="C838" i="31"/>
  <c r="C836" i="31"/>
  <c r="C834" i="31"/>
  <c r="C832" i="31"/>
  <c r="C830" i="31"/>
  <c r="C828" i="31"/>
  <c r="C826" i="31"/>
  <c r="C824" i="31"/>
  <c r="C822" i="31"/>
  <c r="C820"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768" i="31"/>
  <c r="C766" i="31"/>
  <c r="C764" i="31"/>
  <c r="C762" i="31"/>
  <c r="C760" i="31"/>
  <c r="C758" i="31"/>
  <c r="C756" i="31"/>
  <c r="C754" i="31"/>
  <c r="C752" i="31"/>
  <c r="C750" i="31"/>
  <c r="C748" i="31"/>
  <c r="C746" i="31"/>
  <c r="C744" i="31"/>
  <c r="C742" i="31"/>
  <c r="C740" i="31"/>
  <c r="C738" i="31"/>
  <c r="C736" i="31"/>
  <c r="C734" i="31"/>
  <c r="C732" i="31"/>
  <c r="C730" i="31"/>
  <c r="C728" i="31"/>
  <c r="D23" i="82"/>
  <c r="I56" i="84"/>
  <c r="I52" i="84"/>
  <c r="I44" i="84"/>
  <c r="I40" i="84"/>
  <c r="I36" i="84"/>
  <c r="E10" i="84"/>
  <c r="I480" i="84" s="1"/>
  <c r="I59" i="84"/>
  <c r="I55" i="84"/>
  <c r="I51" i="84"/>
  <c r="I47" i="84"/>
  <c r="I43" i="84"/>
  <c r="I39" i="84"/>
  <c r="C92" i="83"/>
  <c r="C94" i="83"/>
  <c r="D124" i="83"/>
  <c r="D125" i="83" s="1"/>
  <c r="H110" i="83"/>
  <c r="M49" i="83"/>
  <c r="D121" i="83"/>
  <c r="K120" i="83"/>
  <c r="H111" i="83"/>
  <c r="D126" i="83" s="1"/>
  <c r="D127" i="83" s="1"/>
  <c r="P61" i="82"/>
  <c r="I41" i="84" l="1"/>
  <c r="I57" i="84"/>
  <c r="I46" i="84"/>
  <c r="I469" i="84"/>
  <c r="I477" i="84"/>
  <c r="I483" i="84"/>
  <c r="I482" i="84"/>
  <c r="I472" i="84"/>
  <c r="I45" i="84"/>
  <c r="I61" i="84"/>
  <c r="I50" i="84"/>
  <c r="I470" i="84"/>
  <c r="I478" i="84"/>
  <c r="I473" i="84"/>
  <c r="I471" i="84"/>
  <c r="I476" i="84"/>
  <c r="I60" i="84"/>
  <c r="I49" i="84"/>
  <c r="I38" i="84"/>
  <c r="I54" i="84"/>
  <c r="I485" i="84"/>
  <c r="I467" i="84"/>
  <c r="I474" i="84"/>
  <c r="I479" i="84"/>
  <c r="I994" i="84"/>
  <c r="I990" i="84"/>
  <c r="I986" i="84"/>
  <c r="I982" i="84"/>
  <c r="I978" i="84"/>
  <c r="I974" i="84"/>
  <c r="I970" i="84"/>
  <c r="I966" i="84"/>
  <c r="I962" i="84"/>
  <c r="I958" i="84"/>
  <c r="I954" i="84"/>
  <c r="I950" i="84"/>
  <c r="I946" i="84"/>
  <c r="I942" i="84"/>
  <c r="I938" i="84"/>
  <c r="I934" i="84"/>
  <c r="I930" i="84"/>
  <c r="I993" i="84"/>
  <c r="I989" i="84"/>
  <c r="I985" i="84"/>
  <c r="I981" i="84"/>
  <c r="I977" i="84"/>
  <c r="I973" i="84"/>
  <c r="I969" i="84"/>
  <c r="I965" i="84"/>
  <c r="I961" i="84"/>
  <c r="I957" i="84"/>
  <c r="I953" i="84"/>
  <c r="I949" i="84"/>
  <c r="I945" i="84"/>
  <c r="I992" i="84"/>
  <c r="I988" i="84"/>
  <c r="I984" i="84"/>
  <c r="I980" i="84"/>
  <c r="I976" i="84"/>
  <c r="I972" i="84"/>
  <c r="I968" i="84"/>
  <c r="I964" i="84"/>
  <c r="I960" i="84"/>
  <c r="I956" i="84"/>
  <c r="I952" i="84"/>
  <c r="I948" i="84"/>
  <c r="I944" i="84"/>
  <c r="I940" i="84"/>
  <c r="I987" i="84"/>
  <c r="I971" i="84"/>
  <c r="I955" i="84"/>
  <c r="I939" i="84"/>
  <c r="I937" i="84"/>
  <c r="I925" i="84"/>
  <c r="I921" i="84"/>
  <c r="I917" i="84"/>
  <c r="I913" i="84"/>
  <c r="I909" i="84"/>
  <c r="I905" i="84"/>
  <c r="I901" i="84"/>
  <c r="I897" i="84"/>
  <c r="I983" i="84"/>
  <c r="I967" i="84"/>
  <c r="I951" i="84"/>
  <c r="I928" i="84"/>
  <c r="I924" i="84"/>
  <c r="I920" i="84"/>
  <c r="I916" i="84"/>
  <c r="I912" i="84"/>
  <c r="I908" i="84"/>
  <c r="I904" i="84"/>
  <c r="I900" i="84"/>
  <c r="I896" i="84"/>
  <c r="I892" i="84"/>
  <c r="I979" i="84"/>
  <c r="I963" i="84"/>
  <c r="I947" i="84"/>
  <c r="I932" i="84"/>
  <c r="I931" i="84"/>
  <c r="I929" i="84"/>
  <c r="I927" i="84"/>
  <c r="I923" i="84"/>
  <c r="I919" i="84"/>
  <c r="I991" i="84"/>
  <c r="I975" i="84"/>
  <c r="I959" i="84"/>
  <c r="I943" i="84"/>
  <c r="I941" i="84"/>
  <c r="I936" i="84"/>
  <c r="I935" i="84"/>
  <c r="I933" i="84"/>
  <c r="I926" i="84"/>
  <c r="I922" i="84"/>
  <c r="I918" i="84"/>
  <c r="I914" i="84"/>
  <c r="I910" i="84"/>
  <c r="I906" i="84"/>
  <c r="I907" i="84"/>
  <c r="I903" i="84"/>
  <c r="I898" i="84"/>
  <c r="I890" i="84"/>
  <c r="I889" i="84"/>
  <c r="I885" i="84"/>
  <c r="I881" i="84"/>
  <c r="I877" i="84"/>
  <c r="I873" i="84"/>
  <c r="I869" i="84"/>
  <c r="I865" i="84"/>
  <c r="I861" i="84"/>
  <c r="I857" i="84"/>
  <c r="I853" i="84"/>
  <c r="I849" i="84"/>
  <c r="I894" i="84"/>
  <c r="I893" i="84"/>
  <c r="I891" i="84"/>
  <c r="I888" i="84"/>
  <c r="I884" i="84"/>
  <c r="I880" i="84"/>
  <c r="I876" i="84"/>
  <c r="I872" i="84"/>
  <c r="I868" i="84"/>
  <c r="I864" i="84"/>
  <c r="I860" i="84"/>
  <c r="I856" i="84"/>
  <c r="I852" i="84"/>
  <c r="I848" i="84"/>
  <c r="I844" i="84"/>
  <c r="I840" i="84"/>
  <c r="I836" i="84"/>
  <c r="I915" i="84"/>
  <c r="I902" i="84"/>
  <c r="I899" i="84"/>
  <c r="I895" i="84"/>
  <c r="I887" i="84"/>
  <c r="I883" i="84"/>
  <c r="I879" i="84"/>
  <c r="I875" i="84"/>
  <c r="I871" i="84"/>
  <c r="I867" i="84"/>
  <c r="I863" i="84"/>
  <c r="I859" i="84"/>
  <c r="I855" i="84"/>
  <c r="I851" i="84"/>
  <c r="I847" i="84"/>
  <c r="I843" i="84"/>
  <c r="I839" i="84"/>
  <c r="I835" i="84"/>
  <c r="I911" i="84"/>
  <c r="I886" i="84"/>
  <c r="I882" i="84"/>
  <c r="I878" i="84"/>
  <c r="I874" i="84"/>
  <c r="I870" i="84"/>
  <c r="I866" i="84"/>
  <c r="I862" i="84"/>
  <c r="I846" i="84"/>
  <c r="I841" i="84"/>
  <c r="I838" i="84"/>
  <c r="I831" i="84"/>
  <c r="I827" i="84"/>
  <c r="I823" i="84"/>
  <c r="I819" i="84"/>
  <c r="I815" i="84"/>
  <c r="I811" i="84"/>
  <c r="I807" i="84"/>
  <c r="I803" i="84"/>
  <c r="I799" i="84"/>
  <c r="I795" i="84"/>
  <c r="I791" i="84"/>
  <c r="I787" i="84"/>
  <c r="I783" i="84"/>
  <c r="I858" i="84"/>
  <c r="I830" i="84"/>
  <c r="I826" i="84"/>
  <c r="I822" i="84"/>
  <c r="I818" i="84"/>
  <c r="I814" i="84"/>
  <c r="I810" i="84"/>
  <c r="I806" i="84"/>
  <c r="I802" i="84"/>
  <c r="I798" i="84"/>
  <c r="I794" i="84"/>
  <c r="I790" i="84"/>
  <c r="I786" i="84"/>
  <c r="I782" i="84"/>
  <c r="I778" i="84"/>
  <c r="I774" i="84"/>
  <c r="I770" i="84"/>
  <c r="I766" i="84"/>
  <c r="I762" i="84"/>
  <c r="I758" i="84"/>
  <c r="I854" i="84"/>
  <c r="I845" i="84"/>
  <c r="I842" i="84"/>
  <c r="I837" i="84"/>
  <c r="I834" i="84"/>
  <c r="I833" i="84"/>
  <c r="I829" i="84"/>
  <c r="I825" i="84"/>
  <c r="I821" i="84"/>
  <c r="I817" i="84"/>
  <c r="I813" i="84"/>
  <c r="I809" i="84"/>
  <c r="I805" i="84"/>
  <c r="I801" i="84"/>
  <c r="I797" i="84"/>
  <c r="I793" i="84"/>
  <c r="I789" i="84"/>
  <c r="I785" i="84"/>
  <c r="I781" i="84"/>
  <c r="I777" i="84"/>
  <c r="I773" i="84"/>
  <c r="I769" i="84"/>
  <c r="I765" i="84"/>
  <c r="I761" i="84"/>
  <c r="I757" i="84"/>
  <c r="I850" i="84"/>
  <c r="I832" i="84"/>
  <c r="I828" i="84"/>
  <c r="I824" i="84"/>
  <c r="I820" i="84"/>
  <c r="I816" i="84"/>
  <c r="I812" i="84"/>
  <c r="I808" i="84"/>
  <c r="I804" i="84"/>
  <c r="I800" i="84"/>
  <c r="I796" i="84"/>
  <c r="I792" i="84"/>
  <c r="I788" i="84"/>
  <c r="I784" i="84"/>
  <c r="I780" i="84"/>
  <c r="I776" i="84"/>
  <c r="I775" i="84"/>
  <c r="I751" i="84"/>
  <c r="I747" i="84"/>
  <c r="I743" i="84"/>
  <c r="I739" i="84"/>
  <c r="I735" i="84"/>
  <c r="I731" i="84"/>
  <c r="I727" i="84"/>
  <c r="I723" i="84"/>
  <c r="I719" i="84"/>
  <c r="I715" i="84"/>
  <c r="I711" i="84"/>
  <c r="I707" i="84"/>
  <c r="I703" i="84"/>
  <c r="I699" i="84"/>
  <c r="I695" i="84"/>
  <c r="I691" i="84"/>
  <c r="I687" i="84"/>
  <c r="I683" i="84"/>
  <c r="I679" i="84"/>
  <c r="I675" i="84"/>
  <c r="I771" i="84"/>
  <c r="I768" i="84"/>
  <c r="I763" i="84"/>
  <c r="I760" i="84"/>
  <c r="I755" i="84"/>
  <c r="I754" i="84"/>
  <c r="I750" i="84"/>
  <c r="I746" i="84"/>
  <c r="I742" i="84"/>
  <c r="I738" i="84"/>
  <c r="I734" i="84"/>
  <c r="I730" i="84"/>
  <c r="I726" i="84"/>
  <c r="I722" i="84"/>
  <c r="I718" i="84"/>
  <c r="I714" i="84"/>
  <c r="I710" i="84"/>
  <c r="I706" i="84"/>
  <c r="I702" i="84"/>
  <c r="I698" i="84"/>
  <c r="I753" i="84"/>
  <c r="I749" i="84"/>
  <c r="I745" i="84"/>
  <c r="I741" i="84"/>
  <c r="I737" i="84"/>
  <c r="I733" i="84"/>
  <c r="I729" i="84"/>
  <c r="I725" i="84"/>
  <c r="I721" i="84"/>
  <c r="I717" i="84"/>
  <c r="I713" i="84"/>
  <c r="I709" i="84"/>
  <c r="I705" i="84"/>
  <c r="I701" i="84"/>
  <c r="I697" i="84"/>
  <c r="I693" i="84"/>
  <c r="I689" i="84"/>
  <c r="I685" i="84"/>
  <c r="I681" i="84"/>
  <c r="I677" i="84"/>
  <c r="I673" i="84"/>
  <c r="I779" i="84"/>
  <c r="I772" i="84"/>
  <c r="I767" i="84"/>
  <c r="I764" i="84"/>
  <c r="I759" i="84"/>
  <c r="I756" i="84"/>
  <c r="I752" i="84"/>
  <c r="I748" i="84"/>
  <c r="I744" i="84"/>
  <c r="I740" i="84"/>
  <c r="I736" i="84"/>
  <c r="I732" i="84"/>
  <c r="I728" i="84"/>
  <c r="I724" i="84"/>
  <c r="I720" i="84"/>
  <c r="I716" i="84"/>
  <c r="I712" i="84"/>
  <c r="I708" i="84"/>
  <c r="I704" i="84"/>
  <c r="I700" i="84"/>
  <c r="I668" i="84"/>
  <c r="I664" i="84"/>
  <c r="I660" i="84"/>
  <c r="I656" i="84"/>
  <c r="I652" i="84"/>
  <c r="I648" i="84"/>
  <c r="I644" i="84"/>
  <c r="I640" i="84"/>
  <c r="I636" i="84"/>
  <c r="I632" i="84"/>
  <c r="I628" i="84"/>
  <c r="I624" i="84"/>
  <c r="I620" i="84"/>
  <c r="I616" i="84"/>
  <c r="I612" i="84"/>
  <c r="I608" i="84"/>
  <c r="I604" i="84"/>
  <c r="I600" i="84"/>
  <c r="I596" i="84"/>
  <c r="I592" i="84"/>
  <c r="I588" i="84"/>
  <c r="I584" i="84"/>
  <c r="I580" i="84"/>
  <c r="I576" i="84"/>
  <c r="I572" i="84"/>
  <c r="I568" i="84"/>
  <c r="I564" i="84"/>
  <c r="I560" i="84"/>
  <c r="I694" i="84"/>
  <c r="I692" i="84"/>
  <c r="I690" i="84"/>
  <c r="I688" i="84"/>
  <c r="I686" i="84"/>
  <c r="I684" i="84"/>
  <c r="I682" i="84"/>
  <c r="I680" i="84"/>
  <c r="I678" i="84"/>
  <c r="I676" i="84"/>
  <c r="I674" i="84"/>
  <c r="I696" i="84"/>
  <c r="I671" i="84"/>
  <c r="I670" i="84"/>
  <c r="I666" i="84"/>
  <c r="I662" i="84"/>
  <c r="I658" i="84"/>
  <c r="I654" i="84"/>
  <c r="I650" i="84"/>
  <c r="I646" i="84"/>
  <c r="I642" i="84"/>
  <c r="I638" i="84"/>
  <c r="I634" i="84"/>
  <c r="I630" i="84"/>
  <c r="I626" i="84"/>
  <c r="I622" i="84"/>
  <c r="I618" i="84"/>
  <c r="I614" i="84"/>
  <c r="I610" i="84"/>
  <c r="I606" i="84"/>
  <c r="I602" i="84"/>
  <c r="I598" i="84"/>
  <c r="I594" i="84"/>
  <c r="I590" i="84"/>
  <c r="I586" i="84"/>
  <c r="I672" i="84"/>
  <c r="I669" i="84"/>
  <c r="I665" i="84"/>
  <c r="I661" i="84"/>
  <c r="I657" i="84"/>
  <c r="I653" i="84"/>
  <c r="I649" i="84"/>
  <c r="I645" i="84"/>
  <c r="I641" i="84"/>
  <c r="I637" i="84"/>
  <c r="I633" i="84"/>
  <c r="I629" i="84"/>
  <c r="I625" i="84"/>
  <c r="I621" i="84"/>
  <c r="I617" i="84"/>
  <c r="I613" i="84"/>
  <c r="I609" i="84"/>
  <c r="I605" i="84"/>
  <c r="I601" i="84"/>
  <c r="I597" i="84"/>
  <c r="I593" i="84"/>
  <c r="I582" i="84"/>
  <c r="I581" i="84"/>
  <c r="I574" i="84"/>
  <c r="I573" i="84"/>
  <c r="I566" i="84"/>
  <c r="I565" i="84"/>
  <c r="I556" i="84"/>
  <c r="I552" i="84"/>
  <c r="I548" i="84"/>
  <c r="I544" i="84"/>
  <c r="I540" i="84"/>
  <c r="I536" i="84"/>
  <c r="I532" i="84"/>
  <c r="I528" i="84"/>
  <c r="I524" i="84"/>
  <c r="I520" i="84"/>
  <c r="I516" i="84"/>
  <c r="I512" i="84"/>
  <c r="I508" i="84"/>
  <c r="I504" i="84"/>
  <c r="I500" i="84"/>
  <c r="I496" i="84"/>
  <c r="I492" i="84"/>
  <c r="I488" i="84"/>
  <c r="I667" i="84"/>
  <c r="I659" i="84"/>
  <c r="I651" i="84"/>
  <c r="I643" i="84"/>
  <c r="I635" i="84"/>
  <c r="I627" i="84"/>
  <c r="I619" i="84"/>
  <c r="I611" i="84"/>
  <c r="I603" i="84"/>
  <c r="I595" i="84"/>
  <c r="I591" i="84"/>
  <c r="I589" i="84"/>
  <c r="I587" i="84"/>
  <c r="I585" i="84"/>
  <c r="I583" i="84"/>
  <c r="I575" i="84"/>
  <c r="I567" i="84"/>
  <c r="I559" i="84"/>
  <c r="I555" i="84"/>
  <c r="I551" i="84"/>
  <c r="I547" i="84"/>
  <c r="I543" i="84"/>
  <c r="I539" i="84"/>
  <c r="I535" i="84"/>
  <c r="I531" i="84"/>
  <c r="I527" i="84"/>
  <c r="I523" i="84"/>
  <c r="I519" i="84"/>
  <c r="I515" i="84"/>
  <c r="I511" i="84"/>
  <c r="I507" i="84"/>
  <c r="I503" i="84"/>
  <c r="I499" i="84"/>
  <c r="I495" i="84"/>
  <c r="I578" i="84"/>
  <c r="I577" i="84"/>
  <c r="I570" i="84"/>
  <c r="I569" i="84"/>
  <c r="I562" i="84"/>
  <c r="I561" i="84"/>
  <c r="I558" i="84"/>
  <c r="I554" i="84"/>
  <c r="I487"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553" i="84"/>
  <c r="I549" i="84"/>
  <c r="I545" i="84"/>
  <c r="I541" i="84"/>
  <c r="I537" i="84"/>
  <c r="I533" i="84"/>
  <c r="I529" i="84"/>
  <c r="I525" i="84"/>
  <c r="I521" i="84"/>
  <c r="I517" i="84"/>
  <c r="I513" i="84"/>
  <c r="I509" i="84"/>
  <c r="I505" i="84"/>
  <c r="I501" i="84"/>
  <c r="I497" i="84"/>
  <c r="I493" i="84"/>
  <c r="I490" i="84"/>
  <c r="I489" i="84"/>
  <c r="I454" i="84"/>
  <c r="I450" i="84"/>
  <c r="I446" i="84"/>
  <c r="I442" i="84"/>
  <c r="I438" i="84"/>
  <c r="I434" i="84"/>
  <c r="I430"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491" i="84"/>
  <c r="I453" i="84"/>
  <c r="I449" i="84"/>
  <c r="I445" i="84"/>
  <c r="I441" i="84"/>
  <c r="I437" i="84"/>
  <c r="I433" i="84"/>
  <c r="I429" i="84"/>
  <c r="I421" i="84"/>
  <c r="I417" i="84"/>
  <c r="I413" i="84"/>
  <c r="I409" i="84"/>
  <c r="I405" i="84"/>
  <c r="I579" i="84"/>
  <c r="I571" i="84"/>
  <c r="I563" i="84"/>
  <c r="I557" i="84"/>
  <c r="I550" i="84"/>
  <c r="I534" i="84"/>
  <c r="I518" i="84"/>
  <c r="I502" i="84"/>
  <c r="I412" i="84"/>
  <c r="I324" i="84"/>
  <c r="I323" i="84"/>
  <c r="I321" i="84"/>
  <c r="I308" i="84"/>
  <c r="I307" i="84"/>
  <c r="I305" i="84"/>
  <c r="I292" i="84"/>
  <c r="I291" i="84"/>
  <c r="I289" i="84"/>
  <c r="I276" i="84"/>
  <c r="I275" i="84"/>
  <c r="I273" i="84"/>
  <c r="I269" i="84"/>
  <c r="I265" i="84"/>
  <c r="I261" i="84"/>
  <c r="I257" i="84"/>
  <c r="I253" i="84"/>
  <c r="I249" i="84"/>
  <c r="I245" i="84"/>
  <c r="I241" i="84"/>
  <c r="I237" i="84"/>
  <c r="I233" i="84"/>
  <c r="I229" i="84"/>
  <c r="I225" i="84"/>
  <c r="I221" i="84"/>
  <c r="I217" i="84"/>
  <c r="I213" i="84"/>
  <c r="I209" i="84"/>
  <c r="I205" i="84"/>
  <c r="I201" i="84"/>
  <c r="I197" i="84"/>
  <c r="I193" i="84"/>
  <c r="I189" i="84"/>
  <c r="I185" i="84"/>
  <c r="I181" i="84"/>
  <c r="I177" i="84"/>
  <c r="I173" i="84"/>
  <c r="I169" i="84"/>
  <c r="I165" i="84"/>
  <c r="I161" i="84"/>
  <c r="I157" i="84"/>
  <c r="I153" i="84"/>
  <c r="I149" i="84"/>
  <c r="I145" i="84"/>
  <c r="I141" i="84"/>
  <c r="I137" i="84"/>
  <c r="I133" i="84"/>
  <c r="I129" i="84"/>
  <c r="I125" i="84"/>
  <c r="I538" i="84"/>
  <c r="I522" i="84"/>
  <c r="I506" i="84"/>
  <c r="I456" i="84"/>
  <c r="I448" i="84"/>
  <c r="I440" i="84"/>
  <c r="I432" i="84"/>
  <c r="I424" i="84"/>
  <c r="I408" i="84"/>
  <c r="I400" i="84"/>
  <c r="I397" i="84"/>
  <c r="I392" i="84"/>
  <c r="I389" i="84"/>
  <c r="I384" i="84"/>
  <c r="I381" i="84"/>
  <c r="I376" i="84"/>
  <c r="I373" i="84"/>
  <c r="I368" i="84"/>
  <c r="I365" i="84"/>
  <c r="I360" i="84"/>
  <c r="I357" i="84"/>
  <c r="I352" i="84"/>
  <c r="I349" i="84"/>
  <c r="I344" i="84"/>
  <c r="I341" i="84"/>
  <c r="I336" i="84"/>
  <c r="I333" i="84"/>
  <c r="I328" i="84"/>
  <c r="I327" i="84"/>
  <c r="I325" i="84"/>
  <c r="I312" i="84"/>
  <c r="I311" i="84"/>
  <c r="I309" i="84"/>
  <c r="I296" i="84"/>
  <c r="I295" i="84"/>
  <c r="I293" i="84"/>
  <c r="I280" i="84"/>
  <c r="I279" i="84"/>
  <c r="I277" i="84"/>
  <c r="I268" i="84"/>
  <c r="I264" i="84"/>
  <c r="I260" i="84"/>
  <c r="I256" i="84"/>
  <c r="I252" i="84"/>
  <c r="I248" i="84"/>
  <c r="I244" i="84"/>
  <c r="I240" i="84"/>
  <c r="I236" i="84"/>
  <c r="I232" i="84"/>
  <c r="I228" i="84"/>
  <c r="I224" i="84"/>
  <c r="I220" i="84"/>
  <c r="I216" i="84"/>
  <c r="I212" i="84"/>
  <c r="I208" i="84"/>
  <c r="I204" i="84"/>
  <c r="I200" i="84"/>
  <c r="I196" i="84"/>
  <c r="I192" i="84"/>
  <c r="I188" i="84"/>
  <c r="I184" i="84"/>
  <c r="I180" i="84"/>
  <c r="I176" i="84"/>
  <c r="I172" i="84"/>
  <c r="I168" i="84"/>
  <c r="I164" i="84"/>
  <c r="I160" i="84"/>
  <c r="I156" i="84"/>
  <c r="I152" i="84"/>
  <c r="I148" i="84"/>
  <c r="I144" i="84"/>
  <c r="I140" i="84"/>
  <c r="I136" i="84"/>
  <c r="I132" i="84"/>
  <c r="I128" i="84"/>
  <c r="I124" i="84"/>
  <c r="I120" i="84"/>
  <c r="I116" i="84"/>
  <c r="I112" i="84"/>
  <c r="I542" i="84"/>
  <c r="I526" i="84"/>
  <c r="I510" i="84"/>
  <c r="I494" i="84"/>
  <c r="I420" i="84"/>
  <c r="I404" i="84"/>
  <c r="I316" i="84"/>
  <c r="I315" i="84"/>
  <c r="I313" i="84"/>
  <c r="I300" i="84"/>
  <c r="I299" i="84"/>
  <c r="I297" i="84"/>
  <c r="I284" i="84"/>
  <c r="I283" i="84"/>
  <c r="I281" i="84"/>
  <c r="I267" i="84"/>
  <c r="I263" i="84"/>
  <c r="I259" i="84"/>
  <c r="I255" i="84"/>
  <c r="I251" i="84"/>
  <c r="I247" i="84"/>
  <c r="I243" i="84"/>
  <c r="I239" i="84"/>
  <c r="I235" i="84"/>
  <c r="I231" i="84"/>
  <c r="I227" i="84"/>
  <c r="I223" i="84"/>
  <c r="I219" i="84"/>
  <c r="I215" i="84"/>
  <c r="I211" i="84"/>
  <c r="I207" i="84"/>
  <c r="I203" i="84"/>
  <c r="I199" i="84"/>
  <c r="I195" i="84"/>
  <c r="I191" i="84"/>
  <c r="I187" i="84"/>
  <c r="I663" i="84"/>
  <c r="I655" i="84"/>
  <c r="I647" i="84"/>
  <c r="I639" i="84"/>
  <c r="I631" i="84"/>
  <c r="I623" i="84"/>
  <c r="I615" i="84"/>
  <c r="I607" i="84"/>
  <c r="I599" i="84"/>
  <c r="I546" i="84"/>
  <c r="I530" i="84"/>
  <c r="I514" i="84"/>
  <c r="I498" i="84"/>
  <c r="I452" i="84"/>
  <c r="I444" i="84"/>
  <c r="I436" i="84"/>
  <c r="I428" i="84"/>
  <c r="I416" i="84"/>
  <c r="I393" i="84"/>
  <c r="I380" i="84"/>
  <c r="I361" i="84"/>
  <c r="I348" i="84"/>
  <c r="I329" i="84"/>
  <c r="I320" i="84"/>
  <c r="I303" i="84"/>
  <c r="I266" i="84"/>
  <c r="I250" i="84"/>
  <c r="I234" i="84"/>
  <c r="I218" i="84"/>
  <c r="I202" i="84"/>
  <c r="I186" i="84"/>
  <c r="I401" i="84"/>
  <c r="I388" i="84"/>
  <c r="I369" i="84"/>
  <c r="I356" i="84"/>
  <c r="I337" i="84"/>
  <c r="I319" i="84"/>
  <c r="I285" i="84"/>
  <c r="I272" i="84"/>
  <c r="I262" i="84"/>
  <c r="I246" i="84"/>
  <c r="I230" i="84"/>
  <c r="I214" i="84"/>
  <c r="I198" i="84"/>
  <c r="I183" i="84"/>
  <c r="I178" i="84"/>
  <c r="I175" i="84"/>
  <c r="I170" i="84"/>
  <c r="I167" i="84"/>
  <c r="I162" i="84"/>
  <c r="I159" i="84"/>
  <c r="I154" i="84"/>
  <c r="I151" i="84"/>
  <c r="I146" i="84"/>
  <c r="I143" i="84"/>
  <c r="I138" i="84"/>
  <c r="I135" i="84"/>
  <c r="I130" i="84"/>
  <c r="I127" i="84"/>
  <c r="I118" i="84"/>
  <c r="I117" i="84"/>
  <c r="I115" i="84"/>
  <c r="I108" i="84"/>
  <c r="I104" i="84"/>
  <c r="I396" i="84"/>
  <c r="I377" i="84"/>
  <c r="I364" i="84"/>
  <c r="I345" i="84"/>
  <c r="I332" i="84"/>
  <c r="I301" i="84"/>
  <c r="I288" i="84"/>
  <c r="I385" i="84"/>
  <c r="I372" i="84"/>
  <c r="I353" i="84"/>
  <c r="I340" i="84"/>
  <c r="I317" i="84"/>
  <c r="I304" i="84"/>
  <c r="I287" i="84"/>
  <c r="I254" i="84"/>
  <c r="I238" i="84"/>
  <c r="I222" i="84"/>
  <c r="I206" i="84"/>
  <c r="I190" i="84"/>
  <c r="I182" i="84"/>
  <c r="I179" i="84"/>
  <c r="I174" i="84"/>
  <c r="I171" i="84"/>
  <c r="I166" i="84"/>
  <c r="I163" i="84"/>
  <c r="I158" i="84"/>
  <c r="I155" i="84"/>
  <c r="I150" i="84"/>
  <c r="I147" i="84"/>
  <c r="I142" i="84"/>
  <c r="I139" i="84"/>
  <c r="I134" i="84"/>
  <c r="I131" i="84"/>
  <c r="I126" i="84"/>
  <c r="I123" i="84"/>
  <c r="I110" i="84"/>
  <c r="I106" i="84"/>
  <c r="I102" i="84"/>
  <c r="I98" i="84"/>
  <c r="I94" i="84"/>
  <c r="I90" i="84"/>
  <c r="I226" i="84"/>
  <c r="I122" i="84"/>
  <c r="I107" i="84"/>
  <c r="I92" i="84"/>
  <c r="I91" i="84"/>
  <c r="I86" i="84"/>
  <c r="I82" i="84"/>
  <c r="I78" i="84"/>
  <c r="I74" i="84"/>
  <c r="I70" i="84"/>
  <c r="I66" i="84"/>
  <c r="I62" i="84"/>
  <c r="I271" i="84"/>
  <c r="I210" i="84"/>
  <c r="I121" i="84"/>
  <c r="I105" i="84"/>
  <c r="I96" i="84"/>
  <c r="I95" i="84"/>
  <c r="I93" i="84"/>
  <c r="I89" i="84"/>
  <c r="I85" i="84"/>
  <c r="I81" i="84"/>
  <c r="I77" i="84"/>
  <c r="I73" i="84"/>
  <c r="I69" i="84"/>
  <c r="I65" i="84"/>
  <c r="I32" i="84"/>
  <c r="I28" i="84"/>
  <c r="I258" i="84"/>
  <c r="I194" i="84"/>
  <c r="I113" i="84"/>
  <c r="I111" i="84"/>
  <c r="I103" i="84"/>
  <c r="I100" i="84"/>
  <c r="I99" i="84"/>
  <c r="I97" i="84"/>
  <c r="I88" i="84"/>
  <c r="I84" i="84"/>
  <c r="I80" i="84"/>
  <c r="I76" i="84"/>
  <c r="I72" i="84"/>
  <c r="I68" i="84"/>
  <c r="I64" i="84"/>
  <c r="F10" i="84"/>
  <c r="G10" i="84" s="1"/>
  <c r="H10" i="84" s="1"/>
  <c r="I10" i="84" s="1"/>
  <c r="J10" i="84" s="1"/>
  <c r="K10" i="84" s="1"/>
  <c r="L10" i="84" s="1"/>
  <c r="M10" i="84" s="1"/>
  <c r="N10" i="84" s="1"/>
  <c r="O10" i="84" s="1"/>
  <c r="P10" i="84" s="1"/>
  <c r="Q10" i="84" s="1"/>
  <c r="R10" i="84" s="1"/>
  <c r="S10" i="84" s="1"/>
  <c r="I242" i="84"/>
  <c r="I119" i="84"/>
  <c r="I114" i="84"/>
  <c r="I109" i="84"/>
  <c r="I101" i="84"/>
  <c r="I87" i="84"/>
  <c r="I83" i="84"/>
  <c r="I79" i="84"/>
  <c r="I75" i="84"/>
  <c r="I71" i="84"/>
  <c r="I67" i="84"/>
  <c r="I63" i="84"/>
  <c r="I27" i="84"/>
  <c r="I33" i="84"/>
  <c r="I464" i="84"/>
  <c r="I465" i="84"/>
  <c r="I457" i="84"/>
  <c r="I25" i="84"/>
  <c r="I460" i="84"/>
  <c r="I458" i="84"/>
  <c r="I425" i="84"/>
  <c r="I34" i="84"/>
  <c r="I35" i="84"/>
  <c r="I463" i="84"/>
  <c r="I426" i="84"/>
  <c r="I462" i="84"/>
  <c r="I29" i="84"/>
  <c r="I30" i="84"/>
  <c r="I31" i="84"/>
  <c r="I995" i="84"/>
  <c r="I466" i="84"/>
  <c r="I459" i="84"/>
  <c r="I461" i="84"/>
  <c r="I26" i="84"/>
  <c r="I48" i="84"/>
  <c r="I37" i="84"/>
  <c r="I53" i="84"/>
  <c r="I42" i="84"/>
  <c r="I58" i="84"/>
  <c r="I486" i="84"/>
  <c r="I475" i="84"/>
  <c r="I481" i="84"/>
  <c r="I468" i="84"/>
  <c r="I484" i="84"/>
  <c r="L66" i="83"/>
  <c r="M66" i="83" s="1"/>
  <c r="L64" i="83"/>
  <c r="M64" i="83" s="1"/>
  <c r="L68" i="83"/>
  <c r="M68" i="83" s="1"/>
  <c r="L67" i="83"/>
  <c r="M67" i="83" s="1"/>
  <c r="L65" i="83"/>
  <c r="M65" i="83" s="1"/>
  <c r="L63" i="83"/>
  <c r="M63" i="83" s="1"/>
  <c r="M69" i="83" s="1"/>
  <c r="N69" i="83" s="1"/>
  <c r="Y6" i="1" l="1"/>
  <c r="Q9" i="1"/>
  <c r="N9" i="1"/>
  <c r="Y9" i="1" s="1"/>
  <c r="N8" i="1"/>
  <c r="Y8" i="1" s="1"/>
  <c r="N7" i="1"/>
  <c r="Y7" i="1" s="1"/>
  <c r="L9" i="1"/>
  <c r="L8" i="1"/>
  <c r="L7" i="1"/>
  <c r="M13" i="3"/>
  <c r="F21" i="6" s="1"/>
  <c r="I13" i="3"/>
  <c r="F19" i="6" s="1"/>
  <c r="E990" i="80"/>
  <c r="O13" i="3" s="1"/>
  <c r="F22" i="6" s="1"/>
  <c r="K989" i="80"/>
  <c r="J989" i="80"/>
  <c r="K988" i="80"/>
  <c r="J988" i="80"/>
  <c r="K987" i="80"/>
  <c r="J987" i="80"/>
  <c r="K986" i="80"/>
  <c r="J986" i="80"/>
  <c r="K985" i="80"/>
  <c r="J985" i="80"/>
  <c r="K984" i="80"/>
  <c r="J984" i="80"/>
  <c r="K983" i="80"/>
  <c r="J983" i="80"/>
  <c r="K982" i="80"/>
  <c r="J982" i="80"/>
  <c r="K981" i="80"/>
  <c r="J981" i="80"/>
  <c r="K980" i="80"/>
  <c r="J980" i="80"/>
  <c r="K979" i="80"/>
  <c r="J979" i="80"/>
  <c r="K978" i="80"/>
  <c r="J978" i="80"/>
  <c r="K977" i="80"/>
  <c r="J977" i="80"/>
  <c r="K976" i="80"/>
  <c r="J976" i="80"/>
  <c r="K975" i="80"/>
  <c r="J975" i="80"/>
  <c r="K974" i="80"/>
  <c r="J974" i="80"/>
  <c r="K973" i="80"/>
  <c r="J973" i="80"/>
  <c r="K972" i="80"/>
  <c r="J972" i="80"/>
  <c r="K971" i="80"/>
  <c r="J971" i="80"/>
  <c r="K970" i="80"/>
  <c r="J970" i="80"/>
  <c r="K969" i="80"/>
  <c r="J969" i="80"/>
  <c r="K968" i="80"/>
  <c r="J968" i="80"/>
  <c r="K967" i="80"/>
  <c r="J967" i="80"/>
  <c r="K966" i="80"/>
  <c r="J966" i="80"/>
  <c r="K965" i="80"/>
  <c r="J965" i="80"/>
  <c r="K964" i="80"/>
  <c r="J964" i="80"/>
  <c r="K963" i="80"/>
  <c r="J963" i="80"/>
  <c r="K962" i="80"/>
  <c r="J962" i="80"/>
  <c r="K961" i="80"/>
  <c r="J961" i="80"/>
  <c r="K960" i="80"/>
  <c r="J960" i="80"/>
  <c r="K959" i="80"/>
  <c r="J959" i="80"/>
  <c r="K958" i="80"/>
  <c r="J958" i="80"/>
  <c r="K957" i="80"/>
  <c r="J957" i="80"/>
  <c r="K956" i="80"/>
  <c r="J956" i="80"/>
  <c r="K955" i="80"/>
  <c r="J955" i="80"/>
  <c r="K954" i="80"/>
  <c r="J954" i="80"/>
  <c r="K953" i="80"/>
  <c r="J953" i="80"/>
  <c r="K952" i="80"/>
  <c r="J952" i="80"/>
  <c r="K951" i="80"/>
  <c r="J951" i="80"/>
  <c r="K950" i="80"/>
  <c r="J950" i="80"/>
  <c r="K949" i="80"/>
  <c r="J949" i="80"/>
  <c r="K948" i="80"/>
  <c r="J948" i="80"/>
  <c r="K947" i="80"/>
  <c r="J947" i="80"/>
  <c r="K946" i="80"/>
  <c r="J946" i="80"/>
  <c r="K945" i="80"/>
  <c r="J945" i="80"/>
  <c r="K944" i="80"/>
  <c r="J944" i="80"/>
  <c r="K943" i="80"/>
  <c r="J943" i="80"/>
  <c r="K942" i="80"/>
  <c r="J942" i="80"/>
  <c r="K941" i="80"/>
  <c r="J941" i="80"/>
  <c r="K940" i="80"/>
  <c r="J940" i="80"/>
  <c r="K939" i="80"/>
  <c r="J939" i="80"/>
  <c r="K938" i="80"/>
  <c r="J938" i="80"/>
  <c r="K937" i="80"/>
  <c r="J937" i="80"/>
  <c r="K936" i="80"/>
  <c r="J936" i="80"/>
  <c r="K935" i="80"/>
  <c r="J935" i="80"/>
  <c r="K934" i="80"/>
  <c r="J934" i="80"/>
  <c r="K933" i="80"/>
  <c r="J933" i="80"/>
  <c r="K932" i="80"/>
  <c r="J932" i="80"/>
  <c r="K931" i="80"/>
  <c r="J931" i="80"/>
  <c r="K930" i="80"/>
  <c r="J930" i="80"/>
  <c r="K929" i="80"/>
  <c r="J929" i="80"/>
  <c r="K928" i="80"/>
  <c r="J928" i="80"/>
  <c r="K927" i="80"/>
  <c r="J927" i="80"/>
  <c r="K926" i="80"/>
  <c r="J926" i="80"/>
  <c r="K925" i="80"/>
  <c r="J925" i="80"/>
  <c r="K924" i="80"/>
  <c r="J924" i="80"/>
  <c r="K923" i="80"/>
  <c r="J923" i="80"/>
  <c r="K922" i="80"/>
  <c r="J922" i="80"/>
  <c r="K921" i="80"/>
  <c r="J921" i="80"/>
  <c r="K920" i="80"/>
  <c r="J920" i="80"/>
  <c r="K919" i="80"/>
  <c r="J919" i="80"/>
  <c r="K918" i="80"/>
  <c r="J918" i="80"/>
  <c r="K917" i="80"/>
  <c r="J917" i="80"/>
  <c r="K916" i="80"/>
  <c r="J916" i="80"/>
  <c r="K915" i="80"/>
  <c r="J915" i="80"/>
  <c r="K914" i="80"/>
  <c r="J914" i="80"/>
  <c r="K913" i="80"/>
  <c r="J913" i="80"/>
  <c r="K912" i="80"/>
  <c r="J912" i="80"/>
  <c r="K911" i="80"/>
  <c r="J911" i="80"/>
  <c r="K910" i="80"/>
  <c r="J910" i="80"/>
  <c r="K909" i="80"/>
  <c r="J909" i="80"/>
  <c r="K908" i="80"/>
  <c r="J908" i="80"/>
  <c r="K907" i="80"/>
  <c r="J907" i="80"/>
  <c r="K906" i="80"/>
  <c r="J906" i="80"/>
  <c r="K905" i="80"/>
  <c r="J905" i="80"/>
  <c r="K904" i="80"/>
  <c r="J904" i="80"/>
  <c r="K903" i="80"/>
  <c r="J903" i="80"/>
  <c r="K902" i="80"/>
  <c r="J902" i="80"/>
  <c r="K901" i="80"/>
  <c r="J901" i="80"/>
  <c r="K900" i="80"/>
  <c r="J900" i="80"/>
  <c r="K899" i="80"/>
  <c r="J899" i="80"/>
  <c r="K898" i="80"/>
  <c r="J898" i="80"/>
  <c r="K897" i="80"/>
  <c r="J897" i="80"/>
  <c r="K896" i="80"/>
  <c r="J896" i="80"/>
  <c r="K895" i="80"/>
  <c r="J895" i="80"/>
  <c r="K894" i="80"/>
  <c r="J894" i="80"/>
  <c r="K893" i="80"/>
  <c r="J893" i="80"/>
  <c r="K892" i="80"/>
  <c r="J892" i="80"/>
  <c r="K891" i="80"/>
  <c r="J891" i="80"/>
  <c r="K890" i="80"/>
  <c r="J890" i="80"/>
  <c r="K889" i="80"/>
  <c r="J889" i="80"/>
  <c r="K888" i="80"/>
  <c r="J888" i="80"/>
  <c r="K887" i="80"/>
  <c r="J887" i="80"/>
  <c r="K886" i="80"/>
  <c r="J886" i="80"/>
  <c r="K885" i="80"/>
  <c r="J885" i="80"/>
  <c r="K884" i="80"/>
  <c r="J884" i="80"/>
  <c r="K883" i="80"/>
  <c r="J883" i="80"/>
  <c r="K882" i="80"/>
  <c r="J882" i="80"/>
  <c r="K881" i="80"/>
  <c r="J881" i="80"/>
  <c r="K880" i="80"/>
  <c r="J880" i="80"/>
  <c r="K879" i="80"/>
  <c r="J879" i="80"/>
  <c r="K878" i="80"/>
  <c r="J878" i="80"/>
  <c r="K877" i="80"/>
  <c r="J877" i="80"/>
  <c r="K876" i="80"/>
  <c r="J876" i="80"/>
  <c r="K875" i="80"/>
  <c r="J875" i="80"/>
  <c r="K874" i="80"/>
  <c r="J874" i="80"/>
  <c r="K873" i="80"/>
  <c r="J873" i="80"/>
  <c r="K872" i="80"/>
  <c r="J872" i="80"/>
  <c r="K871" i="80"/>
  <c r="J871" i="80"/>
  <c r="K870" i="80"/>
  <c r="J870" i="80"/>
  <c r="K869" i="80"/>
  <c r="J869" i="80"/>
  <c r="K868" i="80"/>
  <c r="J868" i="80"/>
  <c r="K867" i="80"/>
  <c r="J867" i="80"/>
  <c r="K866" i="80"/>
  <c r="J866" i="80"/>
  <c r="K865" i="80"/>
  <c r="J865" i="80"/>
  <c r="K864" i="80"/>
  <c r="J864" i="80"/>
  <c r="K863" i="80"/>
  <c r="J863" i="80"/>
  <c r="K862" i="80"/>
  <c r="J862" i="80"/>
  <c r="K861" i="80"/>
  <c r="J861" i="80"/>
  <c r="K860" i="80"/>
  <c r="J860" i="80"/>
  <c r="K859" i="80"/>
  <c r="J859" i="80"/>
  <c r="K858" i="80"/>
  <c r="J858" i="80"/>
  <c r="K857" i="80"/>
  <c r="J857" i="80"/>
  <c r="K856" i="80"/>
  <c r="J856" i="80"/>
  <c r="K855" i="80"/>
  <c r="J855" i="80"/>
  <c r="K854" i="80"/>
  <c r="J854" i="80"/>
  <c r="K853" i="80"/>
  <c r="J853" i="80"/>
  <c r="K852" i="80"/>
  <c r="J852" i="80"/>
  <c r="K851" i="80"/>
  <c r="J851" i="80"/>
  <c r="K850" i="80"/>
  <c r="J850" i="80"/>
  <c r="K849" i="80"/>
  <c r="J849" i="80"/>
  <c r="K848" i="80"/>
  <c r="J848" i="80"/>
  <c r="K847" i="80"/>
  <c r="J847" i="80"/>
  <c r="K846" i="80"/>
  <c r="J846" i="80"/>
  <c r="K845" i="80"/>
  <c r="J845" i="80"/>
  <c r="K844" i="80"/>
  <c r="J844" i="80"/>
  <c r="K843" i="80"/>
  <c r="J843" i="80"/>
  <c r="K842" i="80"/>
  <c r="J842" i="80"/>
  <c r="K841" i="80"/>
  <c r="J841" i="80"/>
  <c r="K840" i="80"/>
  <c r="J840" i="80"/>
  <c r="K839" i="80"/>
  <c r="J839" i="80"/>
  <c r="K838" i="80"/>
  <c r="J838" i="80"/>
  <c r="K837" i="80"/>
  <c r="J837" i="80"/>
  <c r="K836" i="80"/>
  <c r="J836" i="80"/>
  <c r="K835" i="80"/>
  <c r="J835" i="80"/>
  <c r="K834" i="80"/>
  <c r="J834" i="80"/>
  <c r="K833" i="80"/>
  <c r="J833" i="80"/>
  <c r="K832" i="80"/>
  <c r="J832" i="80"/>
  <c r="K831" i="80"/>
  <c r="J831" i="80"/>
  <c r="K830" i="80"/>
  <c r="J830" i="80"/>
  <c r="K829" i="80"/>
  <c r="J829" i="80"/>
  <c r="K828" i="80"/>
  <c r="J828" i="80"/>
  <c r="K827" i="80"/>
  <c r="J827" i="80"/>
  <c r="K826" i="80"/>
  <c r="J826" i="80"/>
  <c r="K825" i="80"/>
  <c r="J825" i="80"/>
  <c r="K824" i="80"/>
  <c r="J824" i="80"/>
  <c r="K823" i="80"/>
  <c r="J823" i="80"/>
  <c r="K822" i="80"/>
  <c r="J822" i="80"/>
  <c r="K821" i="80"/>
  <c r="J821" i="80"/>
  <c r="K820" i="80"/>
  <c r="J820" i="80"/>
  <c r="K819" i="80"/>
  <c r="J819" i="80"/>
  <c r="K818" i="80"/>
  <c r="J818" i="80"/>
  <c r="K817" i="80"/>
  <c r="J817" i="80"/>
  <c r="K816" i="80"/>
  <c r="J816" i="80"/>
  <c r="K815" i="80"/>
  <c r="J815" i="80"/>
  <c r="K814" i="80"/>
  <c r="J814" i="80"/>
  <c r="K813" i="80"/>
  <c r="J813" i="80"/>
  <c r="K812" i="80"/>
  <c r="J812" i="80"/>
  <c r="K811" i="80"/>
  <c r="J811" i="80"/>
  <c r="K810" i="80"/>
  <c r="J810" i="80"/>
  <c r="K809" i="80"/>
  <c r="J809" i="80"/>
  <c r="K808" i="80"/>
  <c r="J808" i="80"/>
  <c r="K807" i="80"/>
  <c r="J807" i="80"/>
  <c r="K806" i="80"/>
  <c r="J806" i="80"/>
  <c r="K805" i="80"/>
  <c r="J805" i="80"/>
  <c r="K804" i="80"/>
  <c r="J804" i="80"/>
  <c r="K803" i="80"/>
  <c r="J803" i="80"/>
  <c r="K802" i="80"/>
  <c r="J802" i="80"/>
  <c r="K801" i="80"/>
  <c r="J801" i="80"/>
  <c r="K800" i="80"/>
  <c r="J800" i="80"/>
  <c r="K799" i="80"/>
  <c r="J799" i="80"/>
  <c r="K798" i="80"/>
  <c r="J798" i="80"/>
  <c r="K797" i="80"/>
  <c r="J797" i="80"/>
  <c r="K796" i="80"/>
  <c r="J796" i="80"/>
  <c r="K795" i="80"/>
  <c r="J795" i="80"/>
  <c r="K794" i="80"/>
  <c r="J794" i="80"/>
  <c r="K793" i="80"/>
  <c r="J793" i="80"/>
  <c r="K792" i="80"/>
  <c r="J792" i="80"/>
  <c r="K791" i="80"/>
  <c r="J791" i="80"/>
  <c r="K790" i="80"/>
  <c r="J790" i="80"/>
  <c r="K789" i="80"/>
  <c r="J789" i="80"/>
  <c r="K788" i="80"/>
  <c r="J788" i="80"/>
  <c r="K787" i="80"/>
  <c r="J787" i="80"/>
  <c r="K786" i="80"/>
  <c r="J786" i="80"/>
  <c r="K785" i="80"/>
  <c r="J785" i="80"/>
  <c r="K784" i="80"/>
  <c r="J784" i="80"/>
  <c r="K783" i="80"/>
  <c r="J783" i="80"/>
  <c r="K782" i="80"/>
  <c r="J782" i="80"/>
  <c r="K781" i="80"/>
  <c r="J781" i="80"/>
  <c r="K780" i="80"/>
  <c r="J780" i="80"/>
  <c r="K779" i="80"/>
  <c r="J779" i="80"/>
  <c r="K778" i="80"/>
  <c r="J778" i="80"/>
  <c r="K777" i="80"/>
  <c r="J777" i="80"/>
  <c r="K776" i="80"/>
  <c r="J776" i="80"/>
  <c r="K775" i="80"/>
  <c r="J775" i="80"/>
  <c r="K774" i="80"/>
  <c r="J774" i="80"/>
  <c r="K773" i="80"/>
  <c r="J773" i="80"/>
  <c r="K772" i="80"/>
  <c r="J772" i="80"/>
  <c r="K771" i="80"/>
  <c r="J771" i="80"/>
  <c r="K770" i="80"/>
  <c r="J770" i="80"/>
  <c r="K769" i="80"/>
  <c r="J769" i="80"/>
  <c r="K768" i="80"/>
  <c r="J768" i="80"/>
  <c r="K767" i="80"/>
  <c r="J767" i="80"/>
  <c r="K766" i="80"/>
  <c r="J766" i="80"/>
  <c r="K765" i="80"/>
  <c r="J765" i="80"/>
  <c r="K764" i="80"/>
  <c r="J764" i="80"/>
  <c r="K763" i="80"/>
  <c r="J763" i="80"/>
  <c r="K762" i="80"/>
  <c r="J762" i="80"/>
  <c r="K761" i="80"/>
  <c r="J761" i="80"/>
  <c r="K760" i="80"/>
  <c r="J760" i="80"/>
  <c r="K759" i="80"/>
  <c r="J759" i="80"/>
  <c r="K758" i="80"/>
  <c r="J758" i="80"/>
  <c r="K757" i="80"/>
  <c r="J757" i="80"/>
  <c r="K756" i="80"/>
  <c r="J756" i="80"/>
  <c r="K755" i="80"/>
  <c r="J755" i="80"/>
  <c r="K754" i="80"/>
  <c r="J754" i="80"/>
  <c r="K753" i="80"/>
  <c r="J753" i="80"/>
  <c r="K752" i="80"/>
  <c r="J752" i="80"/>
  <c r="K751" i="80"/>
  <c r="J751" i="80"/>
  <c r="K750" i="80"/>
  <c r="J750" i="80"/>
  <c r="K749" i="80"/>
  <c r="J749" i="80"/>
  <c r="K748" i="80"/>
  <c r="J748" i="80"/>
  <c r="K747" i="80"/>
  <c r="J747" i="80"/>
  <c r="K746" i="80"/>
  <c r="J746" i="80"/>
  <c r="K745" i="80"/>
  <c r="J745" i="80"/>
  <c r="K744" i="80"/>
  <c r="J744" i="80"/>
  <c r="K743" i="80"/>
  <c r="J743" i="80"/>
  <c r="K742" i="80"/>
  <c r="J742" i="80"/>
  <c r="K741" i="80"/>
  <c r="J741" i="80"/>
  <c r="K740" i="80"/>
  <c r="J740" i="80"/>
  <c r="K739" i="80"/>
  <c r="J739" i="80"/>
  <c r="K738" i="80"/>
  <c r="J738" i="80"/>
  <c r="K737" i="80"/>
  <c r="J737" i="80"/>
  <c r="K736" i="80"/>
  <c r="J736" i="80"/>
  <c r="K735" i="80"/>
  <c r="J735" i="80"/>
  <c r="K734" i="80"/>
  <c r="J734" i="80"/>
  <c r="K733" i="80"/>
  <c r="J733" i="80"/>
  <c r="K732" i="80"/>
  <c r="J732" i="80"/>
  <c r="K731" i="80"/>
  <c r="J731" i="80"/>
  <c r="K730" i="80"/>
  <c r="J730" i="80"/>
  <c r="K729" i="80"/>
  <c r="J729" i="80"/>
  <c r="K728" i="80"/>
  <c r="J728" i="80"/>
  <c r="K727" i="80"/>
  <c r="J727" i="80"/>
  <c r="K726" i="80"/>
  <c r="J726" i="80"/>
  <c r="K725" i="80"/>
  <c r="J725" i="80"/>
  <c r="K724" i="80"/>
  <c r="J724" i="80"/>
  <c r="K723" i="80"/>
  <c r="J723" i="80"/>
  <c r="K722" i="80"/>
  <c r="J722" i="80"/>
  <c r="K721" i="80"/>
  <c r="J721" i="80"/>
  <c r="K720" i="80"/>
  <c r="J720" i="80"/>
  <c r="K719" i="80"/>
  <c r="J719" i="80"/>
  <c r="K718" i="80"/>
  <c r="J718" i="80"/>
  <c r="K717" i="80"/>
  <c r="J717" i="80"/>
  <c r="K716" i="80"/>
  <c r="J716" i="80"/>
  <c r="K715" i="80"/>
  <c r="J715" i="80"/>
  <c r="K714" i="80"/>
  <c r="J714" i="80"/>
  <c r="K713" i="80"/>
  <c r="J713" i="80"/>
  <c r="K712" i="80"/>
  <c r="J712" i="80"/>
  <c r="K711" i="80"/>
  <c r="J711" i="80"/>
  <c r="K710" i="80"/>
  <c r="J710" i="80"/>
  <c r="K709" i="80"/>
  <c r="J709" i="80"/>
  <c r="K708" i="80"/>
  <c r="J708" i="80"/>
  <c r="K707" i="80"/>
  <c r="J707" i="80"/>
  <c r="K706" i="80"/>
  <c r="J706" i="80"/>
  <c r="K705" i="80"/>
  <c r="J705" i="80"/>
  <c r="K704" i="80"/>
  <c r="J704" i="80"/>
  <c r="K703" i="80"/>
  <c r="J703" i="80"/>
  <c r="K702" i="80"/>
  <c r="J702" i="80"/>
  <c r="K701" i="80"/>
  <c r="J701" i="80"/>
  <c r="K700" i="80"/>
  <c r="J700" i="80"/>
  <c r="K699" i="80"/>
  <c r="J699" i="80"/>
  <c r="K698" i="80"/>
  <c r="J698" i="80"/>
  <c r="K697" i="80"/>
  <c r="J697" i="80"/>
  <c r="K696" i="80"/>
  <c r="J696" i="80"/>
  <c r="K695" i="80"/>
  <c r="J695" i="80"/>
  <c r="K694" i="80"/>
  <c r="J694" i="80"/>
  <c r="K693" i="80"/>
  <c r="J693" i="80"/>
  <c r="K692" i="80"/>
  <c r="J692" i="80"/>
  <c r="K691" i="80"/>
  <c r="J691" i="80"/>
  <c r="K690" i="80"/>
  <c r="J690" i="80"/>
  <c r="K689" i="80"/>
  <c r="J689" i="80"/>
  <c r="K688" i="80"/>
  <c r="J688" i="80"/>
  <c r="K687" i="80"/>
  <c r="J687" i="80"/>
  <c r="K686" i="80"/>
  <c r="J686" i="80"/>
  <c r="K685" i="80"/>
  <c r="J685" i="80"/>
  <c r="K684" i="80"/>
  <c r="J684" i="80"/>
  <c r="K683" i="80"/>
  <c r="J683" i="80"/>
  <c r="K682" i="80"/>
  <c r="J682" i="80"/>
  <c r="K681" i="80"/>
  <c r="J681" i="80"/>
  <c r="K680" i="80"/>
  <c r="J680" i="80"/>
  <c r="K679" i="80"/>
  <c r="J679" i="80"/>
  <c r="K678" i="80"/>
  <c r="J678" i="80"/>
  <c r="K677" i="80"/>
  <c r="J677" i="80"/>
  <c r="K676" i="80"/>
  <c r="J676" i="80"/>
  <c r="K675" i="80"/>
  <c r="J675" i="80"/>
  <c r="K674" i="80"/>
  <c r="J674" i="80"/>
  <c r="K673" i="80"/>
  <c r="J673" i="80"/>
  <c r="K672" i="80"/>
  <c r="J672" i="80"/>
  <c r="K671" i="80"/>
  <c r="J671" i="80"/>
  <c r="K670" i="80"/>
  <c r="J670" i="80"/>
  <c r="K669" i="80"/>
  <c r="J669" i="80"/>
  <c r="K668" i="80"/>
  <c r="J668" i="80"/>
  <c r="K667" i="80"/>
  <c r="J667" i="80"/>
  <c r="K666" i="80"/>
  <c r="J666" i="80"/>
  <c r="K665" i="80"/>
  <c r="J665" i="80"/>
  <c r="K664" i="80"/>
  <c r="J664" i="80"/>
  <c r="K663" i="80"/>
  <c r="J663" i="80"/>
  <c r="K662" i="80"/>
  <c r="J662" i="80"/>
  <c r="K661" i="80"/>
  <c r="J661" i="80"/>
  <c r="K660" i="80"/>
  <c r="J660" i="80"/>
  <c r="K659" i="80"/>
  <c r="J659" i="80"/>
  <c r="K658" i="80"/>
  <c r="J658" i="80"/>
  <c r="K657" i="80"/>
  <c r="J657" i="80"/>
  <c r="K656" i="80"/>
  <c r="J656" i="80"/>
  <c r="K655" i="80"/>
  <c r="J655" i="80"/>
  <c r="K654" i="80"/>
  <c r="J654" i="80"/>
  <c r="K653" i="80"/>
  <c r="J653" i="80"/>
  <c r="K652" i="80"/>
  <c r="J652" i="80"/>
  <c r="K651" i="80"/>
  <c r="J651" i="80"/>
  <c r="K650" i="80"/>
  <c r="J650" i="80"/>
  <c r="K649" i="80"/>
  <c r="J649" i="80"/>
  <c r="K648" i="80"/>
  <c r="J648" i="80"/>
  <c r="K647" i="80"/>
  <c r="J647" i="80"/>
  <c r="K646" i="80"/>
  <c r="J646" i="80"/>
  <c r="K645" i="80"/>
  <c r="J645" i="80"/>
  <c r="K644" i="80"/>
  <c r="J644" i="80"/>
  <c r="K643" i="80"/>
  <c r="J643" i="80"/>
  <c r="K642" i="80"/>
  <c r="J642" i="80"/>
  <c r="K641" i="80"/>
  <c r="J641" i="80"/>
  <c r="K640" i="80"/>
  <c r="J640" i="80"/>
  <c r="K639" i="80"/>
  <c r="J639" i="80"/>
  <c r="K638" i="80"/>
  <c r="J638" i="80"/>
  <c r="K637" i="80"/>
  <c r="J637" i="80"/>
  <c r="K636" i="80"/>
  <c r="J636" i="80"/>
  <c r="K635" i="80"/>
  <c r="J635" i="80"/>
  <c r="K634" i="80"/>
  <c r="J634" i="80"/>
  <c r="K633" i="80"/>
  <c r="J633" i="80"/>
  <c r="K632" i="80"/>
  <c r="J632" i="80"/>
  <c r="K631" i="80"/>
  <c r="J631" i="80"/>
  <c r="K630" i="80"/>
  <c r="J630" i="80"/>
  <c r="K629" i="80"/>
  <c r="J629" i="80"/>
  <c r="K628" i="80"/>
  <c r="J628" i="80"/>
  <c r="K627" i="80"/>
  <c r="J627" i="80"/>
  <c r="K626" i="80"/>
  <c r="J626" i="80"/>
  <c r="K625" i="80"/>
  <c r="J625" i="80"/>
  <c r="K624" i="80"/>
  <c r="J624" i="80"/>
  <c r="K623" i="80"/>
  <c r="J623" i="80"/>
  <c r="K622" i="80"/>
  <c r="J622" i="80"/>
  <c r="K621" i="80"/>
  <c r="J621" i="80"/>
  <c r="K620" i="80"/>
  <c r="J620" i="80"/>
  <c r="K619" i="80"/>
  <c r="J619" i="80"/>
  <c r="K618" i="80"/>
  <c r="J618" i="80"/>
  <c r="K617" i="80"/>
  <c r="J617" i="80"/>
  <c r="K616" i="80"/>
  <c r="J616" i="80"/>
  <c r="K615" i="80"/>
  <c r="J615" i="80"/>
  <c r="K614" i="80"/>
  <c r="J614" i="80"/>
  <c r="K613" i="80"/>
  <c r="J613" i="80"/>
  <c r="K612" i="80"/>
  <c r="J612" i="80"/>
  <c r="K611" i="80"/>
  <c r="J611" i="80"/>
  <c r="K610" i="80"/>
  <c r="J610" i="80"/>
  <c r="K609" i="80"/>
  <c r="J609" i="80"/>
  <c r="K608" i="80"/>
  <c r="J608" i="80"/>
  <c r="K607" i="80"/>
  <c r="J607" i="80"/>
  <c r="K606" i="80"/>
  <c r="J606" i="80"/>
  <c r="K605" i="80"/>
  <c r="J605" i="80"/>
  <c r="K604" i="80"/>
  <c r="J604" i="80"/>
  <c r="K603" i="80"/>
  <c r="J603" i="80"/>
  <c r="K602" i="80"/>
  <c r="J602" i="80"/>
  <c r="K601" i="80"/>
  <c r="J601" i="80"/>
  <c r="K600" i="80"/>
  <c r="J600" i="80"/>
  <c r="K599" i="80"/>
  <c r="J599" i="80"/>
  <c r="K598" i="80"/>
  <c r="J598" i="80"/>
  <c r="K597" i="80"/>
  <c r="J597" i="80"/>
  <c r="K596" i="80"/>
  <c r="J596" i="80"/>
  <c r="K595" i="80"/>
  <c r="J595" i="80"/>
  <c r="K594" i="80"/>
  <c r="J594" i="80"/>
  <c r="K593" i="80"/>
  <c r="J593" i="80"/>
  <c r="K592" i="80"/>
  <c r="J592" i="80"/>
  <c r="K591" i="80"/>
  <c r="J591" i="80"/>
  <c r="K590" i="80"/>
  <c r="J590" i="80"/>
  <c r="K589" i="80"/>
  <c r="J589" i="80"/>
  <c r="K588" i="80"/>
  <c r="J588" i="80"/>
  <c r="K587" i="80"/>
  <c r="J587" i="80"/>
  <c r="K586" i="80"/>
  <c r="J586" i="80"/>
  <c r="K585" i="80"/>
  <c r="J585" i="80"/>
  <c r="K584" i="80"/>
  <c r="J584" i="80"/>
  <c r="K583" i="80"/>
  <c r="J583" i="80"/>
  <c r="K582" i="80"/>
  <c r="J582" i="80"/>
  <c r="K581" i="80"/>
  <c r="J581" i="80"/>
  <c r="K580" i="80"/>
  <c r="J580" i="80"/>
  <c r="K579" i="80"/>
  <c r="J579" i="80"/>
  <c r="K578" i="80"/>
  <c r="J578" i="80"/>
  <c r="K577" i="80"/>
  <c r="J577" i="80"/>
  <c r="K576" i="80"/>
  <c r="J576" i="80"/>
  <c r="K575" i="80"/>
  <c r="J575" i="80"/>
  <c r="K574" i="80"/>
  <c r="J574" i="80"/>
  <c r="K573" i="80"/>
  <c r="J573" i="80"/>
  <c r="K572" i="80"/>
  <c r="J572" i="80"/>
  <c r="K571" i="80"/>
  <c r="J571" i="80"/>
  <c r="K570" i="80"/>
  <c r="J570" i="80"/>
  <c r="K569" i="80"/>
  <c r="J569" i="80"/>
  <c r="K568" i="80"/>
  <c r="J568" i="80"/>
  <c r="K567" i="80"/>
  <c r="J567" i="80"/>
  <c r="K566" i="80"/>
  <c r="J566" i="80"/>
  <c r="K565" i="80"/>
  <c r="J565" i="80"/>
  <c r="K564" i="80"/>
  <c r="J564" i="80"/>
  <c r="K563" i="80"/>
  <c r="J563" i="80"/>
  <c r="K562" i="80"/>
  <c r="J562" i="80"/>
  <c r="K561" i="80"/>
  <c r="J561" i="80"/>
  <c r="K560" i="80"/>
  <c r="J560" i="80"/>
  <c r="K559" i="80"/>
  <c r="J559" i="80"/>
  <c r="K558" i="80"/>
  <c r="J558" i="80"/>
  <c r="K557" i="80"/>
  <c r="J557" i="80"/>
  <c r="K556" i="80"/>
  <c r="J556" i="80"/>
  <c r="K555" i="80"/>
  <c r="J555" i="80"/>
  <c r="K554" i="80"/>
  <c r="J554" i="80"/>
  <c r="K553" i="80"/>
  <c r="J553" i="80"/>
  <c r="K552" i="80"/>
  <c r="J552" i="80"/>
  <c r="K551" i="80"/>
  <c r="J551" i="80"/>
  <c r="K550" i="80"/>
  <c r="J550" i="80"/>
  <c r="K549" i="80"/>
  <c r="J549" i="80"/>
  <c r="K548" i="80"/>
  <c r="J548" i="80"/>
  <c r="K547" i="80"/>
  <c r="J547" i="80"/>
  <c r="K546" i="80"/>
  <c r="J546" i="80"/>
  <c r="K545" i="80"/>
  <c r="J545" i="80"/>
  <c r="K544" i="80"/>
  <c r="J544" i="80"/>
  <c r="K543" i="80"/>
  <c r="J543" i="80"/>
  <c r="K542" i="80"/>
  <c r="J542" i="80"/>
  <c r="K541" i="80"/>
  <c r="J541" i="80"/>
  <c r="K540" i="80"/>
  <c r="J540" i="80"/>
  <c r="K539" i="80"/>
  <c r="J539" i="80"/>
  <c r="K538" i="80"/>
  <c r="J538" i="80"/>
  <c r="K537" i="80"/>
  <c r="J537" i="80"/>
  <c r="K536" i="80"/>
  <c r="J536" i="80"/>
  <c r="K535" i="80"/>
  <c r="J535" i="80"/>
  <c r="K534" i="80"/>
  <c r="J534" i="80"/>
  <c r="K533" i="80"/>
  <c r="J533" i="80"/>
  <c r="K532" i="80"/>
  <c r="J532" i="80"/>
  <c r="K531" i="80"/>
  <c r="J531" i="80"/>
  <c r="K530" i="80"/>
  <c r="J530" i="80"/>
  <c r="K529" i="80"/>
  <c r="J529" i="80"/>
  <c r="K528" i="80"/>
  <c r="J528" i="80"/>
  <c r="K527" i="80"/>
  <c r="J527" i="80"/>
  <c r="K526" i="80"/>
  <c r="J526" i="80"/>
  <c r="K525" i="80"/>
  <c r="J525" i="80"/>
  <c r="K524" i="80"/>
  <c r="J524" i="80"/>
  <c r="K523" i="80"/>
  <c r="J523" i="80"/>
  <c r="K522" i="80"/>
  <c r="J522" i="80"/>
  <c r="K521" i="80"/>
  <c r="J521" i="80"/>
  <c r="K520" i="80"/>
  <c r="J520" i="80"/>
  <c r="K519" i="80"/>
  <c r="J519" i="80"/>
  <c r="K518" i="80"/>
  <c r="J518" i="80"/>
  <c r="K517" i="80"/>
  <c r="J517" i="80"/>
  <c r="K516" i="80"/>
  <c r="J516" i="80"/>
  <c r="K515" i="80"/>
  <c r="J515" i="80"/>
  <c r="K514" i="80"/>
  <c r="J514" i="80"/>
  <c r="K513" i="80"/>
  <c r="J513" i="80"/>
  <c r="K512" i="80"/>
  <c r="J512" i="80"/>
  <c r="K511" i="80"/>
  <c r="J511" i="80"/>
  <c r="K510" i="80"/>
  <c r="J510" i="80"/>
  <c r="K509" i="80"/>
  <c r="J509" i="80"/>
  <c r="K508" i="80"/>
  <c r="J508" i="80"/>
  <c r="K507" i="80"/>
  <c r="J507" i="80"/>
  <c r="K506" i="80"/>
  <c r="J506" i="80"/>
  <c r="K505" i="80"/>
  <c r="J505" i="80"/>
  <c r="K504" i="80"/>
  <c r="J504" i="80"/>
  <c r="K503" i="80"/>
  <c r="J503" i="80"/>
  <c r="K502" i="80"/>
  <c r="J502" i="80"/>
  <c r="K501" i="80"/>
  <c r="J501" i="80"/>
  <c r="K500" i="80"/>
  <c r="J500" i="80"/>
  <c r="K499" i="80"/>
  <c r="J499" i="80"/>
  <c r="K498" i="80"/>
  <c r="J498" i="80"/>
  <c r="K497" i="80"/>
  <c r="J497" i="80"/>
  <c r="K496" i="80"/>
  <c r="J496" i="80"/>
  <c r="K495" i="80"/>
  <c r="J495" i="80"/>
  <c r="K494" i="80"/>
  <c r="J494" i="80"/>
  <c r="K493" i="80"/>
  <c r="J493" i="80"/>
  <c r="K492" i="80"/>
  <c r="J492" i="80"/>
  <c r="J491" i="80"/>
  <c r="K490" i="80"/>
  <c r="J490" i="80"/>
  <c r="K489" i="80"/>
  <c r="J489" i="80"/>
  <c r="K488" i="80"/>
  <c r="J488" i="80"/>
  <c r="K487" i="80"/>
  <c r="J487" i="80"/>
  <c r="K486" i="80"/>
  <c r="J486" i="80"/>
  <c r="K485" i="80"/>
  <c r="J485" i="80"/>
  <c r="K484" i="80"/>
  <c r="J484" i="80"/>
  <c r="K483" i="80"/>
  <c r="J483" i="80"/>
  <c r="K482" i="80"/>
  <c r="J482" i="80"/>
  <c r="K481" i="80"/>
  <c r="J481" i="80"/>
  <c r="K480" i="80"/>
  <c r="J480" i="80"/>
  <c r="K479" i="80"/>
  <c r="J479" i="80"/>
  <c r="K478" i="80"/>
  <c r="J478" i="80"/>
  <c r="K477" i="80"/>
  <c r="J477" i="80"/>
  <c r="K476" i="80"/>
  <c r="J476" i="80"/>
  <c r="K475" i="80"/>
  <c r="J475" i="80"/>
  <c r="K474" i="80"/>
  <c r="J474" i="80"/>
  <c r="K473" i="80"/>
  <c r="J473" i="80"/>
  <c r="K472" i="80"/>
  <c r="J472" i="80"/>
  <c r="K471" i="80"/>
  <c r="J471" i="80"/>
  <c r="K470" i="80"/>
  <c r="J470" i="80"/>
  <c r="K469" i="80"/>
  <c r="J469" i="80"/>
  <c r="K468" i="80"/>
  <c r="J468" i="80"/>
  <c r="K467" i="80"/>
  <c r="J467" i="80"/>
  <c r="K466" i="80"/>
  <c r="J466" i="80"/>
  <c r="K465" i="80"/>
  <c r="J465" i="80"/>
  <c r="K464" i="80"/>
  <c r="J464" i="80"/>
  <c r="K463" i="80"/>
  <c r="J463" i="80"/>
  <c r="K462" i="80"/>
  <c r="J462" i="80"/>
  <c r="K461" i="80"/>
  <c r="J461" i="80"/>
  <c r="K460" i="80"/>
  <c r="J460" i="80"/>
  <c r="K459" i="80"/>
  <c r="J459" i="80"/>
  <c r="K458" i="80"/>
  <c r="J458" i="80"/>
  <c r="K457" i="80"/>
  <c r="J457" i="80"/>
  <c r="K456" i="80"/>
  <c r="J456" i="80"/>
  <c r="K455" i="80"/>
  <c r="J455" i="80"/>
  <c r="K454" i="80"/>
  <c r="J454" i="80"/>
  <c r="K453" i="80"/>
  <c r="J453" i="80"/>
  <c r="K452" i="80"/>
  <c r="J452" i="80"/>
  <c r="K451" i="80"/>
  <c r="J451" i="80"/>
  <c r="K450" i="80"/>
  <c r="J450" i="80"/>
  <c r="K449" i="80"/>
  <c r="J449" i="80"/>
  <c r="K448" i="80"/>
  <c r="J448" i="80"/>
  <c r="K447" i="80"/>
  <c r="J447" i="80"/>
  <c r="K446" i="80"/>
  <c r="J446" i="80"/>
  <c r="K445" i="80"/>
  <c r="J445" i="80"/>
  <c r="K444" i="80"/>
  <c r="J444" i="80"/>
  <c r="K443" i="80"/>
  <c r="J443" i="80"/>
  <c r="K442" i="80"/>
  <c r="J442" i="80"/>
  <c r="K441" i="80"/>
  <c r="J441" i="80"/>
  <c r="K440" i="80"/>
  <c r="J440" i="80"/>
  <c r="K439" i="80"/>
  <c r="J439" i="80"/>
  <c r="K438" i="80"/>
  <c r="J438" i="80"/>
  <c r="K437" i="80"/>
  <c r="J437" i="80"/>
  <c r="K436" i="80"/>
  <c r="J436" i="80"/>
  <c r="K435" i="80"/>
  <c r="J435" i="80"/>
  <c r="K434" i="80"/>
  <c r="J434" i="80"/>
  <c r="K433" i="80"/>
  <c r="J433" i="80"/>
  <c r="K432" i="80"/>
  <c r="J432" i="80"/>
  <c r="K431" i="80"/>
  <c r="J431" i="80"/>
  <c r="K430" i="80"/>
  <c r="J430" i="80"/>
  <c r="K429" i="80"/>
  <c r="J429" i="80"/>
  <c r="K428" i="80"/>
  <c r="J428" i="80"/>
  <c r="K427" i="80"/>
  <c r="J427" i="80"/>
  <c r="K426" i="80"/>
  <c r="J426" i="80"/>
  <c r="K425" i="80"/>
  <c r="J425" i="80"/>
  <c r="K424" i="80"/>
  <c r="J424" i="80"/>
  <c r="K423" i="80"/>
  <c r="J423" i="80"/>
  <c r="K422" i="80"/>
  <c r="J422" i="80"/>
  <c r="K421" i="80"/>
  <c r="J421" i="80"/>
  <c r="K420" i="80"/>
  <c r="J420" i="80"/>
  <c r="K419" i="80"/>
  <c r="J419" i="80"/>
  <c r="K418" i="80"/>
  <c r="J418" i="80"/>
  <c r="K417" i="80"/>
  <c r="J417" i="80"/>
  <c r="K416" i="80"/>
  <c r="J416" i="80"/>
  <c r="K415" i="80"/>
  <c r="J415" i="80"/>
  <c r="K414" i="80"/>
  <c r="J414" i="80"/>
  <c r="K413" i="80"/>
  <c r="J413" i="80"/>
  <c r="K412" i="80"/>
  <c r="J412" i="80"/>
  <c r="K411" i="80"/>
  <c r="J411" i="80"/>
  <c r="K410" i="80"/>
  <c r="J410" i="80"/>
  <c r="K409" i="80"/>
  <c r="J409" i="80"/>
  <c r="K408" i="80"/>
  <c r="J408" i="80"/>
  <c r="K407" i="80"/>
  <c r="J407" i="80"/>
  <c r="K406" i="80"/>
  <c r="J406" i="80"/>
  <c r="K405" i="80"/>
  <c r="J405" i="80"/>
  <c r="K404" i="80"/>
  <c r="J404" i="80"/>
  <c r="K403" i="80"/>
  <c r="J403" i="80"/>
  <c r="K402" i="80"/>
  <c r="J402" i="80"/>
  <c r="K401" i="80"/>
  <c r="J401" i="80"/>
  <c r="K400" i="80"/>
  <c r="J400" i="80"/>
  <c r="K399" i="80"/>
  <c r="J399" i="80"/>
  <c r="K398" i="80"/>
  <c r="J398" i="80"/>
  <c r="K397" i="80"/>
  <c r="J397" i="80"/>
  <c r="K396" i="80"/>
  <c r="J396" i="80"/>
  <c r="K395" i="80"/>
  <c r="J395" i="80"/>
  <c r="K394" i="80"/>
  <c r="J394" i="80"/>
  <c r="K393" i="80"/>
  <c r="J393" i="80"/>
  <c r="K392" i="80"/>
  <c r="J392" i="80"/>
  <c r="K391" i="80"/>
  <c r="J391" i="80"/>
  <c r="K390" i="80"/>
  <c r="J390" i="80"/>
  <c r="K389" i="80"/>
  <c r="J389" i="80"/>
  <c r="K388" i="80"/>
  <c r="J388" i="80"/>
  <c r="K387" i="80"/>
  <c r="J387" i="80"/>
  <c r="K386" i="80"/>
  <c r="J386" i="80"/>
  <c r="K385" i="80"/>
  <c r="J385" i="80"/>
  <c r="K384" i="80"/>
  <c r="J384" i="80"/>
  <c r="K383" i="80"/>
  <c r="J383" i="80"/>
  <c r="K382" i="80"/>
  <c r="J382" i="80"/>
  <c r="K381" i="80"/>
  <c r="J381" i="80"/>
  <c r="K380" i="80"/>
  <c r="J380" i="80"/>
  <c r="K379" i="80"/>
  <c r="J379" i="80"/>
  <c r="K378" i="80"/>
  <c r="J378" i="80"/>
  <c r="K377" i="80"/>
  <c r="J377" i="80"/>
  <c r="K376" i="80"/>
  <c r="J376" i="80"/>
  <c r="K375" i="80"/>
  <c r="J375" i="80"/>
  <c r="K374" i="80"/>
  <c r="J374" i="80"/>
  <c r="K373" i="80"/>
  <c r="J373" i="80"/>
  <c r="K372" i="80"/>
  <c r="J372" i="80"/>
  <c r="K371" i="80"/>
  <c r="J371" i="80"/>
  <c r="K370" i="80"/>
  <c r="J370" i="80"/>
  <c r="K369" i="80"/>
  <c r="J369" i="80"/>
  <c r="K368" i="80"/>
  <c r="J368" i="80"/>
  <c r="K367" i="80"/>
  <c r="J367" i="80"/>
  <c r="K366" i="80"/>
  <c r="J366" i="80"/>
  <c r="K365" i="80"/>
  <c r="J365" i="80"/>
  <c r="K364" i="80"/>
  <c r="J364" i="80"/>
  <c r="K363" i="80"/>
  <c r="J363" i="80"/>
  <c r="K362" i="80"/>
  <c r="J362" i="80"/>
  <c r="K361" i="80"/>
  <c r="J361" i="80"/>
  <c r="K360" i="80"/>
  <c r="J360" i="80"/>
  <c r="K359" i="80"/>
  <c r="J359" i="80"/>
  <c r="K358" i="80"/>
  <c r="J358" i="80"/>
  <c r="K357" i="80"/>
  <c r="J357" i="80"/>
  <c r="K356" i="80"/>
  <c r="J356" i="80"/>
  <c r="K355" i="80"/>
  <c r="J355" i="80"/>
  <c r="K354" i="80"/>
  <c r="J354" i="80"/>
  <c r="K353" i="80"/>
  <c r="J353" i="80"/>
  <c r="K352" i="80"/>
  <c r="J352" i="80"/>
  <c r="K351" i="80"/>
  <c r="J351" i="80"/>
  <c r="K350" i="80"/>
  <c r="J350" i="80"/>
  <c r="K349" i="80"/>
  <c r="J349" i="80"/>
  <c r="K348" i="80"/>
  <c r="J348" i="80"/>
  <c r="K347" i="80"/>
  <c r="J347" i="80"/>
  <c r="K346" i="80"/>
  <c r="J346" i="80"/>
  <c r="K345" i="80"/>
  <c r="J345" i="80"/>
  <c r="K344" i="80"/>
  <c r="J344" i="80"/>
  <c r="K343" i="80"/>
  <c r="J343" i="80"/>
  <c r="K342" i="80"/>
  <c r="J342" i="80"/>
  <c r="K341" i="80"/>
  <c r="J341" i="80"/>
  <c r="K340" i="80"/>
  <c r="J340" i="80"/>
  <c r="K339" i="80"/>
  <c r="J339" i="80"/>
  <c r="K338" i="80"/>
  <c r="J338" i="80"/>
  <c r="K337" i="80"/>
  <c r="J337" i="80"/>
  <c r="K336" i="80"/>
  <c r="J336" i="80"/>
  <c r="K335" i="80"/>
  <c r="J335" i="80"/>
  <c r="K334" i="80"/>
  <c r="J334" i="80"/>
  <c r="K333" i="80"/>
  <c r="J333" i="80"/>
  <c r="K332" i="80"/>
  <c r="J332" i="80"/>
  <c r="K331" i="80"/>
  <c r="J331" i="80"/>
  <c r="K330" i="80"/>
  <c r="J330" i="80"/>
  <c r="K329" i="80"/>
  <c r="J329" i="80"/>
  <c r="K328" i="80"/>
  <c r="J328" i="80"/>
  <c r="K327" i="80"/>
  <c r="J327" i="80"/>
  <c r="K326" i="80"/>
  <c r="J326" i="80"/>
  <c r="K325" i="80"/>
  <c r="J325" i="80"/>
  <c r="K324" i="80"/>
  <c r="J324" i="80"/>
  <c r="K323" i="80"/>
  <c r="J323" i="80"/>
  <c r="K322" i="80"/>
  <c r="J322" i="80"/>
  <c r="K321" i="80"/>
  <c r="J321" i="80"/>
  <c r="K320" i="80"/>
  <c r="J320" i="80"/>
  <c r="K319" i="80"/>
  <c r="J319" i="80"/>
  <c r="K318" i="80"/>
  <c r="J318" i="80"/>
  <c r="K317" i="80"/>
  <c r="J317" i="80"/>
  <c r="K316" i="80"/>
  <c r="J316" i="80"/>
  <c r="K315" i="80"/>
  <c r="J315" i="80"/>
  <c r="K314" i="80"/>
  <c r="J314" i="80"/>
  <c r="K313" i="80"/>
  <c r="J313" i="80"/>
  <c r="K312" i="80"/>
  <c r="J312" i="80"/>
  <c r="K311" i="80"/>
  <c r="J311" i="80"/>
  <c r="K310" i="80"/>
  <c r="J310" i="80"/>
  <c r="K309" i="80"/>
  <c r="J309" i="80"/>
  <c r="K308" i="80"/>
  <c r="J308" i="80"/>
  <c r="K307" i="80"/>
  <c r="J307" i="80"/>
  <c r="K306" i="80"/>
  <c r="J306" i="80"/>
  <c r="K305" i="80"/>
  <c r="J305" i="80"/>
  <c r="K304" i="80"/>
  <c r="J304" i="80"/>
  <c r="K303" i="80"/>
  <c r="J303" i="80"/>
  <c r="K302" i="80"/>
  <c r="J302" i="80"/>
  <c r="K301" i="80"/>
  <c r="J301" i="80"/>
  <c r="K300" i="80"/>
  <c r="J300" i="80"/>
  <c r="K299" i="80"/>
  <c r="J299" i="80"/>
  <c r="K298" i="80"/>
  <c r="J298" i="80"/>
  <c r="K297" i="80"/>
  <c r="J297" i="80"/>
  <c r="K296" i="80"/>
  <c r="J296" i="80"/>
  <c r="K295" i="80"/>
  <c r="J295" i="80"/>
  <c r="K294" i="80"/>
  <c r="J294" i="80"/>
  <c r="K293" i="80"/>
  <c r="J293" i="80"/>
  <c r="K292" i="80"/>
  <c r="J292" i="80"/>
  <c r="K291" i="80"/>
  <c r="J291" i="80"/>
  <c r="K290" i="80"/>
  <c r="J290" i="80"/>
  <c r="K289" i="80"/>
  <c r="J289" i="80"/>
  <c r="K288" i="80"/>
  <c r="J288" i="80"/>
  <c r="K287" i="80"/>
  <c r="J287" i="80"/>
  <c r="K286" i="80"/>
  <c r="J286" i="80"/>
  <c r="K285" i="80"/>
  <c r="J285" i="80"/>
  <c r="K284" i="80"/>
  <c r="J284" i="80"/>
  <c r="K283" i="80"/>
  <c r="J283" i="80"/>
  <c r="K282" i="80"/>
  <c r="J282" i="80"/>
  <c r="K281" i="80"/>
  <c r="J281" i="80"/>
  <c r="K280" i="80"/>
  <c r="J280" i="80"/>
  <c r="K279" i="80"/>
  <c r="J279" i="80"/>
  <c r="K278" i="80"/>
  <c r="J278" i="80"/>
  <c r="K277" i="80"/>
  <c r="J277" i="80"/>
  <c r="K276" i="80"/>
  <c r="J276" i="80"/>
  <c r="K275" i="80"/>
  <c r="J275" i="80"/>
  <c r="K274" i="80"/>
  <c r="J274" i="80"/>
  <c r="K273" i="80"/>
  <c r="J273" i="80"/>
  <c r="K272" i="80"/>
  <c r="J272" i="80"/>
  <c r="K271" i="80"/>
  <c r="J271" i="80"/>
  <c r="K270" i="80"/>
  <c r="J270" i="80"/>
  <c r="K269" i="80"/>
  <c r="J269" i="80"/>
  <c r="K268" i="80"/>
  <c r="J268" i="80"/>
  <c r="K267" i="80"/>
  <c r="J267" i="80"/>
  <c r="K266" i="80"/>
  <c r="J266" i="80"/>
  <c r="K265" i="80"/>
  <c r="J265" i="80"/>
  <c r="K264" i="80"/>
  <c r="J264" i="80"/>
  <c r="K263" i="80"/>
  <c r="J263" i="80"/>
  <c r="K262" i="80"/>
  <c r="J262" i="80"/>
  <c r="K261" i="80"/>
  <c r="J261" i="80"/>
  <c r="K260" i="80"/>
  <c r="J260" i="80"/>
  <c r="K259" i="80"/>
  <c r="J259" i="80"/>
  <c r="K258" i="80"/>
  <c r="J258" i="80"/>
  <c r="K257" i="80"/>
  <c r="J257" i="80"/>
  <c r="K256" i="80"/>
  <c r="J256" i="80"/>
  <c r="K255" i="80"/>
  <c r="J255" i="80"/>
  <c r="K254" i="80"/>
  <c r="J254" i="80"/>
  <c r="K253" i="80"/>
  <c r="J253" i="80"/>
  <c r="K252" i="80"/>
  <c r="J252" i="80"/>
  <c r="K251" i="80"/>
  <c r="J251" i="80"/>
  <c r="K250" i="80"/>
  <c r="J250" i="80"/>
  <c r="K249" i="80"/>
  <c r="J249" i="80"/>
  <c r="K248" i="80"/>
  <c r="J248" i="80"/>
  <c r="K247" i="80"/>
  <c r="J247" i="80"/>
  <c r="K246" i="80"/>
  <c r="J246" i="80"/>
  <c r="K245" i="80"/>
  <c r="J245" i="80"/>
  <c r="K244" i="80"/>
  <c r="J244" i="80"/>
  <c r="K243" i="80"/>
  <c r="J243" i="80"/>
  <c r="K242" i="80"/>
  <c r="J242" i="80"/>
  <c r="K241" i="80"/>
  <c r="J241" i="80"/>
  <c r="K240" i="80"/>
  <c r="J240" i="80"/>
  <c r="K239" i="80"/>
  <c r="J239" i="80"/>
  <c r="K238" i="80"/>
  <c r="J238" i="80"/>
  <c r="K237" i="80"/>
  <c r="J237" i="80"/>
  <c r="K236" i="80"/>
  <c r="J236" i="80"/>
  <c r="K235" i="80"/>
  <c r="J235" i="80"/>
  <c r="K234" i="80"/>
  <c r="J234" i="80"/>
  <c r="K233" i="80"/>
  <c r="J233" i="80"/>
  <c r="K232" i="80"/>
  <c r="J232" i="80"/>
  <c r="K231" i="80"/>
  <c r="J231" i="80"/>
  <c r="K230" i="80"/>
  <c r="J230" i="80"/>
  <c r="K229" i="80"/>
  <c r="J229" i="80"/>
  <c r="K228" i="80"/>
  <c r="J228" i="80"/>
  <c r="K227" i="80"/>
  <c r="J227" i="80"/>
  <c r="K226" i="80"/>
  <c r="J226" i="80"/>
  <c r="K225" i="80"/>
  <c r="J225" i="80"/>
  <c r="K224" i="80"/>
  <c r="J224" i="80"/>
  <c r="K223" i="80"/>
  <c r="J223" i="80"/>
  <c r="K222" i="80"/>
  <c r="J222" i="80"/>
  <c r="K221" i="80"/>
  <c r="J221" i="80"/>
  <c r="K220" i="80"/>
  <c r="J220" i="80"/>
  <c r="K219" i="80"/>
  <c r="J219" i="80"/>
  <c r="K218" i="80"/>
  <c r="J218" i="80"/>
  <c r="K217" i="80"/>
  <c r="J217" i="80"/>
  <c r="K216" i="80"/>
  <c r="J216" i="80"/>
  <c r="K215" i="80"/>
  <c r="J215" i="80"/>
  <c r="K214" i="80"/>
  <c r="J214" i="80"/>
  <c r="K213" i="80"/>
  <c r="J213" i="80"/>
  <c r="K212" i="80"/>
  <c r="J212" i="80"/>
  <c r="K211" i="80"/>
  <c r="J211" i="80"/>
  <c r="K210" i="80"/>
  <c r="J210" i="80"/>
  <c r="K209" i="80"/>
  <c r="J209" i="80"/>
  <c r="K208" i="80"/>
  <c r="J208" i="80"/>
  <c r="K207" i="80"/>
  <c r="J207" i="80"/>
  <c r="K206" i="80"/>
  <c r="J206" i="80"/>
  <c r="K205" i="80"/>
  <c r="J205" i="80"/>
  <c r="K204" i="80"/>
  <c r="J204" i="80"/>
  <c r="K203" i="80"/>
  <c r="J203" i="80"/>
  <c r="K202" i="80"/>
  <c r="J202" i="80"/>
  <c r="K201" i="80"/>
  <c r="J201" i="80"/>
  <c r="K200" i="80"/>
  <c r="J200" i="80"/>
  <c r="K199" i="80"/>
  <c r="J199" i="80"/>
  <c r="K198" i="80"/>
  <c r="J198" i="80"/>
  <c r="K197" i="80"/>
  <c r="J197" i="80"/>
  <c r="K196" i="80"/>
  <c r="J196" i="80"/>
  <c r="K195" i="80"/>
  <c r="J195" i="80"/>
  <c r="K194" i="80"/>
  <c r="J194" i="80"/>
  <c r="K193" i="80"/>
  <c r="J193" i="80"/>
  <c r="K192" i="80"/>
  <c r="J192" i="80"/>
  <c r="K191" i="80"/>
  <c r="J191" i="80"/>
  <c r="K190" i="80"/>
  <c r="J190" i="80"/>
  <c r="K189" i="80"/>
  <c r="J189" i="80"/>
  <c r="K188" i="80"/>
  <c r="J188" i="80"/>
  <c r="K187" i="80"/>
  <c r="J187" i="80"/>
  <c r="K186" i="80"/>
  <c r="J186" i="80"/>
  <c r="K185" i="80"/>
  <c r="J185" i="80"/>
  <c r="K184" i="80"/>
  <c r="J184" i="80"/>
  <c r="K183" i="80"/>
  <c r="J183" i="80"/>
  <c r="K182" i="80"/>
  <c r="J182" i="80"/>
  <c r="K181" i="80"/>
  <c r="J181" i="80"/>
  <c r="K180" i="80"/>
  <c r="J180" i="80"/>
  <c r="K179" i="80"/>
  <c r="J179" i="80"/>
  <c r="K178" i="80"/>
  <c r="J178" i="80"/>
  <c r="K177" i="80"/>
  <c r="J177" i="80"/>
  <c r="K176" i="80"/>
  <c r="J176" i="80"/>
  <c r="K175" i="80"/>
  <c r="J175" i="80"/>
  <c r="K174" i="80"/>
  <c r="J174" i="80"/>
  <c r="K173" i="80"/>
  <c r="J173" i="80"/>
  <c r="K172" i="80"/>
  <c r="J172" i="80"/>
  <c r="K171" i="80"/>
  <c r="J171" i="80"/>
  <c r="K170" i="80"/>
  <c r="J170" i="80"/>
  <c r="K169" i="80"/>
  <c r="J169" i="80"/>
  <c r="K168" i="80"/>
  <c r="J168" i="80"/>
  <c r="K167" i="80"/>
  <c r="J167" i="80"/>
  <c r="K166" i="80"/>
  <c r="J166" i="80"/>
  <c r="K165" i="80"/>
  <c r="J165" i="80"/>
  <c r="K164" i="80"/>
  <c r="J164" i="80"/>
  <c r="K163" i="80"/>
  <c r="J163" i="80"/>
  <c r="K162" i="80"/>
  <c r="J162" i="80"/>
  <c r="K161" i="80"/>
  <c r="J161" i="80"/>
  <c r="K160" i="80"/>
  <c r="J160" i="80"/>
  <c r="K159" i="80"/>
  <c r="J159" i="80"/>
  <c r="K158" i="80"/>
  <c r="J158" i="80"/>
  <c r="K157" i="80"/>
  <c r="J157" i="80"/>
  <c r="K156" i="80"/>
  <c r="J156" i="80"/>
  <c r="K155" i="80"/>
  <c r="J155" i="80"/>
  <c r="K154" i="80"/>
  <c r="J154" i="80"/>
  <c r="K153" i="80"/>
  <c r="J153" i="80"/>
  <c r="K152" i="80"/>
  <c r="J152" i="80"/>
  <c r="K151" i="80"/>
  <c r="J151" i="80"/>
  <c r="K150" i="80"/>
  <c r="J150" i="80"/>
  <c r="K149" i="80"/>
  <c r="J149" i="80"/>
  <c r="K148" i="80"/>
  <c r="J148" i="80"/>
  <c r="K147" i="80"/>
  <c r="J147" i="80"/>
  <c r="K146" i="80"/>
  <c r="J146" i="80"/>
  <c r="K145" i="80"/>
  <c r="J145" i="80"/>
  <c r="K144" i="80"/>
  <c r="J144" i="80"/>
  <c r="K143" i="80"/>
  <c r="J143" i="80"/>
  <c r="K142" i="80"/>
  <c r="J142" i="80"/>
  <c r="K141" i="80"/>
  <c r="J141" i="80"/>
  <c r="K140" i="80"/>
  <c r="J140" i="80"/>
  <c r="K139" i="80"/>
  <c r="J139" i="80"/>
  <c r="K138" i="80"/>
  <c r="J138" i="80"/>
  <c r="K137" i="80"/>
  <c r="J137" i="80"/>
  <c r="K136" i="80"/>
  <c r="J136" i="80"/>
  <c r="K135" i="80"/>
  <c r="J135" i="80"/>
  <c r="K134" i="80"/>
  <c r="J134" i="80"/>
  <c r="K133" i="80"/>
  <c r="J133" i="80"/>
  <c r="K132" i="80"/>
  <c r="J132" i="80"/>
  <c r="K131" i="80"/>
  <c r="J131" i="80"/>
  <c r="K130" i="80"/>
  <c r="J130" i="80"/>
  <c r="K129" i="80"/>
  <c r="J129" i="80"/>
  <c r="K128" i="80"/>
  <c r="J128" i="80"/>
  <c r="K127" i="80"/>
  <c r="J127" i="80"/>
  <c r="K126" i="80"/>
  <c r="J126" i="80"/>
  <c r="K125" i="80"/>
  <c r="J125" i="80"/>
  <c r="K124" i="80"/>
  <c r="J124" i="80"/>
  <c r="K123" i="80"/>
  <c r="J123" i="80"/>
  <c r="K122" i="80"/>
  <c r="J122" i="80"/>
  <c r="K121" i="80"/>
  <c r="J121" i="80"/>
  <c r="K120" i="80"/>
  <c r="J120" i="80"/>
  <c r="K119" i="80"/>
  <c r="J119" i="80"/>
  <c r="K118" i="80"/>
  <c r="J118" i="80"/>
  <c r="K117" i="80"/>
  <c r="J117" i="80"/>
  <c r="K116" i="80"/>
  <c r="J116" i="80"/>
  <c r="K115" i="80"/>
  <c r="J115" i="80"/>
  <c r="K114" i="80"/>
  <c r="J114" i="80"/>
  <c r="K113" i="80"/>
  <c r="J113" i="80"/>
  <c r="K112" i="80"/>
  <c r="J112" i="80"/>
  <c r="K111" i="80"/>
  <c r="J111" i="80"/>
  <c r="K110" i="80"/>
  <c r="J110" i="80"/>
  <c r="K109" i="80"/>
  <c r="J109" i="80"/>
  <c r="K108" i="80"/>
  <c r="J108" i="80"/>
  <c r="K107" i="80"/>
  <c r="J107" i="80"/>
  <c r="K106" i="80"/>
  <c r="J106" i="80"/>
  <c r="K105" i="80"/>
  <c r="J105" i="80"/>
  <c r="K104" i="80"/>
  <c r="J104" i="80"/>
  <c r="K103" i="80"/>
  <c r="J103" i="80"/>
  <c r="K102" i="80"/>
  <c r="J102" i="80"/>
  <c r="K101" i="80"/>
  <c r="J101" i="80"/>
  <c r="K100" i="80"/>
  <c r="J100" i="80"/>
  <c r="K99" i="80"/>
  <c r="J99" i="80"/>
  <c r="K98" i="80"/>
  <c r="J98" i="80"/>
  <c r="K97" i="80"/>
  <c r="J97" i="80"/>
  <c r="K96" i="80"/>
  <c r="J96" i="80"/>
  <c r="K95" i="80"/>
  <c r="J95" i="80"/>
  <c r="K94" i="80"/>
  <c r="J94" i="80"/>
  <c r="K93" i="80"/>
  <c r="J93" i="80"/>
  <c r="K92" i="80"/>
  <c r="J92" i="80"/>
  <c r="K91" i="80"/>
  <c r="J91" i="80"/>
  <c r="K90" i="80"/>
  <c r="J90" i="80"/>
  <c r="K89" i="80"/>
  <c r="J89" i="80"/>
  <c r="K88" i="80"/>
  <c r="J88" i="80"/>
  <c r="K87" i="80"/>
  <c r="J87" i="80"/>
  <c r="K86" i="80"/>
  <c r="J86" i="80"/>
  <c r="K85" i="80"/>
  <c r="J85" i="80"/>
  <c r="K84" i="80"/>
  <c r="J84" i="80"/>
  <c r="K83" i="80"/>
  <c r="J83" i="80"/>
  <c r="K82" i="80"/>
  <c r="J82" i="80"/>
  <c r="K81" i="80"/>
  <c r="J81" i="80"/>
  <c r="K80" i="80"/>
  <c r="J80" i="80"/>
  <c r="K79" i="80"/>
  <c r="J79" i="80"/>
  <c r="K78" i="80"/>
  <c r="J78" i="80"/>
  <c r="K77" i="80"/>
  <c r="J77" i="80"/>
  <c r="K76" i="80"/>
  <c r="J76" i="80"/>
  <c r="K75" i="80"/>
  <c r="J75" i="80"/>
  <c r="K74" i="80"/>
  <c r="J74" i="80"/>
  <c r="K73" i="80"/>
  <c r="J73" i="80"/>
  <c r="K72" i="80"/>
  <c r="J72" i="80"/>
  <c r="K71" i="80"/>
  <c r="J71" i="80"/>
  <c r="K70" i="80"/>
  <c r="J70" i="80"/>
  <c r="K69" i="80"/>
  <c r="J69" i="80"/>
  <c r="K68" i="80"/>
  <c r="J68" i="80"/>
  <c r="K67" i="80"/>
  <c r="J67" i="80"/>
  <c r="K66" i="80"/>
  <c r="J66" i="80"/>
  <c r="K65" i="80"/>
  <c r="J65" i="80"/>
  <c r="K64" i="80"/>
  <c r="J64" i="80"/>
  <c r="K63" i="80"/>
  <c r="J63" i="80"/>
  <c r="K62" i="80"/>
  <c r="J62" i="80"/>
  <c r="K61" i="80"/>
  <c r="J61" i="80"/>
  <c r="K60" i="80"/>
  <c r="J60" i="80"/>
  <c r="K59" i="80"/>
  <c r="J59" i="80"/>
  <c r="K58" i="80"/>
  <c r="J58" i="80"/>
  <c r="K57" i="80"/>
  <c r="J57" i="80"/>
  <c r="K56" i="80"/>
  <c r="J56" i="80"/>
  <c r="K55" i="80"/>
  <c r="J55" i="80"/>
  <c r="K54" i="80"/>
  <c r="J54" i="80"/>
  <c r="K53" i="80"/>
  <c r="J53" i="80"/>
  <c r="K52" i="80"/>
  <c r="J52" i="80"/>
  <c r="K51" i="80"/>
  <c r="J51" i="80"/>
  <c r="K50" i="80"/>
  <c r="J50" i="80"/>
  <c r="K49" i="80"/>
  <c r="J49" i="80"/>
  <c r="K48" i="80"/>
  <c r="J48" i="80"/>
  <c r="K47" i="80"/>
  <c r="J47" i="80"/>
  <c r="K46" i="80"/>
  <c r="J46" i="80"/>
  <c r="K45" i="80"/>
  <c r="J45" i="80"/>
  <c r="K44" i="80"/>
  <c r="J44" i="80"/>
  <c r="K43" i="80"/>
  <c r="J43" i="80"/>
  <c r="K42" i="80"/>
  <c r="J42" i="80"/>
  <c r="K41" i="80"/>
  <c r="J41" i="80"/>
  <c r="K40" i="80"/>
  <c r="J40" i="80"/>
  <c r="K39" i="80"/>
  <c r="J39" i="80"/>
  <c r="K38" i="80"/>
  <c r="J38" i="80"/>
  <c r="K37" i="80"/>
  <c r="J37" i="80"/>
  <c r="K36" i="80"/>
  <c r="J36" i="80"/>
  <c r="K35" i="80"/>
  <c r="J35" i="80"/>
  <c r="K34" i="80"/>
  <c r="J34" i="80"/>
  <c r="K33" i="80"/>
  <c r="J33" i="80"/>
  <c r="K32" i="80"/>
  <c r="J32" i="80"/>
  <c r="K31" i="80"/>
  <c r="J31" i="80"/>
  <c r="K30" i="80"/>
  <c r="J30" i="80"/>
  <c r="K29" i="80"/>
  <c r="J29" i="80"/>
  <c r="K28" i="80"/>
  <c r="J28" i="80"/>
  <c r="K27" i="80"/>
  <c r="J27" i="80"/>
  <c r="K26" i="80"/>
  <c r="J26" i="80"/>
  <c r="K25" i="80"/>
  <c r="J25" i="80"/>
  <c r="K24" i="80"/>
  <c r="J24" i="80"/>
  <c r="K23" i="80"/>
  <c r="J23" i="80"/>
  <c r="K22" i="80"/>
  <c r="J22" i="80"/>
  <c r="K21" i="80"/>
  <c r="J21" i="80"/>
  <c r="K20" i="80"/>
  <c r="J20" i="80"/>
  <c r="K19" i="80"/>
  <c r="J19" i="80"/>
  <c r="I13" i="80"/>
  <c r="E13" i="80"/>
  <c r="K13" i="3" s="1"/>
  <c r="F20" i="6" s="1"/>
  <c r="I12" i="80"/>
  <c r="H12" i="80"/>
  <c r="I11" i="80"/>
  <c r="H11" i="80"/>
  <c r="I10" i="80"/>
  <c r="H10" i="80"/>
  <c r="I9" i="80"/>
  <c r="H9" i="80"/>
  <c r="I8" i="80"/>
  <c r="H8" i="80"/>
  <c r="I7" i="80"/>
  <c r="H7" i="80"/>
  <c r="I6" i="80"/>
  <c r="H6" i="80"/>
  <c r="I5" i="80"/>
  <c r="H5" i="80"/>
  <c r="I4" i="80"/>
  <c r="H4" i="80"/>
  <c r="I3" i="80"/>
  <c r="H3" i="80"/>
  <c r="J990" i="80"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34" i="79"/>
  <c r="W34" i="79" s="1"/>
  <c r="U40" i="79"/>
  <c r="AD41" i="79"/>
  <c r="S42" i="79"/>
  <c r="U44" i="79"/>
  <c r="AD45" i="79"/>
  <c r="Z3" i="79"/>
  <c r="AA28" i="79"/>
  <c r="AD28"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F21" i="71" s="1"/>
  <c r="F20" i="71" s="1"/>
  <c r="F19" i="71" s="1"/>
  <c r="F18" i="71" s="1"/>
  <c r="F17"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B14" i="74" s="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D37" i="71"/>
  <c r="Q36" i="71"/>
  <c r="AB36" i="71" s="1"/>
  <c r="P36" i="71"/>
  <c r="O36" i="71"/>
  <c r="N36" i="71"/>
  <c r="Q35" i="71"/>
  <c r="AB35" i="71" s="1"/>
  <c r="P35" i="71"/>
  <c r="O35" i="71"/>
  <c r="N35" i="71"/>
  <c r="X34" i="71" s="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C30" i="71"/>
  <c r="X31" i="71"/>
  <c r="C38" i="71"/>
  <c r="D38" i="71" s="1"/>
  <c r="F51" i="71"/>
  <c r="F52" i="71" s="1"/>
  <c r="V52" i="71" s="1"/>
  <c r="B28" i="71"/>
  <c r="B27" i="71" s="1"/>
  <c r="B26" i="71"/>
  <c r="D30" i="71"/>
  <c r="P28" i="71"/>
  <c r="E28" i="71" s="1"/>
  <c r="U68" i="71"/>
  <c r="E67" i="71"/>
  <c r="E66" i="71" s="1"/>
  <c r="Q28" i="71"/>
  <c r="F28" i="71" s="1"/>
  <c r="F27" i="71" s="1"/>
  <c r="F26" i="71" s="1"/>
  <c r="C63" i="71"/>
  <c r="C64" i="71" s="1"/>
  <c r="D62" i="71"/>
  <c r="D68" i="71"/>
  <c r="Q68" i="71"/>
  <c r="E71" i="71"/>
  <c r="E70" i="71"/>
  <c r="C75" i="71"/>
  <c r="D76" i="71"/>
  <c r="D80" i="71"/>
  <c r="AA3" i="71"/>
  <c r="D75" i="71"/>
  <c r="C74" i="71"/>
  <c r="D74"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U29" i="39"/>
  <c r="W29" i="39"/>
  <c r="AB21" i="37"/>
  <c r="U21" i="37"/>
  <c r="U21" i="34"/>
  <c r="AB21" i="33"/>
  <c r="J21" i="37"/>
  <c r="W21" i="37" s="1"/>
  <c r="J21" i="34"/>
  <c r="W21" i="34" s="1"/>
  <c r="J21" i="33"/>
  <c r="W21" i="33" s="1"/>
  <c r="H21" i="21"/>
  <c r="U21" i="21" s="1"/>
  <c r="F38" i="69"/>
  <c r="E37" i="69"/>
  <c r="F36" i="69"/>
  <c r="F35" i="69"/>
  <c r="F21" i="69"/>
  <c r="F40" i="69" s="1"/>
  <c r="F20" i="69"/>
  <c r="F39" i="69" s="1"/>
  <c r="E10" i="69"/>
  <c r="E9" i="69"/>
  <c r="C7" i="69"/>
  <c r="AC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D8" i="31"/>
  <c r="D6" i="31"/>
  <c r="E6" i="31" s="1"/>
  <c r="F6" i="31" s="1"/>
  <c r="B2" i="1"/>
  <c r="C7" i="85" s="1"/>
  <c r="C59" i="85" s="1"/>
  <c r="E15" i="4"/>
  <c r="F8" i="1" s="1"/>
  <c r="G8" i="1" s="1"/>
  <c r="A7" i="1"/>
  <c r="B7" i="1" s="1"/>
  <c r="E7" i="1" s="1"/>
  <c r="A8" i="1"/>
  <c r="B8" i="1" s="1"/>
  <c r="E8" i="1" s="1"/>
  <c r="A9" i="1"/>
  <c r="A10" i="1"/>
  <c r="B10" i="1" s="1"/>
  <c r="E10" i="1" s="1"/>
  <c r="A11" i="1"/>
  <c r="B11" i="1" s="1"/>
  <c r="E11" i="1" s="1"/>
  <c r="A12" i="1"/>
  <c r="A13" i="1"/>
  <c r="B13" i="1" s="1"/>
  <c r="E13" i="1" s="1"/>
  <c r="A6" i="1"/>
  <c r="G1" i="8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c r="Q23" i="36"/>
  <c r="Z23" i="36"/>
  <c r="AB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J25" i="35" s="1"/>
  <c r="AC25" i="35" s="1"/>
  <c r="B75" i="35"/>
  <c r="J24" i="35" s="1"/>
  <c r="AC24" i="35" s="1"/>
  <c r="B73" i="35"/>
  <c r="J23" i="35" s="1"/>
  <c r="AC23" i="35" s="1"/>
  <c r="B57" i="35"/>
  <c r="F11" i="35" s="1"/>
  <c r="S11" i="35" s="1"/>
  <c r="B61" i="35"/>
  <c r="B59" i="35"/>
  <c r="F12" i="35" s="1"/>
  <c r="B131" i="34"/>
  <c r="B129" i="34"/>
  <c r="B127" i="34"/>
  <c r="B99" i="34"/>
  <c r="B97" i="34"/>
  <c r="B95" i="34"/>
  <c r="F30" i="34" s="1"/>
  <c r="S30" i="34" s="1"/>
  <c r="B93" i="34"/>
  <c r="B75" i="34"/>
  <c r="B73" i="34"/>
  <c r="B71" i="34"/>
  <c r="B130" i="33"/>
  <c r="B128" i="33"/>
  <c r="B126" i="33"/>
  <c r="B98" i="33"/>
  <c r="B96" i="33"/>
  <c r="B94" i="33"/>
  <c r="B74" i="33"/>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Q38" i="33"/>
  <c r="Z38" i="33" s="1"/>
  <c r="F38" i="33"/>
  <c r="Q37" i="33"/>
  <c r="Z37" i="33" s="1"/>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s="1"/>
  <c r="B96" i="21"/>
  <c r="H30" i="21" s="1"/>
  <c r="B94" i="21"/>
  <c r="J29" i="21" s="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F36" i="39"/>
  <c r="S36" i="39" s="1"/>
  <c r="J35" i="39"/>
  <c r="AC35" i="39" s="1"/>
  <c r="F35" i="39"/>
  <c r="AA35" i="39" s="1"/>
  <c r="U9"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AA36" i="34" s="1"/>
  <c r="J35" i="34"/>
  <c r="AC35" i="34" s="1"/>
  <c r="S40" i="33"/>
  <c r="S27" i="35"/>
  <c r="F11" i="40"/>
  <c r="AA11" i="40" s="1"/>
  <c r="H11" i="40"/>
  <c r="AB11" i="40" s="1"/>
  <c r="W8" i="40"/>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W31" i="39" s="1"/>
  <c r="F100" i="39"/>
  <c r="H27" i="39"/>
  <c r="U27" i="39" s="1"/>
  <c r="J19" i="39"/>
  <c r="AC19" i="39" s="1"/>
  <c r="J17" i="39"/>
  <c r="J27" i="39"/>
  <c r="AC27" i="39" s="1"/>
  <c r="F27" i="39"/>
  <c r="F11" i="21"/>
  <c r="S11" i="21" s="1"/>
  <c r="H11" i="39"/>
  <c r="S40" i="39"/>
  <c r="C15" i="39"/>
  <c r="H11" i="21"/>
  <c r="U11" i="21" s="1"/>
  <c r="J11" i="21"/>
  <c r="W11" i="21" s="1"/>
  <c r="H37" i="40"/>
  <c r="U37" i="40" s="1"/>
  <c r="H36" i="40"/>
  <c r="AB36" i="40" s="1"/>
  <c r="F35" i="40"/>
  <c r="AA35" i="40" s="1"/>
  <c r="H23" i="40"/>
  <c r="AB23" i="40" s="1"/>
  <c r="H17" i="40"/>
  <c r="U17" i="40" s="1"/>
  <c r="J15" i="40"/>
  <c r="W15" i="40" s="1"/>
  <c r="J11" i="40"/>
  <c r="W11" i="40" s="1"/>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AC20" i="35" s="1"/>
  <c r="W20" i="35"/>
  <c r="F35" i="37"/>
  <c r="S35" i="37" s="1"/>
  <c r="E101" i="37"/>
  <c r="F101" i="37" s="1"/>
  <c r="G101" i="37" s="1"/>
  <c r="H101" i="37" s="1"/>
  <c r="I101" i="37" s="1"/>
  <c r="J101" i="37" s="1"/>
  <c r="K101" i="37" s="1"/>
  <c r="L101" i="37" s="1"/>
  <c r="M101" i="37" s="1"/>
  <c r="J34" i="37"/>
  <c r="W34" i="37" s="1"/>
  <c r="AB34" i="37"/>
  <c r="J33" i="37"/>
  <c r="AC33" i="37" s="1"/>
  <c r="U42" i="34"/>
  <c r="H40" i="34"/>
  <c r="AB40" i="34" s="1"/>
  <c r="E114" i="34"/>
  <c r="H36" i="34"/>
  <c r="U36" i="34" s="1"/>
  <c r="F37" i="34"/>
  <c r="AA37" i="34" s="1"/>
  <c r="F28" i="34"/>
  <c r="AA28" i="34" s="1"/>
  <c r="F25" i="34"/>
  <c r="S25" i="34" s="1"/>
  <c r="H17" i="34"/>
  <c r="U17" i="34" s="1"/>
  <c r="J28" i="34"/>
  <c r="W28" i="34" s="1"/>
  <c r="F41" i="33"/>
  <c r="S41" i="33" s="1"/>
  <c r="E113" i="33"/>
  <c r="F113" i="33" s="1"/>
  <c r="G113" i="33" s="1"/>
  <c r="H113" i="33" s="1"/>
  <c r="I113" i="33" s="1"/>
  <c r="J113" i="33" s="1"/>
  <c r="K113" i="33" s="1"/>
  <c r="L113" i="33" s="1"/>
  <c r="M113" i="33" s="1"/>
  <c r="J19" i="33"/>
  <c r="AC19" i="33" s="1"/>
  <c r="J15" i="33"/>
  <c r="W15"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17" i="34"/>
  <c r="AA17" i="34" s="1"/>
  <c r="J17" i="34"/>
  <c r="W17" i="34" s="1"/>
  <c r="AB17" i="34"/>
  <c r="H37" i="33"/>
  <c r="AB37" i="33" s="1"/>
  <c r="H15" i="33"/>
  <c r="AB15" i="33" s="1"/>
  <c r="H11" i="33"/>
  <c r="AB11" i="33" s="1"/>
  <c r="F28" i="40"/>
  <c r="AA28" i="40"/>
  <c r="AA29" i="35"/>
  <c r="AA42" i="34"/>
  <c r="S42" i="34"/>
  <c r="AC38" i="34"/>
  <c r="AA38" i="34"/>
  <c r="J37" i="34"/>
  <c r="AC37" i="34" s="1"/>
  <c r="J11" i="33"/>
  <c r="W11" i="33" s="1"/>
  <c r="S28" i="34"/>
  <c r="J42" i="21"/>
  <c r="AC42" i="21" s="1"/>
  <c r="H42" i="21"/>
  <c r="U42" i="21" s="1"/>
  <c r="J44" i="34"/>
  <c r="AC44" i="34" s="1"/>
  <c r="F44" i="34"/>
  <c r="S44" i="34" s="1"/>
  <c r="J10" i="35"/>
  <c r="AC10" i="35" s="1"/>
  <c r="F14" i="21"/>
  <c r="S14" i="21" s="1"/>
  <c r="H14" i="21"/>
  <c r="U14" i="21" s="1"/>
  <c r="H28" i="21"/>
  <c r="AB28" i="21" s="1"/>
  <c r="F28" i="21"/>
  <c r="AA28" i="21" s="1"/>
  <c r="J28" i="21"/>
  <c r="W28" i="21" s="1"/>
  <c r="J44" i="21"/>
  <c r="AC44" i="21" s="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J13" i="33"/>
  <c r="W13" i="33" s="1"/>
  <c r="J29" i="33"/>
  <c r="H29" i="33"/>
  <c r="U29" i="33" s="1"/>
  <c r="F29" i="33"/>
  <c r="S29" i="33" s="1"/>
  <c r="H45" i="33"/>
  <c r="AB45" i="33" s="1"/>
  <c r="J45" i="33"/>
  <c r="W45" i="33" s="1"/>
  <c r="F45" i="33"/>
  <c r="AA45" i="33" s="1"/>
  <c r="J14" i="34"/>
  <c r="W14" i="34" s="1"/>
  <c r="F14" i="34"/>
  <c r="S14" i="34" s="1"/>
  <c r="H14" i="34"/>
  <c r="J30" i="34"/>
  <c r="H32" i="34"/>
  <c r="F32" i="34"/>
  <c r="J32" i="34"/>
  <c r="W32" i="34" s="1"/>
  <c r="H46" i="34"/>
  <c r="U46" i="34"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W31" i="34" s="1"/>
  <c r="H31" i="34"/>
  <c r="F31" i="34"/>
  <c r="S31" i="34" s="1"/>
  <c r="H45" i="34"/>
  <c r="U45" i="34" s="1"/>
  <c r="J45" i="34"/>
  <c r="W45" i="34" s="1"/>
  <c r="F45" i="34"/>
  <c r="S45" i="34" s="1"/>
  <c r="H47" i="34"/>
  <c r="U47" i="34" s="1"/>
  <c r="F47" i="34"/>
  <c r="S47" i="34" s="1"/>
  <c r="J47" i="34"/>
  <c r="AC47" i="34" s="1"/>
  <c r="F13" i="35"/>
  <c r="J13" i="35"/>
  <c r="AC13" i="35" s="1"/>
  <c r="H13" i="35"/>
  <c r="U13" i="35" s="1"/>
  <c r="W25" i="35"/>
  <c r="J35" i="35"/>
  <c r="AC35" i="35" s="1"/>
  <c r="F35" i="35"/>
  <c r="AA35" i="35" s="1"/>
  <c r="H35" i="35"/>
  <c r="J25" i="36"/>
  <c r="AC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J35" i="40"/>
  <c r="AC35" i="40" s="1"/>
  <c r="J37" i="40"/>
  <c r="AC37" i="40" s="1"/>
  <c r="H13" i="40"/>
  <c r="U13" i="40" s="1"/>
  <c r="J13" i="40"/>
  <c r="W13" i="40" s="1"/>
  <c r="F13" i="40"/>
  <c r="AA13" i="40" s="1"/>
  <c r="F14" i="37"/>
  <c r="AA14" i="37" s="1"/>
  <c r="F27" i="37"/>
  <c r="AA27" i="37" s="1"/>
  <c r="F13" i="39"/>
  <c r="J13" i="39"/>
  <c r="W13" i="39" s="1"/>
  <c r="H13" i="39"/>
  <c r="U13" i="39" s="1"/>
  <c r="AB14" i="40"/>
  <c r="J14" i="40"/>
  <c r="W14" i="40" s="1"/>
  <c r="F14" i="40"/>
  <c r="AA14" i="40" s="1"/>
  <c r="J14" i="37"/>
  <c r="J27" i="37"/>
  <c r="AC27" i="37" s="1"/>
  <c r="U46" i="33"/>
  <c r="J36" i="37"/>
  <c r="AC36" i="37" s="1"/>
  <c r="J10" i="36"/>
  <c r="AC10" i="36" s="1"/>
  <c r="S11" i="36"/>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76" i="3"/>
  <c r="G572" i="3"/>
  <c r="G568" i="3"/>
  <c r="G564" i="3"/>
  <c r="G550" i="3"/>
  <c r="BL584" i="3"/>
  <c r="BL560" i="3"/>
  <c r="BL546" i="3"/>
  <c r="BL538" i="3"/>
  <c r="BL534" i="3"/>
  <c r="BL530" i="3"/>
  <c r="BL522" i="3"/>
  <c r="BL516" i="3"/>
  <c r="BL512" i="3"/>
  <c r="BL502" i="3"/>
  <c r="BL498" i="3"/>
  <c r="BL494" i="3"/>
  <c r="BL578" i="3"/>
  <c r="BL556" i="3"/>
  <c r="BL540" i="3"/>
  <c r="BL536" i="3"/>
  <c r="G533" i="3"/>
  <c r="G529" i="3"/>
  <c r="BL528" i="3"/>
  <c r="G525" i="3"/>
  <c r="BL518" i="3"/>
  <c r="BL514" i="3"/>
  <c r="BL510" i="3"/>
  <c r="BL500" i="3"/>
  <c r="BL496" i="3"/>
  <c r="G493" i="3"/>
  <c r="BA580" i="3"/>
  <c r="BA578" i="3"/>
  <c r="BA570" i="3"/>
  <c r="BA566" i="3"/>
  <c r="BA552" i="3"/>
  <c r="BA548" i="3"/>
  <c r="BA546" i="3"/>
  <c r="AZ546" i="3" s="1"/>
  <c r="BA544" i="3"/>
  <c r="BA542" i="3"/>
  <c r="BA540" i="3"/>
  <c r="BA536" i="3"/>
  <c r="AZ536" i="3" s="1"/>
  <c r="BA532" i="3"/>
  <c r="BA528" i="3"/>
  <c r="AZ528" i="3" s="1"/>
  <c r="BA526" i="3"/>
  <c r="BA524" i="3"/>
  <c r="BA520" i="3"/>
  <c r="AZ520" i="3" s="1"/>
  <c r="BA518" i="3"/>
  <c r="BA516" i="3"/>
  <c r="BA512" i="3"/>
  <c r="AZ512" i="3" s="1"/>
  <c r="BA510" i="3"/>
  <c r="AZ510" i="3" s="1"/>
  <c r="BA508" i="3"/>
  <c r="BA506" i="3"/>
  <c r="BA504" i="3"/>
  <c r="BA502" i="3"/>
  <c r="BA500" i="3"/>
  <c r="BA498" i="3"/>
  <c r="AZ498" i="3" s="1"/>
  <c r="BA496" i="3"/>
  <c r="BA494" i="3"/>
  <c r="BA587" i="3"/>
  <c r="BA583" i="3"/>
  <c r="BA581" i="3"/>
  <c r="BA573" i="3"/>
  <c r="BA571" i="3"/>
  <c r="BA559" i="3"/>
  <c r="BA547" i="3"/>
  <c r="BA545" i="3"/>
  <c r="BA543" i="3"/>
  <c r="BA539" i="3"/>
  <c r="BA537" i="3"/>
  <c r="BA535" i="3"/>
  <c r="BA531" i="3"/>
  <c r="BA529" i="3"/>
  <c r="BA527" i="3"/>
  <c r="BA523" i="3"/>
  <c r="BA519" i="3"/>
  <c r="BA517" i="3"/>
  <c r="BA513" i="3"/>
  <c r="BA511" i="3"/>
  <c r="BA507" i="3"/>
  <c r="BA503" i="3"/>
  <c r="BA501" i="3"/>
  <c r="BA499" i="3"/>
  <c r="BA495" i="3"/>
  <c r="BA493" i="3"/>
  <c r="G581" i="3"/>
  <c r="G577" i="3"/>
  <c r="G575" i="3"/>
  <c r="G573" i="3"/>
  <c r="G567" i="3"/>
  <c r="G565" i="3"/>
  <c r="AC557" i="3"/>
  <c r="G557" i="3" s="1"/>
  <c r="BQ557" i="3"/>
  <c r="BQ583" i="3"/>
  <c r="BQ581" i="3"/>
  <c r="BL581" i="3" s="1"/>
  <c r="BQ579" i="3"/>
  <c r="BQ577" i="3"/>
  <c r="BQ575" i="3"/>
  <c r="BL575" i="3" s="1"/>
  <c r="BQ573" i="3"/>
  <c r="BQ571" i="3"/>
  <c r="BL571" i="3" s="1"/>
  <c r="BQ569" i="3"/>
  <c r="BL569" i="3" s="1"/>
  <c r="BQ567" i="3"/>
  <c r="BQ565" i="3"/>
  <c r="BQ563" i="3"/>
  <c r="BQ561" i="3"/>
  <c r="BL561" i="3"/>
  <c r="BQ559" i="3"/>
  <c r="G559" i="3"/>
  <c r="G555" i="3"/>
  <c r="G549" i="3"/>
  <c r="G547" i="3"/>
  <c r="G545" i="3"/>
  <c r="G541" i="3"/>
  <c r="G539" i="3"/>
  <c r="G537" i="3"/>
  <c r="BQ555" i="3"/>
  <c r="BL555" i="3" s="1"/>
  <c r="BQ553" i="3"/>
  <c r="BQ551" i="3"/>
  <c r="BL551" i="3" s="1"/>
  <c r="BQ549" i="3"/>
  <c r="BQ547" i="3"/>
  <c r="BL547" i="3" s="1"/>
  <c r="BQ545" i="3"/>
  <c r="BL545" i="3" s="1"/>
  <c r="BQ543" i="3"/>
  <c r="BL543" i="3" s="1"/>
  <c r="BQ541" i="3"/>
  <c r="BL541" i="3" s="1"/>
  <c r="BQ539" i="3"/>
  <c r="BL539" i="3" s="1"/>
  <c r="BQ537" i="3"/>
  <c r="BQ535" i="3"/>
  <c r="BL535" i="3" s="1"/>
  <c r="BQ533" i="3"/>
  <c r="BL533" i="3" s="1"/>
  <c r="BQ531" i="3"/>
  <c r="BQ529" i="3"/>
  <c r="BL529" i="3"/>
  <c r="BQ527" i="3"/>
  <c r="BL527" i="3" s="1"/>
  <c r="BQ525" i="3"/>
  <c r="BL525" i="3" s="1"/>
  <c r="BQ523" i="3"/>
  <c r="BL523" i="3" s="1"/>
  <c r="AZ523" i="3" s="1"/>
  <c r="AC521" i="3"/>
  <c r="G521" i="3" s="1"/>
  <c r="BQ521" i="3"/>
  <c r="BL520" i="3"/>
  <c r="G519" i="3"/>
  <c r="G517" i="3"/>
  <c r="G515" i="3"/>
  <c r="G513" i="3"/>
  <c r="G511" i="3"/>
  <c r="BQ519" i="3"/>
  <c r="BQ517" i="3"/>
  <c r="BL517" i="3" s="1"/>
  <c r="BQ515" i="3"/>
  <c r="BL515" i="3" s="1"/>
  <c r="BQ513" i="3"/>
  <c r="BL513" i="3" s="1"/>
  <c r="BQ511" i="3"/>
  <c r="BL511" i="3" s="1"/>
  <c r="BA509" i="3"/>
  <c r="AC509" i="3"/>
  <c r="G509" i="3" s="1"/>
  <c r="BQ509" i="3"/>
  <c r="BL509" i="3" s="1"/>
  <c r="AZ509" i="3" s="1"/>
  <c r="BL508" i="3"/>
  <c r="G507" i="3"/>
  <c r="G505" i="3"/>
  <c r="G503" i="3"/>
  <c r="G499" i="3"/>
  <c r="G497" i="3"/>
  <c r="G495" i="3"/>
  <c r="BQ507" i="3"/>
  <c r="BQ505" i="3"/>
  <c r="BL505" i="3" s="1"/>
  <c r="BQ503" i="3"/>
  <c r="BL503" i="3" s="1"/>
  <c r="BQ501" i="3"/>
  <c r="BL501" i="3" s="1"/>
  <c r="BQ499" i="3"/>
  <c r="BQ497" i="3"/>
  <c r="BL497" i="3" s="1"/>
  <c r="BQ495" i="3"/>
  <c r="BQ493" i="3"/>
  <c r="BL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W47" i="34"/>
  <c r="W44" i="33"/>
  <c r="U19" i="21"/>
  <c r="W44" i="21"/>
  <c r="AB38" i="21"/>
  <c r="F43" i="33"/>
  <c r="AA43" i="33" s="1"/>
  <c r="H37" i="21"/>
  <c r="U37" i="21" s="1"/>
  <c r="S42" i="2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5" i="3"/>
  <c r="H19" i="40"/>
  <c r="U19" i="40" s="1"/>
  <c r="F19" i="40"/>
  <c r="S19" i="40" s="1"/>
  <c r="W23" i="39"/>
  <c r="AC43" i="39"/>
  <c r="W43" i="39"/>
  <c r="U45" i="39"/>
  <c r="AB45" i="39"/>
  <c r="G100" i="39"/>
  <c r="H37" i="39"/>
  <c r="AB37" i="39" s="1"/>
  <c r="AC37" i="39"/>
  <c r="W37" i="39"/>
  <c r="H25" i="39"/>
  <c r="AB25" i="39" s="1"/>
  <c r="J25" i="39"/>
  <c r="F25" i="39"/>
  <c r="AA25" i="39" s="1"/>
  <c r="F15" i="39"/>
  <c r="H15" i="39"/>
  <c r="U15" i="39" s="1"/>
  <c r="J15" i="39"/>
  <c r="W15" i="39" s="1"/>
  <c r="H41" i="39"/>
  <c r="AB41" i="39" s="1"/>
  <c r="W27"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3"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A320" i="3"/>
  <c r="AZ320" i="3" s="1"/>
  <c r="BA321" i="3"/>
  <c r="BL321" i="3"/>
  <c r="G322" i="3"/>
  <c r="G325" i="3"/>
  <c r="BL326" i="3"/>
  <c r="BA328" i="3"/>
  <c r="BA329" i="3"/>
  <c r="BL329" i="3"/>
  <c r="G330" i="3"/>
  <c r="G333" i="3"/>
  <c r="BL334" i="3"/>
  <c r="BA336" i="3"/>
  <c r="AZ336" i="3" s="1"/>
  <c r="BA337" i="3"/>
  <c r="AZ337" i="3" s="1"/>
  <c r="BL337" i="3"/>
  <c r="G338" i="3"/>
  <c r="BA342" i="3"/>
  <c r="BL344" i="3"/>
  <c r="BL347"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66" i="3"/>
  <c r="BA16" i="3"/>
  <c r="BL303" i="3"/>
  <c r="G304" i="3"/>
  <c r="BA306" i="3"/>
  <c r="BL307" i="3"/>
  <c r="G308" i="3"/>
  <c r="BA310" i="3"/>
  <c r="BL311" i="3"/>
  <c r="AZ311" i="3" s="1"/>
  <c r="G312" i="3"/>
  <c r="BA314" i="3"/>
  <c r="BL315" i="3"/>
  <c r="G316" i="3"/>
  <c r="BL319" i="3"/>
  <c r="AZ319" i="3" s="1"/>
  <c r="G320" i="3"/>
  <c r="BA322" i="3"/>
  <c r="BL323" i="3"/>
  <c r="G324" i="3"/>
  <c r="BA326" i="3"/>
  <c r="BL327" i="3"/>
  <c r="G328" i="3"/>
  <c r="BA330" i="3"/>
  <c r="BL331" i="3"/>
  <c r="G332" i="3"/>
  <c r="BA334" i="3"/>
  <c r="BL335" i="3"/>
  <c r="G336" i="3"/>
  <c r="BA338" i="3"/>
  <c r="BL339" i="3"/>
  <c r="G340" i="3"/>
  <c r="G344" i="3"/>
  <c r="G348" i="3"/>
  <c r="G355" i="3"/>
  <c r="AZ222" i="3"/>
  <c r="BL345"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BL384" i="3"/>
  <c r="G385" i="3"/>
  <c r="BA387" i="3"/>
  <c r="BL388" i="3"/>
  <c r="G389" i="3"/>
  <c r="BA391" i="3"/>
  <c r="BL392" i="3"/>
  <c r="G393" i="3"/>
  <c r="BH5" i="3"/>
  <c r="G548" i="3"/>
  <c r="G538" i="3"/>
  <c r="G520" i="3"/>
  <c r="G502" i="3"/>
  <c r="BS5" i="3"/>
  <c r="G17" i="3"/>
  <c r="BA17" i="3"/>
  <c r="AZ356" i="3"/>
  <c r="BA15" i="3"/>
  <c r="BR5" i="3"/>
  <c r="U36" i="40"/>
  <c r="F83" i="43"/>
  <c r="H85" i="43" s="1"/>
  <c r="F50" i="43"/>
  <c r="H54" i="43" s="1"/>
  <c r="F72" i="43"/>
  <c r="H75" i="43" s="1"/>
  <c r="U17" i="39"/>
  <c r="S14" i="35"/>
  <c r="U43" i="21"/>
  <c r="U35" i="21"/>
  <c r="AC35" i="21"/>
  <c r="G10" i="1"/>
  <c r="AC11" i="39"/>
  <c r="W37" i="37"/>
  <c r="S15" i="37"/>
  <c r="U12" i="40"/>
  <c r="J37" i="33"/>
  <c r="AC37" i="33" s="1"/>
  <c r="AC17" i="34"/>
  <c r="J34" i="33"/>
  <c r="W34" i="33"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F27" i="40"/>
  <c r="AA27" i="40" s="1"/>
  <c r="J30" i="40"/>
  <c r="AC30" i="40" s="1"/>
  <c r="F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51" i="3"/>
  <c r="AZ50" i="3"/>
  <c r="F23" i="39"/>
  <c r="AA23" i="39" s="1"/>
  <c r="H27" i="36"/>
  <c r="U27" i="36" s="1"/>
  <c r="F27" i="36"/>
  <c r="AA27" i="36" s="1"/>
  <c r="H33" i="34"/>
  <c r="U33" i="34" s="1"/>
  <c r="F32" i="37"/>
  <c r="AA32" i="37" s="1"/>
  <c r="F20" i="36"/>
  <c r="AA20" i="36" s="1"/>
  <c r="J33" i="34"/>
  <c r="AC33" i="34" s="1"/>
  <c r="H23" i="39"/>
  <c r="U23" i="39" s="1"/>
  <c r="D48" i="9"/>
  <c r="M52" i="9" s="1"/>
  <c r="K9" i="1"/>
  <c r="M9" i="1" s="1"/>
  <c r="AB33" i="36"/>
  <c r="U33" i="36"/>
  <c r="AC12" i="39"/>
  <c r="W12" i="39"/>
  <c r="AC39" i="40"/>
  <c r="W39" i="40"/>
  <c r="W12" i="33"/>
  <c r="AC12" i="33"/>
  <c r="AA32" i="36"/>
  <c r="S32" i="36"/>
  <c r="BL14" i="3"/>
  <c r="U30" i="33"/>
  <c r="AC13" i="34"/>
  <c r="AA47" i="34"/>
  <c r="W28" i="37"/>
  <c r="F12" i="33"/>
  <c r="S12" i="33" s="1"/>
  <c r="H12" i="39"/>
  <c r="U12" i="39" s="1"/>
  <c r="F39" i="40"/>
  <c r="BA14" i="3"/>
  <c r="AZ224" i="3"/>
  <c r="B12" i="1"/>
  <c r="E12" i="1" s="1"/>
  <c r="K12" i="1"/>
  <c r="M12" i="1" s="1"/>
  <c r="S13" i="1"/>
  <c r="AR13" i="1" s="1"/>
  <c r="R13" i="1"/>
  <c r="J51" i="67"/>
  <c r="C42" i="1"/>
  <c r="S35" i="40"/>
  <c r="W38" i="40"/>
  <c r="AA32" i="40"/>
  <c r="S17" i="40"/>
  <c r="AC17" i="40"/>
  <c r="AC15" i="40"/>
  <c r="S28" i="40"/>
  <c r="AB19" i="40"/>
  <c r="U37" i="39"/>
  <c r="S37" i="39"/>
  <c r="U35" i="39"/>
  <c r="F32" i="39"/>
  <c r="S32" i="39" s="1"/>
  <c r="F106" i="39"/>
  <c r="G106" i="39" s="1"/>
  <c r="H106" i="39" s="1"/>
  <c r="I106" i="39" s="1"/>
  <c r="J106" i="39" s="1"/>
  <c r="K106" i="39" s="1"/>
  <c r="L106" i="39" s="1"/>
  <c r="M106" i="39" s="1"/>
  <c r="AB27" i="39"/>
  <c r="U31" i="39"/>
  <c r="J21" i="39"/>
  <c r="W21" i="39" s="1"/>
  <c r="F21" i="39"/>
  <c r="G94" i="39"/>
  <c r="H21" i="39"/>
  <c r="AB21" i="39" s="1"/>
  <c r="W19" i="39"/>
  <c r="S17" i="39"/>
  <c r="AA12" i="39"/>
  <c r="S9" i="39"/>
  <c r="AC13" i="39"/>
  <c r="S23" i="36"/>
  <c r="U26" i="36"/>
  <c r="AA26" i="36"/>
  <c r="AA34" i="36"/>
  <c r="AC26" i="36"/>
  <c r="AA22" i="36"/>
  <c r="AB14" i="36"/>
  <c r="U22" i="36"/>
  <c r="AA25" i="36"/>
  <c r="S24" i="36"/>
  <c r="U23" i="36"/>
  <c r="AB20" i="36"/>
  <c r="U16" i="36"/>
  <c r="S23" i="35"/>
  <c r="W24" i="35"/>
  <c r="AB13" i="35"/>
  <c r="U28" i="35"/>
  <c r="AB27" i="35"/>
  <c r="U32" i="35"/>
  <c r="AA33" i="35"/>
  <c r="AC30" i="35"/>
  <c r="S32" i="35"/>
  <c r="S28" i="35"/>
  <c r="U22" i="35"/>
  <c r="S22" i="35"/>
  <c r="U14" i="35"/>
  <c r="AC9" i="35"/>
  <c r="W9" i="35"/>
  <c r="W13" i="35"/>
  <c r="F9" i="35"/>
  <c r="S9" i="35" s="1"/>
  <c r="H9" i="35"/>
  <c r="U9" i="35" s="1"/>
  <c r="AB40" i="37"/>
  <c r="W27" i="37"/>
  <c r="AC29" i="37"/>
  <c r="U29" i="37"/>
  <c r="S32" i="37"/>
  <c r="W30" i="37"/>
  <c r="S36" i="37"/>
  <c r="AA38" i="37"/>
  <c r="W38" i="37"/>
  <c r="AC35" i="37"/>
  <c r="S37" i="37"/>
  <c r="AC15" i="37"/>
  <c r="J17" i="37"/>
  <c r="W17" i="37" s="1"/>
  <c r="G73" i="37"/>
  <c r="F17" i="37"/>
  <c r="AA17" i="37" s="1"/>
  <c r="F75" i="37"/>
  <c r="F19" i="37"/>
  <c r="S19" i="37" s="1"/>
  <c r="F79" i="37"/>
  <c r="G79" i="37" s="1"/>
  <c r="F23" i="37"/>
  <c r="S23" i="37" s="1"/>
  <c r="AC13" i="37"/>
  <c r="AA13" i="37"/>
  <c r="H10" i="37"/>
  <c r="AB10" i="37" s="1"/>
  <c r="F11" i="37"/>
  <c r="S11" i="37" s="1"/>
  <c r="W25" i="34"/>
  <c r="AB8" i="34"/>
  <c r="AC42" i="34"/>
  <c r="U39" i="34"/>
  <c r="AA25" i="34"/>
  <c r="S17" i="34"/>
  <c r="S13" i="34"/>
  <c r="H10" i="34"/>
  <c r="AB10" i="34" s="1"/>
  <c r="F11" i="34"/>
  <c r="S11" i="34" s="1"/>
  <c r="F70" i="34"/>
  <c r="G70" i="34" s="1"/>
  <c r="H70" i="34" s="1"/>
  <c r="I70" i="34" s="1"/>
  <c r="J70" i="34" s="1"/>
  <c r="K70" i="34" s="1"/>
  <c r="L70" i="34" s="1"/>
  <c r="M70" i="34" s="1"/>
  <c r="AA29" i="33"/>
  <c r="H41" i="33"/>
  <c r="U41" i="33" s="1"/>
  <c r="F36" i="33"/>
  <c r="AA36" i="33" s="1"/>
  <c r="G111" i="33"/>
  <c r="J36" i="33" s="1"/>
  <c r="W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W32" i="33" s="1"/>
  <c r="F87" i="33"/>
  <c r="H25" i="33"/>
  <c r="U25" i="33" s="1"/>
  <c r="F25" i="33"/>
  <c r="S25" i="33" s="1"/>
  <c r="J23" i="33"/>
  <c r="AC23" i="33" s="1"/>
  <c r="F85" i="33"/>
  <c r="H23" i="33"/>
  <c r="AB23" i="33" s="1"/>
  <c r="F81" i="33"/>
  <c r="G81" i="33" s="1"/>
  <c r="F19" i="33"/>
  <c r="S19" i="33" s="1"/>
  <c r="J17" i="33"/>
  <c r="W17" i="33" s="1"/>
  <c r="F79" i="33"/>
  <c r="G79" i="33" s="1"/>
  <c r="S15" i="33"/>
  <c r="J10" i="33"/>
  <c r="W10" i="33" s="1"/>
  <c r="H10" i="33"/>
  <c r="U10" i="33" s="1"/>
  <c r="AC11" i="33"/>
  <c r="W43" i="21"/>
  <c r="W36" i="21"/>
  <c r="W41" i="21"/>
  <c r="AB39" i="21"/>
  <c r="AA43" i="21"/>
  <c r="S39" i="21"/>
  <c r="AA36" i="21"/>
  <c r="AC40" i="21"/>
  <c r="J15" i="21"/>
  <c r="F77" i="21"/>
  <c r="G77" i="21" s="1"/>
  <c r="F23" i="21"/>
  <c r="S23" i="21" s="1"/>
  <c r="E85" i="21"/>
  <c r="AA14" i="21"/>
  <c r="D120" i="9"/>
  <c r="D121" i="9" s="1"/>
  <c r="D7" i="52" s="1"/>
  <c r="C18" i="9"/>
  <c r="D18" i="9" s="1"/>
  <c r="F34" i="15"/>
  <c r="F62" i="15" s="1"/>
  <c r="G13" i="3"/>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S37" i="40"/>
  <c r="AB28" i="40"/>
  <c r="W28" i="40"/>
  <c r="W34" i="40"/>
  <c r="S36" i="40"/>
  <c r="W37" i="40"/>
  <c r="AC14" i="40"/>
  <c r="S13" i="40"/>
  <c r="AA15" i="40"/>
  <c r="U11" i="40"/>
  <c r="AB13" i="40"/>
  <c r="U15" i="40"/>
  <c r="AB17" i="40"/>
  <c r="S8" i="40"/>
  <c r="U42" i="39"/>
  <c r="U41" i="39"/>
  <c r="W25" i="39"/>
  <c r="AC25" i="39"/>
  <c r="AB13" i="39"/>
  <c r="AA13" i="39"/>
  <c r="S13" i="39"/>
  <c r="S14" i="39"/>
  <c r="AA14" i="39"/>
  <c r="U43" i="39"/>
  <c r="AB43" i="39"/>
  <c r="AB11" i="39"/>
  <c r="U11" i="39"/>
  <c r="AA27" i="39"/>
  <c r="S27" i="39"/>
  <c r="W17" i="39"/>
  <c r="AC17" i="39"/>
  <c r="AA45" i="39"/>
  <c r="W34" i="39"/>
  <c r="U38" i="39"/>
  <c r="S8" i="39"/>
  <c r="S20" i="36"/>
  <c r="U32" i="36"/>
  <c r="W29" i="36"/>
  <c r="U25" i="36"/>
  <c r="AB28" i="36"/>
  <c r="AA13" i="36"/>
  <c r="W9" i="36"/>
  <c r="W22" i="36"/>
  <c r="AB20" i="35"/>
  <c r="S24" i="35"/>
  <c r="U24" i="35"/>
  <c r="AA16" i="35"/>
  <c r="AA35" i="37"/>
  <c r="W36" i="37"/>
  <c r="S27" i="37"/>
  <c r="S28" i="37"/>
  <c r="S40" i="37"/>
  <c r="U38" i="37"/>
  <c r="AB37" i="37"/>
  <c r="AC34" i="37"/>
  <c r="U19" i="37"/>
  <c r="U8" i="37"/>
  <c r="AA31" i="34"/>
  <c r="AB47" i="34"/>
  <c r="U25" i="34"/>
  <c r="AB36" i="34"/>
  <c r="AC14" i="34"/>
  <c r="AC32" i="34"/>
  <c r="S32" i="34"/>
  <c r="AA32" i="34"/>
  <c r="S37" i="34"/>
  <c r="AC40" i="34"/>
  <c r="S36" i="34"/>
  <c r="AB9" i="34"/>
  <c r="U32" i="34"/>
  <c r="AB32" i="34"/>
  <c r="U14" i="34"/>
  <c r="AB14" i="34"/>
  <c r="W35" i="34"/>
  <c r="AB28" i="33"/>
  <c r="U44" i="33"/>
  <c r="AB44" i="33"/>
  <c r="S30" i="33"/>
  <c r="AA30" i="33"/>
  <c r="AC14" i="33"/>
  <c r="W14" i="33"/>
  <c r="AC30" i="33"/>
  <c r="U37" i="33"/>
  <c r="S44" i="21"/>
  <c r="AB42" i="21"/>
  <c r="U28" i="21"/>
  <c r="F33" i="21"/>
  <c r="AA33" i="21" s="1"/>
  <c r="J33" i="21"/>
  <c r="AC33" i="21" s="1"/>
  <c r="H33" i="21"/>
  <c r="AB33" i="21" s="1"/>
  <c r="F37" i="21"/>
  <c r="AA37" i="21" s="1"/>
  <c r="AA26" i="21"/>
  <c r="AB14" i="21"/>
  <c r="U40" i="21"/>
  <c r="AB31" i="21"/>
  <c r="U31" i="21"/>
  <c r="U13" i="21"/>
  <c r="AB13" i="21"/>
  <c r="S35" i="21"/>
  <c r="J37" i="21"/>
  <c r="W37" i="21" s="1"/>
  <c r="H15" i="21"/>
  <c r="U15" i="21"/>
  <c r="J17" i="21"/>
  <c r="AC17" i="21" s="1"/>
  <c r="AC19" i="21"/>
  <c r="W39" i="21"/>
  <c r="AC14" i="21"/>
  <c r="S46" i="21"/>
  <c r="H45" i="21"/>
  <c r="U45" i="21" s="1"/>
  <c r="F29" i="21"/>
  <c r="AA29" i="21" s="1"/>
  <c r="F13" i="21"/>
  <c r="AA13" i="21" s="1"/>
  <c r="H32" i="21"/>
  <c r="H9" i="21"/>
  <c r="AB9" i="21" s="1"/>
  <c r="J9" i="21"/>
  <c r="W9" i="21" s="1"/>
  <c r="J32" i="21"/>
  <c r="W32" i="21" s="1"/>
  <c r="F32" i="21"/>
  <c r="S32" i="21" s="1"/>
  <c r="AA31" i="21"/>
  <c r="U17" i="21"/>
  <c r="W29" i="21"/>
  <c r="S9" i="21"/>
  <c r="AA9" i="21"/>
  <c r="K141" i="21"/>
  <c r="K144" i="21"/>
  <c r="K143" i="21"/>
  <c r="AB44" i="21"/>
  <c r="W42" i="21"/>
  <c r="F10" i="21"/>
  <c r="AA10" i="21" s="1"/>
  <c r="K145" i="21"/>
  <c r="W25" i="21"/>
  <c r="W31" i="21"/>
  <c r="S17" i="21"/>
  <c r="AC26" i="21"/>
  <c r="AB29" i="21"/>
  <c r="AC34" i="21"/>
  <c r="AB36" i="21"/>
  <c r="W30" i="40"/>
  <c r="C19" i="39"/>
  <c r="C15" i="40"/>
  <c r="C17" i="40"/>
  <c r="C23" i="40"/>
  <c r="C21" i="40"/>
  <c r="U30" i="40"/>
  <c r="B56" i="43"/>
  <c r="B67" i="43"/>
  <c r="B51" i="43"/>
  <c r="B62" i="43"/>
  <c r="B69" i="43"/>
  <c r="D23" i="15"/>
  <c r="D22" i="15"/>
  <c r="E4" i="4"/>
  <c r="B5" i="62" s="1"/>
  <c r="B73" i="72" s="1"/>
  <c r="C4" i="4"/>
  <c r="AA39" i="40"/>
  <c r="S39" i="40"/>
  <c r="AA12" i="33"/>
  <c r="J32" i="39"/>
  <c r="W32" i="39" s="1"/>
  <c r="H32" i="39"/>
  <c r="AB32" i="39" s="1"/>
  <c r="AA21" i="39"/>
  <c r="S21" i="39"/>
  <c r="J19" i="37"/>
  <c r="W19" i="37" s="1"/>
  <c r="G75" i="37"/>
  <c r="AA23" i="37"/>
  <c r="J23" i="37"/>
  <c r="W23" i="37" s="1"/>
  <c r="J10" i="37"/>
  <c r="W10" i="37" s="1"/>
  <c r="H11" i="37"/>
  <c r="AB11" i="37" s="1"/>
  <c r="H11" i="34"/>
  <c r="U11" i="34" s="1"/>
  <c r="J10" i="34"/>
  <c r="AC10" i="34" s="1"/>
  <c r="H111" i="33"/>
  <c r="I111" i="33" s="1"/>
  <c r="J111" i="33" s="1"/>
  <c r="K111" i="33" s="1"/>
  <c r="L111" i="33" s="1"/>
  <c r="M111" i="33" s="1"/>
  <c r="H36" i="33"/>
  <c r="U36" i="33" s="1"/>
  <c r="S36" i="33"/>
  <c r="G87" i="33"/>
  <c r="H87" i="33" s="1"/>
  <c r="I87" i="33" s="1"/>
  <c r="J87" i="33" s="1"/>
  <c r="K87" i="33" s="1"/>
  <c r="L87" i="33" s="1"/>
  <c r="M87" i="33" s="1"/>
  <c r="J25" i="33"/>
  <c r="AC25" i="33" s="1"/>
  <c r="F23" i="33"/>
  <c r="G85" i="33"/>
  <c r="H19" i="33"/>
  <c r="AB19" i="33" s="1"/>
  <c r="H17" i="33"/>
  <c r="U17" i="33" s="1"/>
  <c r="F17" i="33"/>
  <c r="S17" i="33" s="1"/>
  <c r="S37" i="21"/>
  <c r="AA23" i="21"/>
  <c r="AB15" i="21"/>
  <c r="J23" i="21"/>
  <c r="AC23" i="21" s="1"/>
  <c r="F85" i="21"/>
  <c r="G85" i="21" s="1"/>
  <c r="H23" i="21"/>
  <c r="AB23" i="21" s="1"/>
  <c r="D6" i="52"/>
  <c r="AP7" i="1"/>
  <c r="AA32" i="21"/>
  <c r="AC9" i="21"/>
  <c r="A18" i="62"/>
  <c r="B64" i="72" s="1"/>
  <c r="U32" i="39"/>
  <c r="AC32" i="39"/>
  <c r="J11" i="37"/>
  <c r="AC11" i="37" s="1"/>
  <c r="J11" i="34"/>
  <c r="W11" i="34" s="1"/>
  <c r="W23" i="21"/>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Y20" i="71"/>
  <c r="Z20" i="71" s="1"/>
  <c r="X3" i="71"/>
  <c r="B11" i="76"/>
  <c r="B8" i="76"/>
  <c r="F5" i="73"/>
  <c r="E7" i="76"/>
  <c r="D6" i="73"/>
  <c r="B13" i="76"/>
  <c r="F3" i="73"/>
  <c r="D34" i="9"/>
  <c r="F6" i="73"/>
  <c r="E9" i="76"/>
  <c r="B7" i="76"/>
  <c r="B12" i="76"/>
  <c r="D35" i="9"/>
  <c r="E8" i="76"/>
  <c r="E13" i="76"/>
  <c r="AO13" i="1"/>
  <c r="F7" i="73"/>
  <c r="E2" i="68"/>
  <c r="E12" i="76"/>
  <c r="E10" i="76"/>
  <c r="F20" i="31"/>
  <c r="B9" i="76"/>
  <c r="F4" i="73"/>
  <c r="B10" i="76"/>
  <c r="E11" i="76"/>
  <c r="E2" i="69"/>
  <c r="U19" i="33" l="1"/>
  <c r="D59" i="85"/>
  <c r="E59" i="85" s="1"/>
  <c r="F59" i="85" s="1"/>
  <c r="G59" i="85" s="1"/>
  <c r="H59" i="85" s="1"/>
  <c r="I59" i="85" s="1"/>
  <c r="J59" i="85" s="1"/>
  <c r="K59" i="85" s="1"/>
  <c r="L59" i="85" s="1"/>
  <c r="M59" i="85" s="1"/>
  <c r="N59" i="85" s="1"/>
  <c r="O59" i="85" s="1"/>
  <c r="F7" i="85"/>
  <c r="J7" i="85"/>
  <c r="H7" i="85"/>
  <c r="AB26" i="37"/>
  <c r="U26" i="37"/>
  <c r="C51" i="71"/>
  <c r="D50" i="71"/>
  <c r="U32" i="21"/>
  <c r="AB32" i="21"/>
  <c r="AC27" i="40"/>
  <c r="W27" i="40"/>
  <c r="W15" i="21"/>
  <c r="AC15" i="21"/>
  <c r="AB31" i="37"/>
  <c r="U31" i="37"/>
  <c r="S30" i="40"/>
  <c r="AA30" i="40"/>
  <c r="AA15" i="39"/>
  <c r="S15" i="39"/>
  <c r="F82" i="34"/>
  <c r="G82" i="34" s="1"/>
  <c r="F19" i="34"/>
  <c r="AA19" i="34" s="1"/>
  <c r="J19" i="34"/>
  <c r="AC19" i="34" s="1"/>
  <c r="H19" i="34"/>
  <c r="AB19" i="34" s="1"/>
  <c r="U32" i="37"/>
  <c r="C24" i="12"/>
  <c r="C77" i="83"/>
  <c r="C74" i="83" s="1"/>
  <c r="F86" i="34"/>
  <c r="G86" i="34" s="1"/>
  <c r="H23" i="34"/>
  <c r="AB23" i="34" s="1"/>
  <c r="J23" i="34"/>
  <c r="AC23" i="34" s="1"/>
  <c r="F23" i="34"/>
  <c r="AA23" i="34" s="1"/>
  <c r="U23" i="21"/>
  <c r="AA32" i="39"/>
  <c r="U36" i="37"/>
  <c r="AC41" i="39"/>
  <c r="U27" i="40"/>
  <c r="AZ369" i="3"/>
  <c r="AZ326" i="3"/>
  <c r="AZ310" i="3"/>
  <c r="AZ389" i="3"/>
  <c r="AZ380" i="3"/>
  <c r="AA11" i="39"/>
  <c r="AC12" i="37"/>
  <c r="W40" i="37"/>
  <c r="AZ543" i="3"/>
  <c r="AZ571" i="3"/>
  <c r="AZ500" i="3"/>
  <c r="AZ494" i="3"/>
  <c r="S14" i="37"/>
  <c r="AC31" i="34"/>
  <c r="F32" i="33"/>
  <c r="AA32" i="33" s="1"/>
  <c r="U34" i="21"/>
  <c r="G586" i="3"/>
  <c r="H38" i="33"/>
  <c r="AB38" i="33" s="1"/>
  <c r="J39" i="33"/>
  <c r="AC39" i="33" s="1"/>
  <c r="H12" i="35"/>
  <c r="BL568" i="3"/>
  <c r="BA565" i="3"/>
  <c r="BA564" i="3"/>
  <c r="BL563" i="3"/>
  <c r="BA563" i="3"/>
  <c r="BL562" i="3"/>
  <c r="BA562" i="3"/>
  <c r="BL558" i="3"/>
  <c r="BA558" i="3"/>
  <c r="AZ558" i="3" s="1"/>
  <c r="BA557" i="3"/>
  <c r="BA556" i="3"/>
  <c r="AZ556" i="3" s="1"/>
  <c r="BA555" i="3"/>
  <c r="BL554" i="3"/>
  <c r="BA554" i="3"/>
  <c r="BA553" i="3"/>
  <c r="BL552" i="3"/>
  <c r="M18" i="83"/>
  <c r="B118" i="83" s="1"/>
  <c r="BA407" i="3"/>
  <c r="BL411" i="3"/>
  <c r="BL416" i="3"/>
  <c r="BA424" i="3"/>
  <c r="BL424" i="3"/>
  <c r="BL435" i="3"/>
  <c r="BL436" i="3"/>
  <c r="BA444" i="3"/>
  <c r="BA451" i="3"/>
  <c r="BL455" i="3"/>
  <c r="BL462" i="3"/>
  <c r="BA469" i="3"/>
  <c r="BA478" i="3"/>
  <c r="BL490" i="3"/>
  <c r="BA315" i="3"/>
  <c r="AZ315" i="3" s="1"/>
  <c r="BA333" i="3"/>
  <c r="BL367" i="3"/>
  <c r="BL383" i="3"/>
  <c r="AZ383" i="3" s="1"/>
  <c r="BA211" i="3"/>
  <c r="AZ211" i="3" s="1"/>
  <c r="BL215" i="3"/>
  <c r="BA226" i="3"/>
  <c r="BA233" i="3"/>
  <c r="BA237" i="3"/>
  <c r="AZ237" i="3" s="1"/>
  <c r="BA253" i="3"/>
  <c r="BA257" i="3"/>
  <c r="BA275" i="3"/>
  <c r="BL275" i="3"/>
  <c r="BA283" i="3"/>
  <c r="BL287" i="3"/>
  <c r="BL290" i="3"/>
  <c r="BL127" i="3"/>
  <c r="AZ127" i="3" s="1"/>
  <c r="BA134" i="3"/>
  <c r="BA148" i="3"/>
  <c r="BA156" i="3"/>
  <c r="AZ156" i="3" s="1"/>
  <c r="BA162" i="3"/>
  <c r="BL173" i="3"/>
  <c r="BL185" i="3"/>
  <c r="BL198" i="3"/>
  <c r="BA207" i="3"/>
  <c r="BL20" i="3"/>
  <c r="BA21" i="3"/>
  <c r="BL23" i="3"/>
  <c r="BA45" i="3"/>
  <c r="BA46" i="3"/>
  <c r="BA55" i="3"/>
  <c r="BA65" i="3"/>
  <c r="BL77" i="3"/>
  <c r="G89" i="3"/>
  <c r="BA90" i="3"/>
  <c r="BL93" i="3"/>
  <c r="BA111" i="3"/>
  <c r="M47" i="83"/>
  <c r="J51" i="82"/>
  <c r="C51" i="10"/>
  <c r="A2" i="83"/>
  <c r="A118" i="83"/>
  <c r="W18" i="36"/>
  <c r="AC25" i="40"/>
  <c r="B57" i="43"/>
  <c r="P27" i="6"/>
  <c r="T68" i="71"/>
  <c r="F36" i="71"/>
  <c r="V36" i="71" s="1"/>
  <c r="AB34" i="71"/>
  <c r="AA35" i="71"/>
  <c r="AA38" i="71"/>
  <c r="B51" i="71"/>
  <c r="B52" i="71" s="1"/>
  <c r="S52" i="71" s="1"/>
  <c r="AB27" i="71"/>
  <c r="AC17" i="37"/>
  <c r="W32" i="37"/>
  <c r="S31" i="40"/>
  <c r="U32" i="40"/>
  <c r="AA29" i="34"/>
  <c r="U14" i="39"/>
  <c r="U35" i="40"/>
  <c r="AB12" i="39"/>
  <c r="S27" i="40"/>
  <c r="AZ148" i="3"/>
  <c r="AZ359" i="3"/>
  <c r="W16" i="35"/>
  <c r="AC28" i="34"/>
  <c r="AZ539" i="3"/>
  <c r="AC28" i="21"/>
  <c r="W25" i="36"/>
  <c r="F11" i="33"/>
  <c r="H39" i="33"/>
  <c r="AB39" i="33" s="1"/>
  <c r="G585" i="3"/>
  <c r="BL586" i="3"/>
  <c r="AZ586" i="3" s="1"/>
  <c r="J38" i="33"/>
  <c r="AC38" i="33" s="1"/>
  <c r="H23" i="35"/>
  <c r="BA582" i="3"/>
  <c r="BL580" i="3"/>
  <c r="AZ580" i="3" s="1"/>
  <c r="BA579" i="3"/>
  <c r="G579" i="3"/>
  <c r="BL576" i="3"/>
  <c r="BA575" i="3"/>
  <c r="AZ575" i="3" s="1"/>
  <c r="BL574" i="3"/>
  <c r="BA574" i="3"/>
  <c r="BL572" i="3"/>
  <c r="BA572" i="3"/>
  <c r="G571" i="3"/>
  <c r="BL570" i="3"/>
  <c r="BL567" i="3"/>
  <c r="BA567" i="3"/>
  <c r="BI5" i="3"/>
  <c r="BA13" i="3"/>
  <c r="D78" i="9"/>
  <c r="D93" i="83"/>
  <c r="D78" i="83"/>
  <c r="A24" i="51"/>
  <c r="B18" i="72" s="1"/>
  <c r="BL399" i="3"/>
  <c r="BA406" i="3"/>
  <c r="AZ406" i="3" s="1"/>
  <c r="G410" i="3"/>
  <c r="BA413" i="3"/>
  <c r="AZ413" i="3" s="1"/>
  <c r="BL413" i="3"/>
  <c r="G415" i="3"/>
  <c r="G416" i="3"/>
  <c r="BL419" i="3"/>
  <c r="G424" i="3"/>
  <c r="BL430" i="3"/>
  <c r="G434" i="3"/>
  <c r="BA443" i="3"/>
  <c r="AZ443" i="3" s="1"/>
  <c r="G446" i="3"/>
  <c r="G449" i="3"/>
  <c r="BA449" i="3"/>
  <c r="G453" i="3"/>
  <c r="BL453" i="3"/>
  <c r="BL454" i="3"/>
  <c r="BL458" i="3"/>
  <c r="BL459" i="3"/>
  <c r="G461" i="3"/>
  <c r="G462" i="3"/>
  <c r="G467" i="3"/>
  <c r="BA467" i="3"/>
  <c r="BA468" i="3"/>
  <c r="G471" i="3"/>
  <c r="BL471" i="3"/>
  <c r="G477" i="3"/>
  <c r="BA477" i="3"/>
  <c r="G480" i="3"/>
  <c r="G481" i="3"/>
  <c r="BA481" i="3"/>
  <c r="G484" i="3"/>
  <c r="BA489" i="3"/>
  <c r="G307" i="3"/>
  <c r="G311" i="3"/>
  <c r="G315" i="3"/>
  <c r="G323" i="3"/>
  <c r="G339" i="3"/>
  <c r="BL350" i="3"/>
  <c r="G351" i="3"/>
  <c r="BL386" i="3"/>
  <c r="BA208" i="3"/>
  <c r="AZ208" i="3" s="1"/>
  <c r="G213" i="3"/>
  <c r="BA214" i="3"/>
  <c r="G217" i="3"/>
  <c r="G218" i="3"/>
  <c r="BA220" i="3"/>
  <c r="BA225" i="3"/>
  <c r="G228" i="3"/>
  <c r="G229" i="3"/>
  <c r="BA231" i="3"/>
  <c r="G237" i="3"/>
  <c r="G239" i="3"/>
  <c r="BA245" i="3"/>
  <c r="AZ245" i="3" s="1"/>
  <c r="BL245" i="3"/>
  <c r="BA248" i="3"/>
  <c r="BL252" i="3"/>
  <c r="BA256" i="3"/>
  <c r="AZ256" i="3" s="1"/>
  <c r="BL256" i="3"/>
  <c r="BL259" i="3"/>
  <c r="BA265" i="3"/>
  <c r="BA272" i="3"/>
  <c r="AZ272" i="3" s="1"/>
  <c r="G281" i="3"/>
  <c r="BA282" i="3"/>
  <c r="BL282" i="3"/>
  <c r="BA286" i="3"/>
  <c r="G289" i="3"/>
  <c r="G290" i="3"/>
  <c r="BA293" i="3"/>
  <c r="G297" i="3"/>
  <c r="G127" i="3"/>
  <c r="BA133" i="3"/>
  <c r="BL135" i="3"/>
  <c r="AZ135" i="3" s="1"/>
  <c r="BL146" i="3"/>
  <c r="BL155" i="3"/>
  <c r="AZ155" i="3" s="1"/>
  <c r="BL158" i="3"/>
  <c r="BA168" i="3"/>
  <c r="AZ168" i="3" s="1"/>
  <c r="BA169" i="3"/>
  <c r="AZ169" i="3" s="1"/>
  <c r="BL171" i="3"/>
  <c r="AZ171" i="3" s="1"/>
  <c r="BA174" i="3"/>
  <c r="BL181" i="3"/>
  <c r="AZ181" i="3" s="1"/>
  <c r="BA182" i="3"/>
  <c r="BL195" i="3"/>
  <c r="AZ195" i="3" s="1"/>
  <c r="G196" i="3"/>
  <c r="BA197" i="3"/>
  <c r="G32" i="3"/>
  <c r="G33" i="3"/>
  <c r="G34" i="3"/>
  <c r="G42" i="3"/>
  <c r="G43" i="3"/>
  <c r="G44" i="3"/>
  <c r="BL52" i="3"/>
  <c r="G53" i="3"/>
  <c r="BL53" i="3"/>
  <c r="BA62" i="3"/>
  <c r="BA66" i="3"/>
  <c r="G69" i="3"/>
  <c r="G70" i="3"/>
  <c r="BA72" i="3"/>
  <c r="BL76" i="3"/>
  <c r="BL82" i="3"/>
  <c r="BL86" i="3"/>
  <c r="G87" i="3"/>
  <c r="G88" i="3"/>
  <c r="G93" i="3"/>
  <c r="BA94" i="3"/>
  <c r="G108" i="3"/>
  <c r="G6" i="31"/>
  <c r="H6" i="31" s="1"/>
  <c r="I6" i="31" s="1"/>
  <c r="J6" i="31" s="1"/>
  <c r="K6" i="31" s="1"/>
  <c r="L6" i="31" s="1"/>
  <c r="M6" i="31" s="1"/>
  <c r="N6" i="31" s="1"/>
  <c r="O6" i="31" s="1"/>
  <c r="P6" i="31" s="1"/>
  <c r="Q6" i="31" s="1"/>
  <c r="R6" i="31" s="1"/>
  <c r="S6" i="31" s="1"/>
  <c r="E540" i="31"/>
  <c r="E526" i="31"/>
  <c r="E542" i="31"/>
  <c r="E525" i="31"/>
  <c r="E541" i="31"/>
  <c r="E557" i="31"/>
  <c r="E573" i="31"/>
  <c r="E589" i="31"/>
  <c r="E605" i="31"/>
  <c r="E621" i="31"/>
  <c r="E558" i="31"/>
  <c r="E576" i="31"/>
  <c r="E599" i="31"/>
  <c r="E622" i="31"/>
  <c r="E637" i="31"/>
  <c r="E653" i="31"/>
  <c r="E669" i="31"/>
  <c r="E555" i="31"/>
  <c r="E578" i="31"/>
  <c r="E596" i="31"/>
  <c r="E619" i="31"/>
  <c r="E636" i="31"/>
  <c r="E652" i="31"/>
  <c r="E668" i="31"/>
  <c r="E559" i="31"/>
  <c r="E582" i="31"/>
  <c r="E600" i="31"/>
  <c r="E623" i="31"/>
  <c r="E643" i="31"/>
  <c r="E659" i="31"/>
  <c r="E675" i="31"/>
  <c r="E556" i="31"/>
  <c r="E579" i="31"/>
  <c r="E602" i="31"/>
  <c r="E620" i="31"/>
  <c r="E638" i="31"/>
  <c r="E654" i="31"/>
  <c r="E670" i="31"/>
  <c r="E684" i="31"/>
  <c r="E686" i="31"/>
  <c r="E702" i="31"/>
  <c r="E718" i="31"/>
  <c r="E734" i="31"/>
  <c r="E741" i="31"/>
  <c r="E745" i="31"/>
  <c r="E749" i="31"/>
  <c r="E753" i="31"/>
  <c r="E757" i="31"/>
  <c r="E761" i="31"/>
  <c r="E765" i="31"/>
  <c r="E769" i="31"/>
  <c r="E773" i="31"/>
  <c r="E777" i="31"/>
  <c r="E685" i="31"/>
  <c r="E700" i="31"/>
  <c r="E723" i="31"/>
  <c r="E781" i="31"/>
  <c r="E785" i="31"/>
  <c r="E789" i="31"/>
  <c r="E793" i="31"/>
  <c r="E797" i="31"/>
  <c r="E801" i="31"/>
  <c r="E805" i="31"/>
  <c r="E809" i="31"/>
  <c r="E813" i="31"/>
  <c r="E704" i="31"/>
  <c r="E727" i="31"/>
  <c r="E699" i="31"/>
  <c r="E717" i="31"/>
  <c r="E689" i="31"/>
  <c r="E712" i="31"/>
  <c r="E735" i="31"/>
  <c r="E819" i="31"/>
  <c r="E828" i="31"/>
  <c r="E818" i="31"/>
  <c r="E826" i="31"/>
  <c r="E832" i="31"/>
  <c r="E836" i="31"/>
  <c r="E840" i="31"/>
  <c r="E844" i="31"/>
  <c r="E848" i="31"/>
  <c r="E852" i="31"/>
  <c r="E856" i="31"/>
  <c r="E860" i="31"/>
  <c r="E864" i="31"/>
  <c r="E868" i="31"/>
  <c r="E872" i="31"/>
  <c r="E876" i="31"/>
  <c r="E880" i="31"/>
  <c r="E884" i="31"/>
  <c r="E888" i="31"/>
  <c r="E892" i="31"/>
  <c r="E896" i="31"/>
  <c r="E900" i="31"/>
  <c r="E904" i="31"/>
  <c r="E908" i="31"/>
  <c r="E912" i="31"/>
  <c r="E916" i="31"/>
  <c r="E920" i="31"/>
  <c r="E924" i="31"/>
  <c r="E985" i="31"/>
  <c r="E969" i="31"/>
  <c r="E953" i="31"/>
  <c r="E978" i="31"/>
  <c r="E962" i="31"/>
  <c r="E946" i="31"/>
  <c r="E936" i="31"/>
  <c r="E928" i="31"/>
  <c r="E993" i="31"/>
  <c r="E967" i="31"/>
  <c r="E951" i="31"/>
  <c r="E944" i="31"/>
  <c r="E979" i="31"/>
  <c r="E988" i="31"/>
  <c r="E956" i="31"/>
  <c r="E933" i="31"/>
  <c r="E528" i="31"/>
  <c r="E544" i="31"/>
  <c r="E530" i="31"/>
  <c r="E546" i="31"/>
  <c r="E529" i="31"/>
  <c r="E545" i="31"/>
  <c r="E561" i="31"/>
  <c r="E577" i="31"/>
  <c r="E593" i="31"/>
  <c r="E609" i="31"/>
  <c r="E625" i="31"/>
  <c r="E560" i="31"/>
  <c r="E583" i="31"/>
  <c r="E606" i="31"/>
  <c r="E624" i="31"/>
  <c r="E641" i="31"/>
  <c r="E657" i="31"/>
  <c r="E673" i="31"/>
  <c r="E562" i="31"/>
  <c r="E580" i="31"/>
  <c r="E603" i="31"/>
  <c r="E626" i="31"/>
  <c r="E640" i="31"/>
  <c r="E656" i="31"/>
  <c r="E672" i="31"/>
  <c r="E566" i="31"/>
  <c r="E584" i="31"/>
  <c r="E607" i="31"/>
  <c r="E631" i="31"/>
  <c r="E647" i="31"/>
  <c r="E663" i="31"/>
  <c r="E531" i="31"/>
  <c r="E563" i="31"/>
  <c r="E586" i="31"/>
  <c r="E604" i="31"/>
  <c r="E627" i="31"/>
  <c r="E642" i="31"/>
  <c r="E658" i="31"/>
  <c r="E674" i="31"/>
  <c r="E687" i="31"/>
  <c r="E690" i="31"/>
  <c r="E706" i="31"/>
  <c r="E722" i="31"/>
  <c r="E738" i="31"/>
  <c r="E742" i="31"/>
  <c r="E746" i="31"/>
  <c r="E750" i="31"/>
  <c r="E754" i="31"/>
  <c r="E758" i="31"/>
  <c r="E762" i="31"/>
  <c r="E766" i="31"/>
  <c r="E770" i="31"/>
  <c r="E774" i="31"/>
  <c r="E778" i="31"/>
  <c r="E680" i="31"/>
  <c r="E707" i="31"/>
  <c r="E725" i="31"/>
  <c r="E782" i="31"/>
  <c r="E786" i="31"/>
  <c r="E790" i="31"/>
  <c r="E794" i="31"/>
  <c r="E798" i="31"/>
  <c r="E802" i="31"/>
  <c r="E806" i="31"/>
  <c r="E810" i="31"/>
  <c r="E688" i="31"/>
  <c r="E711" i="31"/>
  <c r="E729" i="31"/>
  <c r="E701" i="31"/>
  <c r="E724" i="31"/>
  <c r="E696" i="31"/>
  <c r="E719" i="31"/>
  <c r="E737" i="31"/>
  <c r="E821" i="31"/>
  <c r="E827" i="31"/>
  <c r="E820" i="31"/>
  <c r="E829" i="31"/>
  <c r="E833" i="31"/>
  <c r="E837" i="31"/>
  <c r="E841" i="31"/>
  <c r="E845" i="31"/>
  <c r="E849" i="31"/>
  <c r="E853" i="31"/>
  <c r="E857" i="31"/>
  <c r="E861" i="31"/>
  <c r="E865" i="31"/>
  <c r="E869" i="31"/>
  <c r="E873" i="31"/>
  <c r="E877" i="31"/>
  <c r="E881" i="31"/>
  <c r="E885" i="31"/>
  <c r="E889" i="31"/>
  <c r="E893" i="31"/>
  <c r="E897" i="31"/>
  <c r="E901" i="31"/>
  <c r="E905" i="31"/>
  <c r="E909" i="31"/>
  <c r="E913" i="31"/>
  <c r="E917" i="31"/>
  <c r="E921" i="31"/>
  <c r="E925" i="31"/>
  <c r="E981" i="31"/>
  <c r="E965" i="31"/>
  <c r="E949" i="31"/>
  <c r="E990" i="31"/>
  <c r="E974" i="31"/>
  <c r="E958" i="31"/>
  <c r="E942" i="31"/>
  <c r="E934" i="31"/>
  <c r="E532" i="31"/>
  <c r="E548" i="31"/>
  <c r="E534" i="31"/>
  <c r="E550" i="31"/>
  <c r="E533" i="31"/>
  <c r="E549" i="31"/>
  <c r="E565" i="31"/>
  <c r="E581" i="31"/>
  <c r="E597" i="31"/>
  <c r="E613" i="31"/>
  <c r="E543" i="31"/>
  <c r="E567" i="31"/>
  <c r="E590" i="31"/>
  <c r="E608" i="31"/>
  <c r="E629" i="31"/>
  <c r="E645" i="31"/>
  <c r="E661" i="31"/>
  <c r="E677" i="31"/>
  <c r="E564" i="31"/>
  <c r="E587" i="31"/>
  <c r="E610" i="31"/>
  <c r="E628" i="31"/>
  <c r="E644" i="31"/>
  <c r="E660" i="31"/>
  <c r="E676" i="31"/>
  <c r="E568" i="31"/>
  <c r="E591" i="31"/>
  <c r="E614" i="31"/>
  <c r="E635" i="31"/>
  <c r="E651" i="31"/>
  <c r="E667" i="31"/>
  <c r="E547" i="31"/>
  <c r="E570" i="31"/>
  <c r="E588" i="31"/>
  <c r="E611" i="31"/>
  <c r="E630" i="31"/>
  <c r="E646" i="31"/>
  <c r="E662" i="31"/>
  <c r="E678" i="31"/>
  <c r="E679" i="31"/>
  <c r="E694" i="31"/>
  <c r="E710" i="31"/>
  <c r="E726" i="31"/>
  <c r="E739" i="31"/>
  <c r="E743" i="31"/>
  <c r="E747" i="31"/>
  <c r="E751" i="31"/>
  <c r="E755" i="31"/>
  <c r="E759" i="31"/>
  <c r="E763" i="31"/>
  <c r="E767" i="31"/>
  <c r="E771" i="31"/>
  <c r="E775" i="31"/>
  <c r="E779" i="31"/>
  <c r="E691" i="31"/>
  <c r="E709" i="31"/>
  <c r="E732" i="31"/>
  <c r="E783" i="31"/>
  <c r="E787" i="31"/>
  <c r="E791" i="31"/>
  <c r="E795" i="31"/>
  <c r="E799" i="31"/>
  <c r="E803" i="31"/>
  <c r="E807" i="31"/>
  <c r="E811" i="31"/>
  <c r="E695" i="31"/>
  <c r="E713" i="31"/>
  <c r="E736" i="31"/>
  <c r="E708" i="31"/>
  <c r="E731" i="31"/>
  <c r="E703" i="31"/>
  <c r="E721" i="31"/>
  <c r="E815" i="31"/>
  <c r="E823" i="31"/>
  <c r="E814" i="31"/>
  <c r="E822" i="31"/>
  <c r="E830" i="31"/>
  <c r="E834" i="31"/>
  <c r="E838" i="31"/>
  <c r="E842" i="31"/>
  <c r="E846" i="31"/>
  <c r="E850" i="31"/>
  <c r="E854" i="31"/>
  <c r="E858" i="31"/>
  <c r="E862" i="31"/>
  <c r="E866" i="31"/>
  <c r="E870" i="31"/>
  <c r="E874" i="31"/>
  <c r="E878" i="31"/>
  <c r="E882" i="31"/>
  <c r="E886" i="31"/>
  <c r="E890" i="31"/>
  <c r="E894" i="31"/>
  <c r="E898" i="31"/>
  <c r="E902" i="31"/>
  <c r="E906" i="31"/>
  <c r="E910" i="31"/>
  <c r="E914" i="31"/>
  <c r="E918" i="31"/>
  <c r="E922" i="31"/>
  <c r="E926" i="31"/>
  <c r="E977" i="31"/>
  <c r="E961" i="31"/>
  <c r="E945" i="31"/>
  <c r="E986" i="31"/>
  <c r="E970" i="31"/>
  <c r="E954" i="31"/>
  <c r="E940" i="31"/>
  <c r="E932" i="31"/>
  <c r="E995" i="31"/>
  <c r="E991" i="31"/>
  <c r="E975" i="31"/>
  <c r="E959" i="31"/>
  <c r="E943" i="31"/>
  <c r="E984" i="31"/>
  <c r="E968" i="31"/>
  <c r="E952" i="31"/>
  <c r="E939" i="31"/>
  <c r="E931" i="31"/>
  <c r="E960" i="31"/>
  <c r="E927" i="31"/>
  <c r="E992" i="31"/>
  <c r="E947" i="31"/>
  <c r="E972" i="31"/>
  <c r="E941" i="31"/>
  <c r="E536" i="31"/>
  <c r="E527" i="31"/>
  <c r="E538" i="31"/>
  <c r="E554" i="31"/>
  <c r="E537" i="31"/>
  <c r="E553" i="31"/>
  <c r="E569" i="31"/>
  <c r="E585" i="31"/>
  <c r="E601" i="31"/>
  <c r="E617" i="31"/>
  <c r="E552" i="31"/>
  <c r="E574" i="31"/>
  <c r="E592" i="31"/>
  <c r="E615" i="31"/>
  <c r="E633" i="31"/>
  <c r="E649" i="31"/>
  <c r="E665" i="31"/>
  <c r="E539" i="31"/>
  <c r="E571" i="31"/>
  <c r="E594" i="31"/>
  <c r="E612" i="31"/>
  <c r="E632" i="31"/>
  <c r="E648" i="31"/>
  <c r="E664" i="31"/>
  <c r="E535" i="31"/>
  <c r="E575" i="31"/>
  <c r="E598" i="31"/>
  <c r="E616" i="31"/>
  <c r="E639" i="31"/>
  <c r="E655" i="31"/>
  <c r="E671" i="31"/>
  <c r="E551" i="31"/>
  <c r="E572" i="31"/>
  <c r="E595" i="31"/>
  <c r="E618" i="31"/>
  <c r="E634" i="31"/>
  <c r="E650" i="31"/>
  <c r="E666" i="31"/>
  <c r="E682" i="31"/>
  <c r="E681" i="31"/>
  <c r="E698" i="31"/>
  <c r="E714" i="31"/>
  <c r="E730" i="31"/>
  <c r="E740" i="31"/>
  <c r="E744" i="31"/>
  <c r="E748" i="31"/>
  <c r="E752" i="31"/>
  <c r="E756" i="31"/>
  <c r="E760" i="31"/>
  <c r="E764" i="31"/>
  <c r="E768" i="31"/>
  <c r="E772" i="31"/>
  <c r="E776" i="31"/>
  <c r="E683" i="31"/>
  <c r="E693" i="31"/>
  <c r="E716" i="31"/>
  <c r="E780" i="31"/>
  <c r="E784" i="31"/>
  <c r="E788" i="31"/>
  <c r="E792" i="31"/>
  <c r="E796" i="31"/>
  <c r="E800" i="31"/>
  <c r="E804" i="31"/>
  <c r="E808" i="31"/>
  <c r="E812" i="31"/>
  <c r="E697" i="31"/>
  <c r="E720" i="31"/>
  <c r="E692" i="31"/>
  <c r="E715" i="31"/>
  <c r="E733" i="31"/>
  <c r="E705" i="31"/>
  <c r="E728" i="31"/>
  <c r="E817" i="31"/>
  <c r="E825" i="31"/>
  <c r="E816" i="31"/>
  <c r="E824" i="31"/>
  <c r="E831" i="31"/>
  <c r="E835" i="31"/>
  <c r="E839" i="31"/>
  <c r="E843" i="31"/>
  <c r="E847" i="31"/>
  <c r="E851" i="31"/>
  <c r="E855" i="31"/>
  <c r="E859" i="31"/>
  <c r="E863" i="31"/>
  <c r="E867" i="31"/>
  <c r="E871" i="31"/>
  <c r="E875" i="31"/>
  <c r="E879" i="31"/>
  <c r="E883" i="31"/>
  <c r="E887" i="31"/>
  <c r="E891" i="31"/>
  <c r="E895" i="31"/>
  <c r="E899" i="31"/>
  <c r="E903" i="31"/>
  <c r="E907" i="31"/>
  <c r="E911" i="31"/>
  <c r="E915" i="31"/>
  <c r="E919" i="31"/>
  <c r="E923" i="31"/>
  <c r="E989" i="31"/>
  <c r="E973" i="31"/>
  <c r="E957" i="31"/>
  <c r="E982" i="31"/>
  <c r="E966" i="31"/>
  <c r="E950" i="31"/>
  <c r="E938" i="31"/>
  <c r="E930" i="31"/>
  <c r="E994" i="31"/>
  <c r="E987" i="31"/>
  <c r="E971" i="31"/>
  <c r="E955" i="31"/>
  <c r="E980" i="31"/>
  <c r="E964" i="31"/>
  <c r="E948" i="31"/>
  <c r="E937" i="31"/>
  <c r="E929" i="31"/>
  <c r="E983" i="31"/>
  <c r="E976" i="31"/>
  <c r="E935" i="31"/>
  <c r="E963" i="31"/>
  <c r="C40" i="69"/>
  <c r="AC21" i="37"/>
  <c r="D63" i="71"/>
  <c r="D72" i="71"/>
  <c r="C67" i="71"/>
  <c r="D67" i="71" s="1"/>
  <c r="Y27" i="71"/>
  <c r="Z27" i="71" s="1"/>
  <c r="B40" i="71"/>
  <c r="S40" i="71" s="1"/>
  <c r="X26" i="71"/>
  <c r="Y29" i="71"/>
  <c r="Z29" i="71" s="1"/>
  <c r="C31" i="71"/>
  <c r="X25" i="71"/>
  <c r="Y35" i="71"/>
  <c r="Z35" i="71" s="1"/>
  <c r="X36" i="71"/>
  <c r="C59" i="71"/>
  <c r="B79" i="71"/>
  <c r="B78" i="71" s="1"/>
  <c r="S14" i="36"/>
  <c r="AZ334" i="3"/>
  <c r="AZ390" i="3"/>
  <c r="AZ351" i="3"/>
  <c r="AZ204" i="3"/>
  <c r="AZ493" i="3"/>
  <c r="AZ527" i="3"/>
  <c r="AZ496" i="3"/>
  <c r="AB46" i="34"/>
  <c r="BA402" i="3"/>
  <c r="AZ402" i="3" s="1"/>
  <c r="BL409" i="3"/>
  <c r="BA466" i="3"/>
  <c r="BA476" i="3"/>
  <c r="BA480" i="3"/>
  <c r="AC31" i="35"/>
  <c r="J23" i="36"/>
  <c r="J24" i="36"/>
  <c r="G566" i="3"/>
  <c r="G558" i="3"/>
  <c r="G552" i="3"/>
  <c r="G551" i="3"/>
  <c r="G543" i="3"/>
  <c r="G542" i="3"/>
  <c r="G536" i="3"/>
  <c r="G528" i="3"/>
  <c r="G514" i="3"/>
  <c r="G501" i="3"/>
  <c r="G500" i="3"/>
  <c r="M20" i="15"/>
  <c r="F34" i="82"/>
  <c r="F62" i="82" s="1"/>
  <c r="M20" i="82"/>
  <c r="K8" i="1"/>
  <c r="M8" i="1" s="1"/>
  <c r="BA400" i="3"/>
  <c r="BL400" i="3"/>
  <c r="G405" i="3"/>
  <c r="G408" i="3"/>
  <c r="BL408" i="3"/>
  <c r="BL412" i="3"/>
  <c r="G417" i="3"/>
  <c r="BL417" i="3"/>
  <c r="BL418" i="3"/>
  <c r="BA420" i="3"/>
  <c r="BL420" i="3"/>
  <c r="G422" i="3"/>
  <c r="G423" i="3"/>
  <c r="BL427" i="3"/>
  <c r="G432" i="3"/>
  <c r="BL432" i="3"/>
  <c r="BA437" i="3"/>
  <c r="G442" i="3"/>
  <c r="G445" i="3"/>
  <c r="BA445" i="3"/>
  <c r="BA447" i="3"/>
  <c r="AZ447" i="3" s="1"/>
  <c r="G450" i="3"/>
  <c r="BL451" i="3"/>
  <c r="G456" i="3"/>
  <c r="BA463" i="3"/>
  <c r="BA465" i="3"/>
  <c r="AZ465" i="3" s="1"/>
  <c r="G468" i="3"/>
  <c r="BL469" i="3"/>
  <c r="G474" i="3"/>
  <c r="BL475" i="3"/>
  <c r="BL479" i="3"/>
  <c r="G482" i="3"/>
  <c r="BA485" i="3"/>
  <c r="G488" i="3"/>
  <c r="BL316" i="3"/>
  <c r="BN5" i="3"/>
  <c r="G29" i="6" s="1"/>
  <c r="AC5" i="3"/>
  <c r="BA318" i="3"/>
  <c r="AZ318" i="3" s="1"/>
  <c r="BF5" i="3"/>
  <c r="BJ5" i="3"/>
  <c r="BL318" i="3"/>
  <c r="BA331" i="3"/>
  <c r="BL340" i="3"/>
  <c r="G341" i="3"/>
  <c r="BA341" i="3"/>
  <c r="BL341" i="3"/>
  <c r="G342" i="3"/>
  <c r="BL342" i="3"/>
  <c r="AZ342" i="3" s="1"/>
  <c r="BG5" i="3"/>
  <c r="BK5" i="3"/>
  <c r="BP5" i="3"/>
  <c r="BT5" i="3"/>
  <c r="BA345" i="3"/>
  <c r="G346" i="3"/>
  <c r="BA346" i="3"/>
  <c r="BL346" i="3"/>
  <c r="BA347" i="3"/>
  <c r="G349" i="3"/>
  <c r="BL349" i="3"/>
  <c r="G350" i="3"/>
  <c r="BA384" i="3"/>
  <c r="AZ384" i="3" s="1"/>
  <c r="G387" i="3"/>
  <c r="BA392" i="3"/>
  <c r="AZ392" i="3" s="1"/>
  <c r="G397" i="3"/>
  <c r="BA212" i="3"/>
  <c r="G215" i="3"/>
  <c r="BL216" i="3"/>
  <c r="BL219" i="3"/>
  <c r="G222" i="3"/>
  <c r="G224" i="3"/>
  <c r="G226" i="3"/>
  <c r="BL227" i="3"/>
  <c r="BL230" i="3"/>
  <c r="G233" i="3"/>
  <c r="BA235" i="3"/>
  <c r="BA240" i="3"/>
  <c r="AZ240" i="3" s="1"/>
  <c r="BL240" i="3"/>
  <c r="G244" i="3"/>
  <c r="BL254" i="3"/>
  <c r="G266" i="3"/>
  <c r="G270" i="3"/>
  <c r="BA284" i="3"/>
  <c r="BL291" i="3"/>
  <c r="BL298" i="3"/>
  <c r="BL299" i="3"/>
  <c r="G300" i="3"/>
  <c r="BA302" i="3"/>
  <c r="G115" i="3"/>
  <c r="BL122" i="3"/>
  <c r="G130" i="3"/>
  <c r="G144" i="3"/>
  <c r="G147" i="3"/>
  <c r="G152" i="3"/>
  <c r="BA153" i="3"/>
  <c r="G156" i="3"/>
  <c r="BA157" i="3"/>
  <c r="G160" i="3"/>
  <c r="BL163" i="3"/>
  <c r="AZ163" i="3" s="1"/>
  <c r="G166" i="3"/>
  <c r="G175" i="3"/>
  <c r="BA177" i="3"/>
  <c r="G179" i="3"/>
  <c r="G183" i="3"/>
  <c r="BL186" i="3"/>
  <c r="G187" i="3"/>
  <c r="BA190" i="3"/>
  <c r="G199" i="3"/>
  <c r="BA201" i="3"/>
  <c r="AZ201" i="3" s="1"/>
  <c r="BL201" i="3"/>
  <c r="BL203" i="3"/>
  <c r="AZ203" i="3" s="1"/>
  <c r="BA204" i="3"/>
  <c r="BA22" i="3"/>
  <c r="BL24" i="3"/>
  <c r="G29" i="3"/>
  <c r="BL29" i="3"/>
  <c r="BL34" i="3"/>
  <c r="BA37" i="3"/>
  <c r="G39" i="3"/>
  <c r="BL39" i="3"/>
  <c r="BL44" i="3"/>
  <c r="BL49" i="3"/>
  <c r="BA56" i="3"/>
  <c r="BA57" i="3"/>
  <c r="BL58" i="3"/>
  <c r="G60" i="3"/>
  <c r="BA60" i="3"/>
  <c r="G65" i="3"/>
  <c r="BA67" i="3"/>
  <c r="BA71" i="3"/>
  <c r="G74" i="3"/>
  <c r="G75" i="3"/>
  <c r="BA77" i="3"/>
  <c r="AZ77" i="3" s="1"/>
  <c r="BL79" i="3"/>
  <c r="BL81" i="3"/>
  <c r="BA82" i="3"/>
  <c r="AZ82" i="3" s="1"/>
  <c r="BL96" i="3"/>
  <c r="BA100" i="3"/>
  <c r="G102" i="3"/>
  <c r="G103" i="3"/>
  <c r="BA103" i="3"/>
  <c r="AZ103" i="3" s="1"/>
  <c r="G111" i="3"/>
  <c r="F10" i="31"/>
  <c r="G10" i="31" s="1"/>
  <c r="H10" i="31" s="1"/>
  <c r="I10" i="31" s="1"/>
  <c r="J10" i="31" s="1"/>
  <c r="K10" i="31" s="1"/>
  <c r="L10" i="31" s="1"/>
  <c r="M10" i="31" s="1"/>
  <c r="N10" i="31" s="1"/>
  <c r="O10" i="31" s="1"/>
  <c r="P10" i="31" s="1"/>
  <c r="Q10" i="31" s="1"/>
  <c r="R10" i="31" s="1"/>
  <c r="S10" i="31" s="1"/>
  <c r="I525" i="31"/>
  <c r="I529" i="31"/>
  <c r="I533" i="31"/>
  <c r="I537" i="31"/>
  <c r="I541" i="31"/>
  <c r="I545" i="31"/>
  <c r="I549" i="31"/>
  <c r="I528" i="31"/>
  <c r="I527" i="31"/>
  <c r="I531" i="31"/>
  <c r="I535" i="31"/>
  <c r="I539" i="31"/>
  <c r="I543" i="31"/>
  <c r="I547" i="31"/>
  <c r="I551" i="31"/>
  <c r="I526" i="31"/>
  <c r="I530" i="31"/>
  <c r="I534" i="31"/>
  <c r="I538" i="31"/>
  <c r="I542" i="31"/>
  <c r="I546" i="31"/>
  <c r="I550" i="31"/>
  <c r="I554" i="31"/>
  <c r="I558" i="31"/>
  <c r="I562" i="31"/>
  <c r="I566" i="31"/>
  <c r="I570" i="31"/>
  <c r="I574" i="31"/>
  <c r="I578" i="31"/>
  <c r="I582" i="31"/>
  <c r="I586" i="31"/>
  <c r="I590" i="31"/>
  <c r="I594" i="31"/>
  <c r="I598" i="31"/>
  <c r="I602" i="31"/>
  <c r="I606" i="31"/>
  <c r="I610" i="31"/>
  <c r="I614" i="31"/>
  <c r="I618" i="31"/>
  <c r="I622" i="31"/>
  <c r="I626" i="31"/>
  <c r="I532" i="31"/>
  <c r="I548" i="31"/>
  <c r="I556" i="31"/>
  <c r="I563" i="31"/>
  <c r="I565" i="31"/>
  <c r="I572" i="31"/>
  <c r="I579" i="31"/>
  <c r="I581" i="31"/>
  <c r="I588" i="31"/>
  <c r="I595" i="31"/>
  <c r="I597" i="31"/>
  <c r="I604" i="31"/>
  <c r="I611" i="31"/>
  <c r="I613" i="31"/>
  <c r="I620" i="31"/>
  <c r="I627" i="31"/>
  <c r="I630" i="31"/>
  <c r="I634" i="31"/>
  <c r="I638" i="31"/>
  <c r="I642" i="31"/>
  <c r="I646" i="31"/>
  <c r="I650" i="31"/>
  <c r="I654" i="31"/>
  <c r="I658" i="31"/>
  <c r="I662" i="31"/>
  <c r="I666" i="31"/>
  <c r="I670" i="31"/>
  <c r="I674" i="31"/>
  <c r="I544" i="31"/>
  <c r="I552" i="31"/>
  <c r="I560" i="31"/>
  <c r="I567" i="31"/>
  <c r="I569" i="31"/>
  <c r="I576" i="31"/>
  <c r="I583" i="31"/>
  <c r="I585" i="31"/>
  <c r="I592" i="31"/>
  <c r="I599" i="31"/>
  <c r="I601" i="31"/>
  <c r="I608" i="31"/>
  <c r="I615" i="31"/>
  <c r="I617" i="31"/>
  <c r="I624" i="31"/>
  <c r="I629" i="31"/>
  <c r="I633" i="31"/>
  <c r="I637" i="31"/>
  <c r="I641" i="31"/>
  <c r="I645" i="31"/>
  <c r="I649" i="31"/>
  <c r="I653" i="31"/>
  <c r="I657" i="31"/>
  <c r="I661" i="31"/>
  <c r="I665" i="31"/>
  <c r="I669" i="31"/>
  <c r="I673" i="31"/>
  <c r="I677" i="31"/>
  <c r="I540" i="31"/>
  <c r="I553" i="31"/>
  <c r="I555" i="31"/>
  <c r="I557" i="31"/>
  <c r="I564" i="31"/>
  <c r="I571" i="31"/>
  <c r="I573" i="31"/>
  <c r="I580" i="31"/>
  <c r="I587" i="31"/>
  <c r="I589" i="31"/>
  <c r="I596" i="31"/>
  <c r="I603" i="31"/>
  <c r="I605" i="31"/>
  <c r="I612" i="31"/>
  <c r="I619" i="31"/>
  <c r="I621" i="31"/>
  <c r="I628" i="31"/>
  <c r="I632" i="31"/>
  <c r="I636" i="31"/>
  <c r="I640" i="31"/>
  <c r="I644" i="31"/>
  <c r="I648" i="31"/>
  <c r="I652" i="31"/>
  <c r="I656" i="31"/>
  <c r="I660" i="31"/>
  <c r="I664" i="31"/>
  <c r="I668" i="31"/>
  <c r="I672" i="31"/>
  <c r="I676" i="31"/>
  <c r="I536" i="31"/>
  <c r="I559" i="31"/>
  <c r="I561" i="31"/>
  <c r="I568" i="31"/>
  <c r="I575" i="31"/>
  <c r="I577" i="31"/>
  <c r="I584" i="31"/>
  <c r="I591" i="31"/>
  <c r="I593" i="31"/>
  <c r="I600" i="31"/>
  <c r="I607" i="31"/>
  <c r="I609" i="31"/>
  <c r="I616" i="31"/>
  <c r="I623" i="31"/>
  <c r="I625" i="31"/>
  <c r="I631" i="31"/>
  <c r="I635" i="31"/>
  <c r="I639" i="31"/>
  <c r="I643" i="31"/>
  <c r="I647" i="31"/>
  <c r="I651" i="31"/>
  <c r="I655" i="31"/>
  <c r="I659" i="31"/>
  <c r="I663" i="31"/>
  <c r="I667" i="31"/>
  <c r="I671" i="31"/>
  <c r="I675" i="31"/>
  <c r="I679" i="31"/>
  <c r="I683" i="31"/>
  <c r="I680" i="31"/>
  <c r="I682" i="31"/>
  <c r="I684" i="31"/>
  <c r="I687" i="31"/>
  <c r="I691" i="31"/>
  <c r="I695" i="31"/>
  <c r="I699" i="31"/>
  <c r="I703" i="31"/>
  <c r="I707" i="31"/>
  <c r="I711" i="31"/>
  <c r="I715" i="31"/>
  <c r="I719" i="31"/>
  <c r="I723" i="31"/>
  <c r="I727" i="31"/>
  <c r="I731" i="31"/>
  <c r="I735" i="31"/>
  <c r="I681" i="31"/>
  <c r="I686" i="31"/>
  <c r="I689" i="31"/>
  <c r="I696" i="31"/>
  <c r="I698" i="31"/>
  <c r="I705" i="31"/>
  <c r="I712" i="31"/>
  <c r="I714" i="31"/>
  <c r="I721" i="31"/>
  <c r="I728" i="31"/>
  <c r="I730" i="31"/>
  <c r="I737" i="31"/>
  <c r="I741" i="31"/>
  <c r="I745" i="31"/>
  <c r="I749" i="31"/>
  <c r="I753" i="31"/>
  <c r="I757" i="31"/>
  <c r="I761" i="31"/>
  <c r="I765" i="31"/>
  <c r="I769" i="31"/>
  <c r="I773" i="31"/>
  <c r="I777" i="31"/>
  <c r="I693" i="31"/>
  <c r="I700" i="31"/>
  <c r="I702" i="31"/>
  <c r="I709" i="31"/>
  <c r="I716" i="31"/>
  <c r="I718" i="31"/>
  <c r="I725" i="31"/>
  <c r="I732" i="31"/>
  <c r="I734" i="31"/>
  <c r="I740" i="31"/>
  <c r="I688" i="31"/>
  <c r="I690" i="31"/>
  <c r="I697" i="31"/>
  <c r="I704" i="31"/>
  <c r="I706" i="31"/>
  <c r="I713" i="31"/>
  <c r="I720" i="31"/>
  <c r="I722" i="31"/>
  <c r="I729" i="31"/>
  <c r="I736" i="31"/>
  <c r="I739" i="31"/>
  <c r="I743" i="31"/>
  <c r="I747" i="31"/>
  <c r="I751" i="31"/>
  <c r="I755" i="31"/>
  <c r="I759" i="31"/>
  <c r="I763" i="31"/>
  <c r="I767" i="31"/>
  <c r="I771" i="31"/>
  <c r="I775" i="31"/>
  <c r="I779" i="31"/>
  <c r="I780" i="31"/>
  <c r="I781" i="31"/>
  <c r="I782" i="31"/>
  <c r="I783" i="31"/>
  <c r="I784" i="31"/>
  <c r="I785" i="31"/>
  <c r="I786" i="31"/>
  <c r="I787" i="31"/>
  <c r="I788" i="31"/>
  <c r="I789" i="31"/>
  <c r="I790" i="31"/>
  <c r="I791" i="31"/>
  <c r="I792" i="31"/>
  <c r="I793" i="31"/>
  <c r="I794" i="31"/>
  <c r="I795" i="31"/>
  <c r="I796" i="31"/>
  <c r="I797" i="31"/>
  <c r="I798" i="31"/>
  <c r="I799" i="31"/>
  <c r="I800" i="31"/>
  <c r="I801" i="31"/>
  <c r="I802" i="31"/>
  <c r="I803" i="31"/>
  <c r="I804" i="31"/>
  <c r="I805" i="31"/>
  <c r="I806" i="31"/>
  <c r="I807" i="31"/>
  <c r="I808" i="31"/>
  <c r="I809" i="31"/>
  <c r="I810" i="31"/>
  <c r="I811" i="31"/>
  <c r="I812" i="31"/>
  <c r="I813" i="31"/>
  <c r="I814" i="31"/>
  <c r="I815" i="31"/>
  <c r="I816" i="31"/>
  <c r="I817" i="31"/>
  <c r="I818" i="31"/>
  <c r="I819" i="31"/>
  <c r="I820" i="31"/>
  <c r="I821" i="31"/>
  <c r="I822" i="31"/>
  <c r="I823" i="31"/>
  <c r="I824" i="31"/>
  <c r="I825" i="31"/>
  <c r="I826" i="31"/>
  <c r="I827" i="31"/>
  <c r="I828" i="31"/>
  <c r="I678" i="31"/>
  <c r="I685" i="31"/>
  <c r="I692" i="31"/>
  <c r="I694" i="31"/>
  <c r="I701" i="31"/>
  <c r="I708" i="31"/>
  <c r="I710" i="31"/>
  <c r="I717" i="31"/>
  <c r="I724" i="31"/>
  <c r="I726" i="31"/>
  <c r="I733" i="31"/>
  <c r="I738" i="31"/>
  <c r="I742" i="31"/>
  <c r="I746" i="31"/>
  <c r="I750" i="31"/>
  <c r="I754" i="31"/>
  <c r="I758" i="31"/>
  <c r="I762" i="31"/>
  <c r="I766" i="31"/>
  <c r="I770" i="31"/>
  <c r="I774" i="31"/>
  <c r="I778" i="31"/>
  <c r="I748" i="31"/>
  <c r="I756" i="31"/>
  <c r="I764" i="31"/>
  <c r="I772" i="31"/>
  <c r="I829" i="31"/>
  <c r="I830" i="31"/>
  <c r="I831" i="31"/>
  <c r="I832" i="31"/>
  <c r="I833" i="31"/>
  <c r="I834" i="31"/>
  <c r="I835" i="31"/>
  <c r="I836" i="31"/>
  <c r="I837" i="31"/>
  <c r="I838" i="31"/>
  <c r="I839" i="31"/>
  <c r="I840" i="31"/>
  <c r="I841" i="31"/>
  <c r="I842" i="31"/>
  <c r="I843" i="31"/>
  <c r="I844" i="31"/>
  <c r="I845" i="31"/>
  <c r="I846" i="31"/>
  <c r="I847" i="31"/>
  <c r="I848" i="31"/>
  <c r="I849" i="31"/>
  <c r="I850" i="31"/>
  <c r="I851" i="31"/>
  <c r="I852" i="31"/>
  <c r="I853" i="31"/>
  <c r="I854" i="31"/>
  <c r="I855" i="31"/>
  <c r="I856" i="31"/>
  <c r="I857" i="31"/>
  <c r="I858" i="31"/>
  <c r="I859" i="31"/>
  <c r="I860" i="31"/>
  <c r="I861" i="31"/>
  <c r="I862" i="31"/>
  <c r="I863" i="31"/>
  <c r="I864" i="31"/>
  <c r="I865" i="31"/>
  <c r="I866" i="31"/>
  <c r="I867" i="31"/>
  <c r="I868" i="31"/>
  <c r="I869" i="31"/>
  <c r="I870" i="31"/>
  <c r="I871" i="31"/>
  <c r="I872" i="31"/>
  <c r="I873" i="31"/>
  <c r="I874" i="31"/>
  <c r="I875" i="31"/>
  <c r="I876" i="31"/>
  <c r="I877" i="31"/>
  <c r="I878" i="31"/>
  <c r="I879" i="31"/>
  <c r="I880" i="31"/>
  <c r="I881" i="31"/>
  <c r="I882" i="31"/>
  <c r="I883" i="31"/>
  <c r="I884" i="31"/>
  <c r="I885" i="31"/>
  <c r="I886" i="31"/>
  <c r="I887" i="31"/>
  <c r="I888" i="31"/>
  <c r="I889" i="31"/>
  <c r="I890" i="31"/>
  <c r="I891" i="31"/>
  <c r="I892" i="31"/>
  <c r="I893" i="31"/>
  <c r="I894" i="31"/>
  <c r="I895" i="31"/>
  <c r="I896" i="31"/>
  <c r="I897" i="31"/>
  <c r="I898" i="31"/>
  <c r="I899" i="31"/>
  <c r="I900" i="31"/>
  <c r="I901" i="31"/>
  <c r="I902" i="31"/>
  <c r="I903" i="31"/>
  <c r="I904" i="31"/>
  <c r="I905" i="31"/>
  <c r="I906" i="31"/>
  <c r="I907" i="31"/>
  <c r="I908" i="31"/>
  <c r="I909" i="31"/>
  <c r="I910" i="31"/>
  <c r="I911" i="31"/>
  <c r="I912" i="31"/>
  <c r="I913" i="31"/>
  <c r="I914" i="31"/>
  <c r="I915" i="31"/>
  <c r="I916" i="31"/>
  <c r="I917" i="31"/>
  <c r="I918" i="31"/>
  <c r="I919" i="31"/>
  <c r="I920" i="31"/>
  <c r="I921" i="31"/>
  <c r="I922" i="31"/>
  <c r="I923" i="31"/>
  <c r="I924" i="31"/>
  <c r="I925" i="31"/>
  <c r="I926" i="31"/>
  <c r="I927" i="31"/>
  <c r="I928" i="31"/>
  <c r="I929" i="31"/>
  <c r="I930" i="31"/>
  <c r="I931" i="31"/>
  <c r="I932" i="31"/>
  <c r="I933" i="31"/>
  <c r="I934" i="31"/>
  <c r="I935" i="31"/>
  <c r="I936" i="31"/>
  <c r="I937" i="31"/>
  <c r="I938" i="31"/>
  <c r="I939" i="31"/>
  <c r="I940" i="31"/>
  <c r="I941" i="31"/>
  <c r="I744" i="31"/>
  <c r="I752" i="31"/>
  <c r="I760" i="31"/>
  <c r="I768" i="31"/>
  <c r="I776" i="31"/>
  <c r="I942" i="31"/>
  <c r="I946" i="31"/>
  <c r="I950" i="31"/>
  <c r="I954" i="31"/>
  <c r="I958" i="31"/>
  <c r="I962" i="31"/>
  <c r="I966" i="31"/>
  <c r="I970" i="31"/>
  <c r="I974" i="31"/>
  <c r="I978" i="31"/>
  <c r="I982" i="31"/>
  <c r="I986" i="31"/>
  <c r="I990" i="31"/>
  <c r="I945" i="31"/>
  <c r="I949" i="31"/>
  <c r="I953" i="31"/>
  <c r="I957" i="31"/>
  <c r="I961" i="31"/>
  <c r="I965" i="31"/>
  <c r="I969" i="31"/>
  <c r="I973" i="31"/>
  <c r="I977" i="31"/>
  <c r="I981" i="31"/>
  <c r="I985" i="31"/>
  <c r="I989" i="31"/>
  <c r="I944" i="31"/>
  <c r="I948" i="31"/>
  <c r="I952" i="31"/>
  <c r="I956" i="31"/>
  <c r="I960" i="31"/>
  <c r="I964" i="31"/>
  <c r="I968" i="31"/>
  <c r="I972" i="31"/>
  <c r="I976" i="31"/>
  <c r="I980" i="31"/>
  <c r="I984" i="31"/>
  <c r="I988" i="31"/>
  <c r="I943" i="31"/>
  <c r="I947" i="31"/>
  <c r="I951" i="31"/>
  <c r="I955" i="31"/>
  <c r="I959" i="31"/>
  <c r="I963" i="31"/>
  <c r="I967" i="31"/>
  <c r="I971" i="31"/>
  <c r="I975" i="31"/>
  <c r="I979" i="31"/>
  <c r="I983" i="31"/>
  <c r="I987" i="31"/>
  <c r="I991" i="31"/>
  <c r="I992" i="31"/>
  <c r="I993" i="31"/>
  <c r="I994" i="31"/>
  <c r="I995" i="31"/>
  <c r="C21" i="68"/>
  <c r="AC18" i="35"/>
  <c r="S18" i="36"/>
  <c r="AB32" i="71"/>
  <c r="AA34" i="71"/>
  <c r="M56" i="9"/>
  <c r="J56" i="83"/>
  <c r="J57" i="83" s="1"/>
  <c r="J59" i="83" s="1"/>
  <c r="J61" i="83" s="1"/>
  <c r="N56" i="83"/>
  <c r="M56" i="83"/>
  <c r="K56" i="83"/>
  <c r="W42" i="33"/>
  <c r="U38" i="33"/>
  <c r="AC32" i="33"/>
  <c r="W35" i="33"/>
  <c r="U39" i="33"/>
  <c r="F91" i="33"/>
  <c r="G91" i="33" s="1"/>
  <c r="H91" i="33" s="1"/>
  <c r="I91" i="33" s="1"/>
  <c r="J91" i="33" s="1"/>
  <c r="K91" i="33" s="1"/>
  <c r="L91" i="33" s="1"/>
  <c r="M91" i="33" s="1"/>
  <c r="AA25" i="33"/>
  <c r="W37" i="33"/>
  <c r="AA34" i="33"/>
  <c r="S28" i="33"/>
  <c r="S42" i="33"/>
  <c r="AC34" i="33"/>
  <c r="AC17" i="33"/>
  <c r="U15" i="33"/>
  <c r="W25" i="33"/>
  <c r="AC45" i="33"/>
  <c r="W33" i="33"/>
  <c r="W19" i="33"/>
  <c r="W8" i="33"/>
  <c r="AC15" i="33"/>
  <c r="S46" i="33"/>
  <c r="S45" i="33"/>
  <c r="AB36" i="33"/>
  <c r="AB41" i="33"/>
  <c r="U45" i="33"/>
  <c r="U33" i="33"/>
  <c r="AB14" i="33"/>
  <c r="U11" i="33"/>
  <c r="S43" i="33"/>
  <c r="AA17" i="33"/>
  <c r="AA44" i="33"/>
  <c r="AA19" i="33"/>
  <c r="E8" i="31"/>
  <c r="F8" i="31" s="1"/>
  <c r="G8" i="31" s="1"/>
  <c r="H8" i="31" s="1"/>
  <c r="I8" i="31" s="1"/>
  <c r="J8" i="31" s="1"/>
  <c r="K8" i="31" s="1"/>
  <c r="L8" i="31" s="1"/>
  <c r="M8" i="31" s="1"/>
  <c r="N8" i="31" s="1"/>
  <c r="O8" i="31" s="1"/>
  <c r="P8" i="31" s="1"/>
  <c r="Q8" i="31" s="1"/>
  <c r="R8" i="31" s="1"/>
  <c r="S8" i="31" s="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AC27" i="34"/>
  <c r="W23" i="34"/>
  <c r="F78" i="34"/>
  <c r="G78" i="34" s="1"/>
  <c r="H15" i="34"/>
  <c r="AB15" i="34" s="1"/>
  <c r="F15" i="34"/>
  <c r="AA15" i="34" s="1"/>
  <c r="J15" i="34"/>
  <c r="W15" i="34" s="1"/>
  <c r="H43" i="34"/>
  <c r="U43" i="34" s="1"/>
  <c r="F43" i="34"/>
  <c r="AA43" i="34" s="1"/>
  <c r="G124" i="34"/>
  <c r="H124" i="34" s="1"/>
  <c r="I124" i="34" s="1"/>
  <c r="J124" i="34" s="1"/>
  <c r="K124" i="34" s="1"/>
  <c r="L124" i="34" s="1"/>
  <c r="M124" i="34" s="1"/>
  <c r="J43" i="34"/>
  <c r="AB35" i="34"/>
  <c r="AC45" i="34"/>
  <c r="W44" i="34"/>
  <c r="F33" i="34"/>
  <c r="S33" i="34" s="1"/>
  <c r="W19" i="34"/>
  <c r="W8" i="34"/>
  <c r="AA8" i="34"/>
  <c r="AB41" i="34"/>
  <c r="W33" i="34"/>
  <c r="AA45" i="34"/>
  <c r="S23" i="34"/>
  <c r="U23" i="34"/>
  <c r="S19" i="34"/>
  <c r="U40" i="34"/>
  <c r="AA40" i="34"/>
  <c r="AC39" i="34"/>
  <c r="U38" i="34"/>
  <c r="W36" i="34"/>
  <c r="AA35" i="34"/>
  <c r="U34" i="34"/>
  <c r="B54" i="43"/>
  <c r="B79" i="43"/>
  <c r="C29" i="39"/>
  <c r="C25" i="39"/>
  <c r="F34" i="67"/>
  <c r="F62" i="67" s="1"/>
  <c r="M20" i="67"/>
  <c r="B41" i="1"/>
  <c r="F53" i="9" s="1"/>
  <c r="D93" i="9"/>
  <c r="G1" i="68"/>
  <c r="G1" i="67"/>
  <c r="G1" i="69"/>
  <c r="K10" i="1"/>
  <c r="M10" i="1" s="1"/>
  <c r="O10" i="1" s="1"/>
  <c r="P10" i="1" s="1"/>
  <c r="K6" i="1"/>
  <c r="AP6" i="1" s="1"/>
  <c r="G1" i="15"/>
  <c r="B6" i="1"/>
  <c r="E6" i="1" s="1"/>
  <c r="BE5" i="3"/>
  <c r="BD5" i="3"/>
  <c r="BC5" i="3"/>
  <c r="AZ563" i="3"/>
  <c r="AZ554" i="3"/>
  <c r="AC26" i="33"/>
  <c r="W26" i="33"/>
  <c r="AB30" i="21"/>
  <c r="U30" i="21"/>
  <c r="AC12" i="36"/>
  <c r="W12" i="36"/>
  <c r="AZ582" i="3"/>
  <c r="AZ574" i="3"/>
  <c r="AZ572" i="3"/>
  <c r="AZ501" i="3"/>
  <c r="H25" i="37"/>
  <c r="F25" i="37"/>
  <c r="AC12" i="40"/>
  <c r="W12" i="40"/>
  <c r="AZ552" i="3"/>
  <c r="H31" i="33"/>
  <c r="U31" i="33" s="1"/>
  <c r="F31" i="33"/>
  <c r="J12" i="34"/>
  <c r="H12" i="34"/>
  <c r="F12" i="34"/>
  <c r="S12" i="34" s="1"/>
  <c r="F46" i="34"/>
  <c r="J46" i="34"/>
  <c r="U8" i="39"/>
  <c r="AB8" i="39"/>
  <c r="BL564" i="3"/>
  <c r="AZ564" i="3" s="1"/>
  <c r="BA560" i="3"/>
  <c r="AZ560" i="3" s="1"/>
  <c r="C21" i="71"/>
  <c r="D21" i="71" s="1"/>
  <c r="H69" i="43"/>
  <c r="AC23" i="37"/>
  <c r="U9" i="21"/>
  <c r="S17" i="37"/>
  <c r="U21" i="39"/>
  <c r="S28" i="21"/>
  <c r="AA15" i="21"/>
  <c r="AC45" i="21"/>
  <c r="S19" i="21"/>
  <c r="W29" i="34"/>
  <c r="AB45" i="34"/>
  <c r="AB33" i="34"/>
  <c r="AA31" i="37"/>
  <c r="S23" i="39"/>
  <c r="U8" i="40"/>
  <c r="U9" i="33"/>
  <c r="S32" i="33"/>
  <c r="U15" i="37"/>
  <c r="AB16" i="35"/>
  <c r="U13" i="36"/>
  <c r="AA19" i="40"/>
  <c r="AB37" i="40"/>
  <c r="BB5" i="3"/>
  <c r="AZ387" i="3"/>
  <c r="AZ305" i="3"/>
  <c r="AZ360" i="3"/>
  <c r="J11" i="35"/>
  <c r="H30" i="34"/>
  <c r="W40" i="39"/>
  <c r="J27" i="21"/>
  <c r="F27" i="21"/>
  <c r="AA38" i="33"/>
  <c r="S38" i="33"/>
  <c r="H44" i="39"/>
  <c r="F44" i="39"/>
  <c r="J44" i="39"/>
  <c r="H36" i="39"/>
  <c r="J36" i="39"/>
  <c r="AC36" i="39" s="1"/>
  <c r="BL566" i="3"/>
  <c r="AZ566" i="3" s="1"/>
  <c r="S11" i="40"/>
  <c r="AZ338" i="3"/>
  <c r="AZ371" i="3"/>
  <c r="BA344" i="3"/>
  <c r="AZ344" i="3" s="1"/>
  <c r="H9" i="37"/>
  <c r="U9" i="37" s="1"/>
  <c r="BL565" i="3"/>
  <c r="AZ565" i="3" s="1"/>
  <c r="AZ513" i="3"/>
  <c r="AC11" i="40"/>
  <c r="BA584" i="3"/>
  <c r="AZ584" i="3" s="1"/>
  <c r="BL579" i="3"/>
  <c r="AZ579" i="3" s="1"/>
  <c r="BA569" i="3"/>
  <c r="AZ569" i="3" s="1"/>
  <c r="S13" i="21"/>
  <c r="U23" i="33"/>
  <c r="AB25" i="33"/>
  <c r="AA19" i="37"/>
  <c r="W17" i="21"/>
  <c r="AB25" i="21"/>
  <c r="AC28" i="33"/>
  <c r="AC13" i="33"/>
  <c r="AB34" i="33"/>
  <c r="W46" i="33"/>
  <c r="AA30" i="34"/>
  <c r="AB35" i="37"/>
  <c r="W35" i="35"/>
  <c r="AC31" i="39"/>
  <c r="W19" i="40"/>
  <c r="AA38" i="21"/>
  <c r="W43" i="33"/>
  <c r="W38" i="33"/>
  <c r="U28" i="34"/>
  <c r="S43" i="34"/>
  <c r="W41" i="34"/>
  <c r="U23" i="37"/>
  <c r="S30" i="37"/>
  <c r="W14" i="36"/>
  <c r="U19" i="39"/>
  <c r="U25" i="39"/>
  <c r="U21" i="40"/>
  <c r="S23" i="40"/>
  <c r="AC36" i="40"/>
  <c r="AZ14" i="3"/>
  <c r="BM5" i="3"/>
  <c r="AZ391" i="3"/>
  <c r="AZ331" i="3"/>
  <c r="AZ364" i="3"/>
  <c r="AZ329" i="3"/>
  <c r="AZ304" i="3"/>
  <c r="AZ306" i="3"/>
  <c r="W35" i="40"/>
  <c r="U40" i="39"/>
  <c r="AC13" i="40"/>
  <c r="AA13" i="33"/>
  <c r="U32" i="33"/>
  <c r="AZ547" i="3"/>
  <c r="BL577" i="3"/>
  <c r="AZ577" i="3" s="1"/>
  <c r="AZ503" i="3"/>
  <c r="AZ529" i="3"/>
  <c r="AZ508" i="3"/>
  <c r="AZ516" i="3"/>
  <c r="AZ540" i="3"/>
  <c r="H33" i="40"/>
  <c r="H25" i="35"/>
  <c r="H11" i="35"/>
  <c r="AB11" i="35" s="1"/>
  <c r="U40" i="33"/>
  <c r="AA41" i="33"/>
  <c r="W39" i="33"/>
  <c r="F9" i="33"/>
  <c r="AA9" i="33" s="1"/>
  <c r="J9" i="33"/>
  <c r="H34" i="36"/>
  <c r="J34" i="36"/>
  <c r="W34" i="36" s="1"/>
  <c r="J25" i="37"/>
  <c r="AZ345" i="3"/>
  <c r="AZ347" i="3"/>
  <c r="F30" i="21"/>
  <c r="J30" i="21"/>
  <c r="AA40" i="21"/>
  <c r="S40" i="21"/>
  <c r="BA561" i="3"/>
  <c r="AZ561" i="3" s="1"/>
  <c r="U13" i="37"/>
  <c r="BL343" i="3"/>
  <c r="AZ343" i="3" s="1"/>
  <c r="AZ535" i="3"/>
  <c r="AZ570" i="3"/>
  <c r="AC31" i="40"/>
  <c r="W31" i="40"/>
  <c r="BL582" i="3"/>
  <c r="BA577" i="3"/>
  <c r="BA576" i="3"/>
  <c r="AZ576" i="3" s="1"/>
  <c r="G570" i="3"/>
  <c r="BA568" i="3"/>
  <c r="AZ568" i="3" s="1"/>
  <c r="AB45" i="21"/>
  <c r="B58" i="43"/>
  <c r="W13" i="21"/>
  <c r="AB46" i="21"/>
  <c r="S45" i="21"/>
  <c r="S33" i="33"/>
  <c r="U19" i="34"/>
  <c r="AA29" i="37"/>
  <c r="S35" i="35"/>
  <c r="AC20" i="36"/>
  <c r="AB39" i="39"/>
  <c r="AA39" i="39"/>
  <c r="AB31" i="40"/>
  <c r="H27" i="33"/>
  <c r="S39" i="33"/>
  <c r="U42" i="33"/>
  <c r="AB29" i="33"/>
  <c r="AA35" i="33"/>
  <c r="U27" i="34"/>
  <c r="AB17" i="37"/>
  <c r="AA11" i="35"/>
  <c r="S20" i="35"/>
  <c r="U29" i="35"/>
  <c r="S16" i="36"/>
  <c r="S33" i="36"/>
  <c r="S43" i="39"/>
  <c r="S19" i="39"/>
  <c r="AA12" i="40"/>
  <c r="BO5" i="3"/>
  <c r="AZ357" i="3"/>
  <c r="AZ322" i="3"/>
  <c r="AZ340" i="3"/>
  <c r="W9" i="39"/>
  <c r="AB34" i="39"/>
  <c r="S14" i="40"/>
  <c r="AA25" i="21"/>
  <c r="F36" i="35"/>
  <c r="AZ511" i="3"/>
  <c r="BL553" i="3"/>
  <c r="AZ553" i="3" s="1"/>
  <c r="BL557" i="3"/>
  <c r="AZ557" i="3" s="1"/>
  <c r="AZ518" i="3"/>
  <c r="AZ502" i="3"/>
  <c r="AA14" i="33"/>
  <c r="F33" i="40"/>
  <c r="F25" i="35"/>
  <c r="J31" i="33"/>
  <c r="H13" i="33"/>
  <c r="U13" i="33" s="1"/>
  <c r="H27" i="21"/>
  <c r="AA44" i="34"/>
  <c r="BL587" i="3"/>
  <c r="AZ587" i="3" s="1"/>
  <c r="B97" i="43"/>
  <c r="B75" i="43"/>
  <c r="AB35" i="33"/>
  <c r="U35" i="33"/>
  <c r="F26" i="33"/>
  <c r="H26" i="33"/>
  <c r="H36" i="35"/>
  <c r="H24" i="36"/>
  <c r="AC28" i="36"/>
  <c r="W28" i="36"/>
  <c r="H12" i="36"/>
  <c r="F12" i="36"/>
  <c r="J39" i="37"/>
  <c r="H39" i="37"/>
  <c r="F39" i="37"/>
  <c r="S39" i="37" s="1"/>
  <c r="AB38" i="40"/>
  <c r="U38" i="40"/>
  <c r="U39" i="40"/>
  <c r="BL550" i="3"/>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BA521" i="3"/>
  <c r="BA515" i="3"/>
  <c r="AZ515" i="3" s="1"/>
  <c r="BA514" i="3"/>
  <c r="AZ514" i="3" s="1"/>
  <c r="BL506" i="3"/>
  <c r="AZ506" i="3" s="1"/>
  <c r="BA505" i="3"/>
  <c r="AZ505" i="3" s="1"/>
  <c r="BL504" i="3"/>
  <c r="AZ504" i="3" s="1"/>
  <c r="BL499" i="3"/>
  <c r="AZ499" i="3" s="1"/>
  <c r="BA497" i="3"/>
  <c r="AZ497" i="3" s="1"/>
  <c r="BL495" i="3"/>
  <c r="AZ495" i="3" s="1"/>
  <c r="AZ451" i="3"/>
  <c r="AZ469" i="3"/>
  <c r="BL519" i="3"/>
  <c r="AZ519" i="3" s="1"/>
  <c r="BL531" i="3"/>
  <c r="AZ531" i="3" s="1"/>
  <c r="BL559" i="3"/>
  <c r="AZ559" i="3" s="1"/>
  <c r="BL573" i="3"/>
  <c r="AZ573" i="3" s="1"/>
  <c r="BL583" i="3"/>
  <c r="AZ583" i="3" s="1"/>
  <c r="AA14" i="34"/>
  <c r="G587" i="3"/>
  <c r="AZ462" i="3"/>
  <c r="BL585" i="3"/>
  <c r="AZ585" i="3" s="1"/>
  <c r="F9" i="34"/>
  <c r="AA9" i="34" s="1"/>
  <c r="J9" i="34"/>
  <c r="AZ419" i="3"/>
  <c r="AZ4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489" i="3"/>
  <c r="AZ489" i="3" s="1"/>
  <c r="BL491" i="3"/>
  <c r="BL492" i="3"/>
  <c r="BL314" i="3"/>
  <c r="AZ314" i="3" s="1"/>
  <c r="G574"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BA459" i="3"/>
  <c r="AZ459" i="3" s="1"/>
  <c r="BA460" i="3"/>
  <c r="BA461" i="3"/>
  <c r="BL464" i="3"/>
  <c r="BL466" i="3"/>
  <c r="AZ466" i="3" s="1"/>
  <c r="G469" i="3"/>
  <c r="BL476" i="3"/>
  <c r="AZ476" i="3" s="1"/>
  <c r="BL477" i="3"/>
  <c r="BL478" i="3"/>
  <c r="AZ478" i="3" s="1"/>
  <c r="BL480" i="3"/>
  <c r="AZ480" i="3" s="1"/>
  <c r="BA483" i="3"/>
  <c r="BL483" i="3"/>
  <c r="BA486" i="3"/>
  <c r="BA303" i="3"/>
  <c r="AZ303" i="3" s="1"/>
  <c r="BA307" i="3"/>
  <c r="AZ307" i="3" s="1"/>
  <c r="J12" i="35"/>
  <c r="BA551" i="3"/>
  <c r="AZ551" i="3" s="1"/>
  <c r="BA550" i="3"/>
  <c r="AZ550" i="3" s="1"/>
  <c r="BL548" i="3"/>
  <c r="AZ548" i="3" s="1"/>
  <c r="BL16" i="3"/>
  <c r="AZ16" i="3" s="1"/>
  <c r="BA401" i="3"/>
  <c r="AZ401" i="3" s="1"/>
  <c r="BA403" i="3"/>
  <c r="AZ403" i="3" s="1"/>
  <c r="BA404" i="3"/>
  <c r="BA405" i="3"/>
  <c r="G409" i="3"/>
  <c r="BL410" i="3"/>
  <c r="G412" i="3"/>
  <c r="G418" i="3"/>
  <c r="G419" i="3"/>
  <c r="BA422" i="3"/>
  <c r="G429" i="3"/>
  <c r="G430" i="3"/>
  <c r="BL431" i="3"/>
  <c r="AZ431" i="3" s="1"/>
  <c r="G433" i="3"/>
  <c r="BL434" i="3"/>
  <c r="AZ434" i="3" s="1"/>
  <c r="G436" i="3"/>
  <c r="G437" i="3"/>
  <c r="BL438" i="3"/>
  <c r="BL439" i="3"/>
  <c r="AZ439" i="3" s="1"/>
  <c r="BA441" i="3"/>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BL308" i="3"/>
  <c r="AZ308" i="3" s="1"/>
  <c r="BL317" i="3"/>
  <c r="G318" i="3"/>
  <c r="AZ302" i="3"/>
  <c r="BA332" i="3"/>
  <c r="BL332" i="3"/>
  <c r="BA367" i="3"/>
  <c r="AZ367" i="3" s="1"/>
  <c r="BA370" i="3"/>
  <c r="AZ370" i="3" s="1"/>
  <c r="BA386" i="3"/>
  <c r="AZ386" i="3" s="1"/>
  <c r="BA216" i="3"/>
  <c r="AZ216" i="3" s="1"/>
  <c r="BA218" i="3"/>
  <c r="BL218" i="3"/>
  <c r="BL220" i="3"/>
  <c r="BL221" i="3"/>
  <c r="AZ221" i="3" s="1"/>
  <c r="BL223" i="3"/>
  <c r="BA227" i="3"/>
  <c r="AZ227" i="3" s="1"/>
  <c r="BA229" i="3"/>
  <c r="BL229" i="3"/>
  <c r="BL231" i="3"/>
  <c r="BL233" i="3"/>
  <c r="AZ233" i="3" s="1"/>
  <c r="BL235" i="3"/>
  <c r="AZ235" i="3" s="1"/>
  <c r="BL236" i="3"/>
  <c r="BL238" i="3"/>
  <c r="BL243" i="3"/>
  <c r="BA254" i="3"/>
  <c r="AZ254" i="3" s="1"/>
  <c r="BL300" i="3"/>
  <c r="BL138" i="3"/>
  <c r="BA140" i="3"/>
  <c r="AZ140" i="3" s="1"/>
  <c r="BA142" i="3"/>
  <c r="BL149" i="3"/>
  <c r="BL150"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AZ226" i="3" s="1"/>
  <c r="G227" i="3"/>
  <c r="BA239" i="3"/>
  <c r="BL239" i="3"/>
  <c r="BA241" i="3"/>
  <c r="BL241" i="3"/>
  <c r="BA244" i="3"/>
  <c r="BL244" i="3"/>
  <c r="BA246" i="3"/>
  <c r="BA250" i="3"/>
  <c r="BA252" i="3"/>
  <c r="AZ252" i="3" s="1"/>
  <c r="G256" i="3"/>
  <c r="BA258" i="3"/>
  <c r="BL262" i="3"/>
  <c r="BL263" i="3"/>
  <c r="G264" i="3"/>
  <c r="BL266" i="3"/>
  <c r="BL269" i="3"/>
  <c r="BL273" i="3"/>
  <c r="BA277" i="3"/>
  <c r="BL277" i="3"/>
  <c r="G284" i="3"/>
  <c r="BL285" i="3"/>
  <c r="BA291" i="3"/>
  <c r="AZ291" i="3" s="1"/>
  <c r="BL293" i="3"/>
  <c r="AZ293" i="3" s="1"/>
  <c r="BL294" i="3"/>
  <c r="BA297" i="3"/>
  <c r="BL297" i="3"/>
  <c r="BA120" i="3"/>
  <c r="AZ120" i="3" s="1"/>
  <c r="BA122" i="3"/>
  <c r="AZ122" i="3" s="1"/>
  <c r="BL125" i="3"/>
  <c r="AZ125" i="3" s="1"/>
  <c r="BL126" i="3"/>
  <c r="G134" i="3"/>
  <c r="BA137"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A249" i="3"/>
  <c r="BL249" i="3"/>
  <c r="G260" i="3"/>
  <c r="BL260" i="3"/>
  <c r="G262" i="3"/>
  <c r="G268" i="3"/>
  <c r="BL280" i="3"/>
  <c r="G282" i="3"/>
  <c r="BA288" i="3"/>
  <c r="BA290" i="3"/>
  <c r="AZ290" i="3" s="1"/>
  <c r="G302" i="3"/>
  <c r="BL113" i="3"/>
  <c r="BL115" i="3"/>
  <c r="AZ115" i="3" s="1"/>
  <c r="BA118" i="3"/>
  <c r="BL118" i="3"/>
  <c r="BA130" i="3"/>
  <c r="BL130" i="3"/>
  <c r="BA144" i="3"/>
  <c r="AZ144" i="3" s="1"/>
  <c r="BA149" i="3"/>
  <c r="BA152" i="3"/>
  <c r="AZ152" i="3" s="1"/>
  <c r="BA154" i="3"/>
  <c r="AZ154" i="3" s="1"/>
  <c r="BA160" i="3"/>
  <c r="AZ160" i="3" s="1"/>
  <c r="BL162" i="3"/>
  <c r="AZ162" i="3" s="1"/>
  <c r="BL165" i="3"/>
  <c r="BL170" i="3"/>
  <c r="BA173" i="3"/>
  <c r="AZ173" i="3" s="1"/>
  <c r="BL191" i="3"/>
  <c r="AZ191" i="3" s="1"/>
  <c r="BA193" i="3"/>
  <c r="BA26" i="3"/>
  <c r="BL28" i="3"/>
  <c r="BA29" i="3"/>
  <c r="AZ29" i="3" s="1"/>
  <c r="BL248" i="3"/>
  <c r="AZ248" i="3" s="1"/>
  <c r="BL250" i="3"/>
  <c r="BA259" i="3"/>
  <c r="AZ259" i="3" s="1"/>
  <c r="BL261" i="3"/>
  <c r="BA263" i="3"/>
  <c r="BA267" i="3"/>
  <c r="AZ267" i="3" s="1"/>
  <c r="BA269" i="3"/>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G154" i="3"/>
  <c r="BL157" i="3"/>
  <c r="AZ157" i="3" s="1"/>
  <c r="BL159" i="3"/>
  <c r="AZ159" i="3" s="1"/>
  <c r="BL177" i="3"/>
  <c r="AZ177" i="3" s="1"/>
  <c r="BL183" i="3"/>
  <c r="AZ183" i="3" s="1"/>
  <c r="BA186" i="3"/>
  <c r="AZ186" i="3" s="1"/>
  <c r="BA25" i="3"/>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BL178" i="3"/>
  <c r="BA180" i="3"/>
  <c r="AZ180" i="3" s="1"/>
  <c r="BL182" i="3"/>
  <c r="AZ182" i="3" s="1"/>
  <c r="BA185" i="3"/>
  <c r="AZ185" i="3" s="1"/>
  <c r="G190" i="3"/>
  <c r="BL193" i="3"/>
  <c r="G195" i="3"/>
  <c r="BA196" i="3"/>
  <c r="AZ196" i="3" s="1"/>
  <c r="G203" i="3"/>
  <c r="BA205" i="3"/>
  <c r="AZ205" i="3" s="1"/>
  <c r="BA18" i="3"/>
  <c r="AZ18" i="3" s="1"/>
  <c r="G21" i="3"/>
  <c r="BL21" i="3"/>
  <c r="AZ21" i="3" s="1"/>
  <c r="G26" i="3"/>
  <c r="G31" i="3"/>
  <c r="BL35" i="3"/>
  <c r="BA47" i="3"/>
  <c r="G56" i="3"/>
  <c r="BA70" i="3"/>
  <c r="BA36" i="3"/>
  <c r="BL38" i="3"/>
  <c r="BA39" i="3"/>
  <c r="AZ39" i="3" s="1"/>
  <c r="BL47" i="3"/>
  <c r="G50" i="3"/>
  <c r="G52" i="3"/>
  <c r="BA52" i="3"/>
  <c r="AZ52" i="3" s="1"/>
  <c r="BA53" i="3"/>
  <c r="AZ53" i="3" s="1"/>
  <c r="BA54" i="3"/>
  <c r="BL57" i="3"/>
  <c r="AZ57" i="3" s="1"/>
  <c r="G59" i="3"/>
  <c r="BL62" i="3"/>
  <c r="AZ62" i="3" s="1"/>
  <c r="BL63" i="3"/>
  <c r="AZ63" i="3" s="1"/>
  <c r="BL65" i="3"/>
  <c r="AZ65" i="3" s="1"/>
  <c r="BL66" i="3"/>
  <c r="AZ66" i="3" s="1"/>
  <c r="BL67" i="3"/>
  <c r="AZ67" i="3" s="1"/>
  <c r="BL70" i="3"/>
  <c r="BL71" i="3"/>
  <c r="AZ71" i="3" s="1"/>
  <c r="BL72" i="3"/>
  <c r="AZ72" i="3" s="1"/>
  <c r="BL75" i="3"/>
  <c r="BL91" i="3"/>
  <c r="BL100" i="3"/>
  <c r="AZ100" i="3" s="1"/>
  <c r="BL105" i="3"/>
  <c r="BL107" i="3"/>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G38" i="3"/>
  <c r="BA38" i="3"/>
  <c r="BA41" i="3"/>
  <c r="BA42" i="3"/>
  <c r="G46" i="3"/>
  <c r="G47" i="3"/>
  <c r="BL48" i="3"/>
  <c r="BL54" i="3"/>
  <c r="BL55" i="3"/>
  <c r="AZ55" i="3" s="1"/>
  <c r="G57" i="3"/>
  <c r="G58" i="3"/>
  <c r="BA59" i="3"/>
  <c r="G61" i="3"/>
  <c r="BL61" i="3"/>
  <c r="G64" i="3"/>
  <c r="BA64" i="3"/>
  <c r="AZ64" i="3" s="1"/>
  <c r="G67" i="3"/>
  <c r="BL68" i="3"/>
  <c r="BA69" i="3"/>
  <c r="AZ69" i="3" s="1"/>
  <c r="G72" i="3"/>
  <c r="BL73" i="3"/>
  <c r="BA78" i="3"/>
  <c r="BA80" i="3"/>
  <c r="G84" i="3"/>
  <c r="BL84" i="3"/>
  <c r="BA89" i="3"/>
  <c r="BL92" i="3"/>
  <c r="AZ92" i="3" s="1"/>
  <c r="BL94" i="3"/>
  <c r="AZ94" i="3" s="1"/>
  <c r="BL99" i="3"/>
  <c r="G101" i="3"/>
  <c r="BA101" i="3"/>
  <c r="BA102" i="3"/>
  <c r="BL110" i="3"/>
  <c r="BL111" i="3"/>
  <c r="AZ111"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AZ45" i="3" s="1"/>
  <c r="BA48" i="3"/>
  <c r="BA49" i="3"/>
  <c r="AZ49" i="3" s="1"/>
  <c r="BA51" i="3"/>
  <c r="AZ51" i="3" s="1"/>
  <c r="G54" i="3"/>
  <c r="BL56" i="3"/>
  <c r="AZ56" i="3" s="1"/>
  <c r="BA58" i="3"/>
  <c r="AZ58" i="3" s="1"/>
  <c r="BL59" i="3"/>
  <c r="BL60" i="3"/>
  <c r="AZ60" i="3" s="1"/>
  <c r="BA61" i="3"/>
  <c r="BA68" i="3"/>
  <c r="BA73" i="3"/>
  <c r="BA79" i="3"/>
  <c r="AZ79" i="3" s="1"/>
  <c r="G82" i="3"/>
  <c r="G83" i="3"/>
  <c r="BA84" i="3"/>
  <c r="AZ84" i="3" s="1"/>
  <c r="BL88" i="3"/>
  <c r="AZ88" i="3" s="1"/>
  <c r="G90" i="3"/>
  <c r="BL90" i="3"/>
  <c r="G98" i="3"/>
  <c r="G99" i="3"/>
  <c r="BA105" i="3"/>
  <c r="AZ105" i="3" s="1"/>
  <c r="BA106" i="3"/>
  <c r="BL108" i="3"/>
  <c r="G110" i="3"/>
  <c r="P65" i="71"/>
  <c r="P66" i="71"/>
  <c r="C47" i="71"/>
  <c r="D47" i="71" s="1"/>
  <c r="D46" i="71"/>
  <c r="K13" i="1"/>
  <c r="M13" i="1" s="1"/>
  <c r="O13" i="1" s="1"/>
  <c r="P13" i="1" s="1"/>
  <c r="D31" i="71"/>
  <c r="C32" i="71"/>
  <c r="C52" i="71"/>
  <c r="D51" i="71"/>
  <c r="C55" i="71"/>
  <c r="D54" i="71"/>
  <c r="C60" i="71"/>
  <c r="D59" i="71"/>
  <c r="N67" i="71"/>
  <c r="B66" i="71"/>
  <c r="F66" i="71"/>
  <c r="Q66" i="71" s="1"/>
  <c r="Q67" i="71"/>
  <c r="V24" i="71"/>
  <c r="E23" i="71"/>
  <c r="E22" i="71" s="1"/>
  <c r="E21" i="71" s="1"/>
  <c r="E20" i="71" s="1"/>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U25" i="40"/>
  <c r="S21" i="34"/>
  <c r="B68" i="43"/>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517" i="3"/>
  <c r="AZ562" i="3"/>
  <c r="AZ578" i="3"/>
  <c r="AC13" i="36"/>
  <c r="W13" i="36"/>
  <c r="AB31" i="33"/>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5" i="3"/>
  <c r="AZ449" i="3"/>
  <c r="AZ456" i="3"/>
  <c r="AZ467" i="3"/>
  <c r="AZ468" i="3"/>
  <c r="AZ470" i="3"/>
  <c r="W35" i="39"/>
  <c r="F27" i="34"/>
  <c r="C21" i="39"/>
  <c r="U9" i="36"/>
  <c r="U14" i="37"/>
  <c r="H12" i="21"/>
  <c r="G526" i="3"/>
  <c r="AZ420" i="3"/>
  <c r="AZ424" i="3"/>
  <c r="AZ436" i="3"/>
  <c r="AZ450" i="3"/>
  <c r="G28" i="6"/>
  <c r="G30" i="6" s="1"/>
  <c r="G31" i="6" s="1"/>
  <c r="U26" i="21"/>
  <c r="W36" i="39"/>
  <c r="U23" i="40"/>
  <c r="AC16" i="36"/>
  <c r="AB12" i="33"/>
  <c r="C27" i="39"/>
  <c r="U40" i="40"/>
  <c r="AC9" i="40"/>
  <c r="W36" i="35"/>
  <c r="J12" i="21"/>
  <c r="B73" i="43"/>
  <c r="B76" i="43"/>
  <c r="F9" i="36"/>
  <c r="J40" i="40"/>
  <c r="G562" i="3"/>
  <c r="AZ463" i="3"/>
  <c r="AZ212" i="3"/>
  <c r="AZ220" i="3"/>
  <c r="AZ231"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BA234" i="3"/>
  <c r="AZ236" i="3"/>
  <c r="G248" i="3"/>
  <c r="AZ258" i="3"/>
  <c r="AZ260" i="3"/>
  <c r="BL268" i="3"/>
  <c r="AZ268" i="3" s="1"/>
  <c r="G278" i="3"/>
  <c r="BA474" i="3"/>
  <c r="AZ474" i="3" s="1"/>
  <c r="BA475" i="3"/>
  <c r="AZ475" i="3" s="1"/>
  <c r="BL481" i="3"/>
  <c r="AZ481" i="3" s="1"/>
  <c r="BL482" i="3"/>
  <c r="G483" i="3"/>
  <c r="BL485" i="3"/>
  <c r="AZ485" i="3" s="1"/>
  <c r="BL486" i="3"/>
  <c r="G487" i="3"/>
  <c r="BA492" i="3"/>
  <c r="AZ492" i="3" s="1"/>
  <c r="BL363" i="3"/>
  <c r="AZ363" i="3" s="1"/>
  <c r="G369" i="3"/>
  <c r="BL393" i="3"/>
  <c r="AZ393" i="3" s="1"/>
  <c r="BL396" i="3"/>
  <c r="BL209" i="3"/>
  <c r="G240" i="3"/>
  <c r="G242" i="3"/>
  <c r="G245" i="3"/>
  <c r="BL246" i="3"/>
  <c r="BL253" i="3"/>
  <c r="AZ253" i="3" s="1"/>
  <c r="BA261" i="3"/>
  <c r="AZ261" i="3" s="1"/>
  <c r="BA264" i="3"/>
  <c r="AZ264" i="3" s="1"/>
  <c r="BA266" i="3"/>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BL36" i="3"/>
  <c r="AZ48" i="3"/>
  <c r="AZ73" i="3"/>
  <c r="AZ106" i="3"/>
  <c r="G200" i="3"/>
  <c r="G207" i="3"/>
  <c r="BA23" i="3"/>
  <c r="AZ23" i="3" s="1"/>
  <c r="BA24" i="3"/>
  <c r="AZ24" i="3" s="1"/>
  <c r="BL26" i="3"/>
  <c r="BL32" i="3"/>
  <c r="AZ32" i="3" s="1"/>
  <c r="BA34" i="3"/>
  <c r="AZ34" i="3" s="1"/>
  <c r="BA35" i="3"/>
  <c r="AZ35" i="3" s="1"/>
  <c r="BL37" i="3"/>
  <c r="AZ37" i="3" s="1"/>
  <c r="BL42" i="3"/>
  <c r="AZ42" i="3" s="1"/>
  <c r="BA44" i="3"/>
  <c r="AZ44" i="3" s="1"/>
  <c r="AZ46" i="3"/>
  <c r="BA206" i="3"/>
  <c r="BL22" i="3"/>
  <c r="AZ22" i="3" s="1"/>
  <c r="BL33" i="3"/>
  <c r="AZ33" i="3" s="1"/>
  <c r="BL43" i="3"/>
  <c r="AZ43" i="3" s="1"/>
  <c r="BL46" i="3"/>
  <c r="AZ54" i="3"/>
  <c r="AZ90"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S9" i="33"/>
  <c r="S8" i="33"/>
  <c r="U8" i="33"/>
  <c r="W8" i="21"/>
  <c r="S8" i="21"/>
  <c r="AA11" i="21"/>
  <c r="AC11" i="21"/>
  <c r="AB11" i="21"/>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M22" i="15"/>
  <c r="F26" i="67"/>
  <c r="M22" i="82"/>
  <c r="F13" i="82"/>
  <c r="M24" i="82"/>
  <c r="F8" i="15"/>
  <c r="M23" i="15"/>
  <c r="F26" i="82"/>
  <c r="M9" i="15"/>
  <c r="F38" i="15"/>
  <c r="F42" i="82"/>
  <c r="F40" i="82"/>
  <c r="F7" i="82"/>
  <c r="L48" i="82"/>
  <c r="F16" i="15"/>
  <c r="M6" i="67"/>
  <c r="F42" i="67"/>
  <c r="D3" i="73"/>
  <c r="F13" i="15"/>
  <c r="F7" i="67"/>
  <c r="F36" i="67"/>
  <c r="M6" i="82"/>
  <c r="F26" i="15"/>
  <c r="L47" i="67"/>
  <c r="C76" i="67"/>
  <c r="C76" i="15"/>
  <c r="F16" i="82"/>
  <c r="F37" i="15"/>
  <c r="L47" i="15"/>
  <c r="F9" i="82"/>
  <c r="M28" i="15"/>
  <c r="M9" i="67"/>
  <c r="F8" i="67"/>
  <c r="M23" i="67"/>
  <c r="F8" i="82"/>
  <c r="F16" i="67"/>
  <c r="M8" i="15"/>
  <c r="F37" i="82"/>
  <c r="M24" i="67"/>
  <c r="M29" i="67"/>
  <c r="F43" i="82"/>
  <c r="M23" i="82"/>
  <c r="F13" i="67"/>
  <c r="F43" i="15"/>
  <c r="F38" i="67"/>
  <c r="D5" i="73"/>
  <c r="M9" i="82"/>
  <c r="J15" i="82"/>
  <c r="F6" i="15"/>
  <c r="J15" i="15"/>
  <c r="F40" i="67"/>
  <c r="M6" i="15"/>
  <c r="M28" i="67"/>
  <c r="F36" i="82"/>
  <c r="F9" i="67"/>
  <c r="M28" i="82"/>
  <c r="M26" i="67"/>
  <c r="L47" i="82"/>
  <c r="F38" i="82"/>
  <c r="F6" i="82"/>
  <c r="F42" i="15"/>
  <c r="M29" i="82"/>
  <c r="F7" i="15"/>
  <c r="M29" i="15"/>
  <c r="D4" i="73"/>
  <c r="D7" i="73"/>
  <c r="F9" i="15"/>
  <c r="M22" i="67"/>
  <c r="F40" i="15"/>
  <c r="F37" i="67"/>
  <c r="F43" i="67"/>
  <c r="M26" i="15"/>
  <c r="J15" i="67"/>
  <c r="M8" i="82"/>
  <c r="L48" i="67"/>
  <c r="F36" i="15"/>
  <c r="L48" i="15"/>
  <c r="M26" i="82"/>
  <c r="M24" i="15"/>
  <c r="C76" i="82"/>
  <c r="M8" i="67"/>
  <c r="AB7" i="85" l="1"/>
  <c r="T49" i="85" s="1"/>
  <c r="G49" i="85" s="1"/>
  <c r="U7" i="85"/>
  <c r="W7" i="85"/>
  <c r="AC7" i="85"/>
  <c r="V49" i="85" s="1"/>
  <c r="I49" i="85" s="1"/>
  <c r="S7" i="85"/>
  <c r="AA7" i="85"/>
  <c r="R49" i="85" s="1"/>
  <c r="C27" i="82"/>
  <c r="F64" i="82"/>
  <c r="C6" i="82"/>
  <c r="Q71" i="82"/>
  <c r="F68" i="82"/>
  <c r="L57" i="82"/>
  <c r="L56" i="82"/>
  <c r="L60" i="82"/>
  <c r="L58" i="82"/>
  <c r="M59" i="82"/>
  <c r="L59" i="82"/>
  <c r="N59" i="82"/>
  <c r="F50" i="82"/>
  <c r="M7" i="82"/>
  <c r="J6" i="82" s="1"/>
  <c r="F51" i="82"/>
  <c r="F71" i="82"/>
  <c r="F66" i="82"/>
  <c r="F65" i="82"/>
  <c r="E28" i="6"/>
  <c r="K14" i="1" s="1"/>
  <c r="AZ25" i="3"/>
  <c r="AZ426" i="3"/>
  <c r="AZ61" i="3"/>
  <c r="AZ101" i="3"/>
  <c r="AZ41" i="3"/>
  <c r="AZ263" i="3"/>
  <c r="AZ483" i="3"/>
  <c r="AZ414" i="3"/>
  <c r="AB43" i="34"/>
  <c r="F27" i="33"/>
  <c r="AZ341" i="3"/>
  <c r="AZ400" i="3"/>
  <c r="AC24" i="36"/>
  <c r="W24" i="36"/>
  <c r="AZ282" i="3"/>
  <c r="AZ68" i="3"/>
  <c r="AC23" i="36"/>
  <c r="W23" i="36"/>
  <c r="U23" i="35"/>
  <c r="AB23" i="35"/>
  <c r="AZ275" i="3"/>
  <c r="U12" i="35"/>
  <c r="AB12" i="35"/>
  <c r="Q65" i="71"/>
  <c r="AZ170" i="3"/>
  <c r="AZ138" i="3"/>
  <c r="AZ114" i="3"/>
  <c r="AZ209" i="3"/>
  <c r="AZ234" i="3"/>
  <c r="AZ354" i="3"/>
  <c r="AZ27" i="3"/>
  <c r="AZ178" i="3"/>
  <c r="AZ150" i="3"/>
  <c r="AZ149" i="3"/>
  <c r="AZ243" i="3"/>
  <c r="AZ368" i="3"/>
  <c r="AZ137" i="3"/>
  <c r="AZ210" i="3"/>
  <c r="AZ229" i="3"/>
  <c r="AZ332" i="3"/>
  <c r="AZ438" i="3"/>
  <c r="AZ422" i="3"/>
  <c r="AZ460" i="3"/>
  <c r="AZ425" i="3"/>
  <c r="AZ446" i="3"/>
  <c r="F48" i="83"/>
  <c r="O52" i="83" s="1"/>
  <c r="F28" i="82"/>
  <c r="C28" i="82" s="1"/>
  <c r="F53" i="83"/>
  <c r="M18" i="82"/>
  <c r="D68" i="83"/>
  <c r="F52" i="83"/>
  <c r="F32" i="82"/>
  <c r="F60" i="82" s="1"/>
  <c r="F54" i="83"/>
  <c r="J27" i="33"/>
  <c r="AZ346" i="3"/>
  <c r="AA11" i="33"/>
  <c r="S11" i="33"/>
  <c r="J57" i="82"/>
  <c r="J55" i="82" s="1"/>
  <c r="J58" i="82" s="1"/>
  <c r="Q50" i="82" s="1"/>
  <c r="I54" i="82"/>
  <c r="J53" i="82"/>
  <c r="AB13" i="33"/>
  <c r="M11" i="82"/>
  <c r="J10" i="82" s="1"/>
  <c r="F11" i="82"/>
  <c r="AC15" i="34"/>
  <c r="S15" i="34"/>
  <c r="U15" i="34"/>
  <c r="AC43" i="34"/>
  <c r="W43" i="34"/>
  <c r="AA33" i="34"/>
  <c r="S9" i="34"/>
  <c r="F48" i="9"/>
  <c r="O52" i="9" s="1"/>
  <c r="F28" i="67"/>
  <c r="C28" i="67" s="1"/>
  <c r="F32" i="67"/>
  <c r="F60" i="67" s="1"/>
  <c r="F28" i="15"/>
  <c r="C28" i="15" s="1"/>
  <c r="F31" i="12"/>
  <c r="C31" i="12" s="1"/>
  <c r="F30" i="69"/>
  <c r="D68" i="9"/>
  <c r="M18" i="67"/>
  <c r="F30" i="68"/>
  <c r="F52" i="9"/>
  <c r="F32" i="15"/>
  <c r="F60" i="15" s="1"/>
  <c r="F54" i="9"/>
  <c r="M18" i="15"/>
  <c r="F30" i="11"/>
  <c r="Q71" i="67"/>
  <c r="F65" i="67"/>
  <c r="F64" i="67"/>
  <c r="F71" i="67"/>
  <c r="F51" i="67"/>
  <c r="F68" i="67"/>
  <c r="F66" i="67"/>
  <c r="L58" i="67"/>
  <c r="Q60" i="67" s="1"/>
  <c r="L59" i="67"/>
  <c r="Q61" i="67" s="1"/>
  <c r="M59" i="67"/>
  <c r="N59" i="67"/>
  <c r="F50" i="67"/>
  <c r="M7" i="67"/>
  <c r="J6" i="67" s="1"/>
  <c r="J53" i="67"/>
  <c r="Q52" i="67" s="1"/>
  <c r="J57" i="67"/>
  <c r="J55" i="67" s="1"/>
  <c r="J58" i="67" s="1"/>
  <c r="Q50" i="67" s="1"/>
  <c r="I54" i="67"/>
  <c r="L56" i="67"/>
  <c r="C27" i="67"/>
  <c r="F26" i="43"/>
  <c r="N370" i="46"/>
  <c r="F66" i="15"/>
  <c r="I54" i="15"/>
  <c r="J57" i="15"/>
  <c r="J55" i="15" s="1"/>
  <c r="J58" i="15" s="1"/>
  <c r="Q50" i="15" s="1"/>
  <c r="J53" i="15"/>
  <c r="L56" i="15" s="1"/>
  <c r="E59" i="40"/>
  <c r="H16" i="1"/>
  <c r="P6" i="1"/>
  <c r="C13" i="12" s="1"/>
  <c r="C6" i="15"/>
  <c r="C32" i="15" s="1"/>
  <c r="F31" i="15"/>
  <c r="F51" i="15"/>
  <c r="F65" i="15"/>
  <c r="Q71" i="15"/>
  <c r="N59" i="15"/>
  <c r="L58" i="15"/>
  <c r="Q73" i="15" s="1"/>
  <c r="M59" i="15"/>
  <c r="L59" i="15"/>
  <c r="Q74" i="15" s="1"/>
  <c r="C27" i="15"/>
  <c r="F71" i="15"/>
  <c r="M7" i="15"/>
  <c r="J6" i="15" s="1"/>
  <c r="J18" i="15" s="1"/>
  <c r="F50" i="15"/>
  <c r="F59" i="15" s="1"/>
  <c r="F64" i="15"/>
  <c r="F68" i="15"/>
  <c r="C86" i="71"/>
  <c r="D86" i="71" s="1"/>
  <c r="D87" i="71"/>
  <c r="U12" i="36"/>
  <c r="AB12" i="36"/>
  <c r="AB36" i="35"/>
  <c r="U36" i="35"/>
  <c r="S30" i="21"/>
  <c r="AA30" i="21"/>
  <c r="AB34" i="36"/>
  <c r="U34" i="36"/>
  <c r="AB33" i="40"/>
  <c r="U33" i="40"/>
  <c r="AA44" i="39"/>
  <c r="S44" i="39"/>
  <c r="AA27" i="21"/>
  <c r="S27" i="21"/>
  <c r="S31" i="33"/>
  <c r="AA31" i="33"/>
  <c r="E26" i="43"/>
  <c r="H26" i="43"/>
  <c r="AZ80" i="3"/>
  <c r="C70" i="71"/>
  <c r="D70" i="71" s="1"/>
  <c r="D71" i="71"/>
  <c r="C36" i="71"/>
  <c r="D35" i="71"/>
  <c r="D60" i="71"/>
  <c r="T60" i="71"/>
  <c r="AZ70" i="3"/>
  <c r="AZ118" i="3"/>
  <c r="AC9" i="34"/>
  <c r="W9" i="34"/>
  <c r="AZ521" i="3"/>
  <c r="AB39" i="37"/>
  <c r="U39" i="37"/>
  <c r="AA33" i="40"/>
  <c r="S33" i="40"/>
  <c r="AC9" i="33"/>
  <c r="W9" i="33"/>
  <c r="W27" i="21"/>
  <c r="AC27" i="21"/>
  <c r="J7" i="37"/>
  <c r="W7" i="37" s="1"/>
  <c r="G16" i="1"/>
  <c r="F10" i="39" s="1"/>
  <c r="AA10" i="39" s="1"/>
  <c r="G26" i="43"/>
  <c r="AB9" i="37"/>
  <c r="G5" i="3"/>
  <c r="B3" i="3" s="1"/>
  <c r="E510" i="3" s="1"/>
  <c r="AZ36" i="3"/>
  <c r="AZ295" i="3"/>
  <c r="AZ142" i="3"/>
  <c r="AZ281" i="3"/>
  <c r="AZ482" i="3"/>
  <c r="AZ348" i="3"/>
  <c r="AZ317" i="3"/>
  <c r="T28" i="71"/>
  <c r="D28" i="71"/>
  <c r="U28" i="71" s="1"/>
  <c r="C27" i="71"/>
  <c r="D79" i="71"/>
  <c r="C78" i="71"/>
  <c r="D78" i="71" s="1"/>
  <c r="AZ91" i="3"/>
  <c r="N65" i="71"/>
  <c r="N66" i="71"/>
  <c r="T32" i="71"/>
  <c r="D32" i="71"/>
  <c r="AZ294" i="3"/>
  <c r="AZ271" i="3"/>
  <c r="AZ130" i="3"/>
  <c r="AZ353" i="3"/>
  <c r="AZ277" i="3"/>
  <c r="AZ397" i="3"/>
  <c r="AZ218" i="3"/>
  <c r="AZ441" i="3"/>
  <c r="AZ405" i="3"/>
  <c r="W12" i="35"/>
  <c r="AC12" i="35"/>
  <c r="AZ457" i="3"/>
  <c r="AZ421" i="3"/>
  <c r="AC39" i="37"/>
  <c r="W39" i="37"/>
  <c r="S26" i="33"/>
  <c r="AA26" i="33"/>
  <c r="S36" i="35"/>
  <c r="AA36" i="35"/>
  <c r="AC25" i="37"/>
  <c r="W25" i="37"/>
  <c r="AB36" i="39"/>
  <c r="U36" i="39"/>
  <c r="U12" i="34"/>
  <c r="AB12" i="34"/>
  <c r="C40" i="71"/>
  <c r="D39" i="71"/>
  <c r="C44" i="71"/>
  <c r="D43" i="71"/>
  <c r="AZ31" i="3"/>
  <c r="AZ250" i="3"/>
  <c r="S25" i="35"/>
  <c r="AA25" i="35"/>
  <c r="W11" i="35"/>
  <c r="AC11" i="35"/>
  <c r="S46" i="34"/>
  <c r="AA46" i="34"/>
  <c r="U25" i="37"/>
  <c r="AB25" i="37"/>
  <c r="J7" i="36"/>
  <c r="AC7" i="36" s="1"/>
  <c r="V36" i="36" s="1"/>
  <c r="I36" i="36" s="1"/>
  <c r="AZ206" i="3"/>
  <c r="AZ396" i="3"/>
  <c r="AZ232" i="3"/>
  <c r="T52" i="71"/>
  <c r="D52" i="71"/>
  <c r="AZ28" i="3"/>
  <c r="AZ241" i="3"/>
  <c r="U26" i="33"/>
  <c r="AB26" i="33"/>
  <c r="AB27" i="21"/>
  <c r="U27" i="21"/>
  <c r="U27" i="33"/>
  <c r="AB27" i="33"/>
  <c r="AB44" i="39"/>
  <c r="U44" i="39"/>
  <c r="N94" i="46"/>
  <c r="Q16" i="1"/>
  <c r="F27" i="69" s="1"/>
  <c r="C47" i="69" s="1"/>
  <c r="D45" i="69" s="1"/>
  <c r="AZ107" i="3"/>
  <c r="AZ89" i="3"/>
  <c r="AZ26" i="3"/>
  <c r="AZ5" i="3" s="1"/>
  <c r="AY6" i="3" s="1"/>
  <c r="AZ279" i="3"/>
  <c r="AZ266" i="3"/>
  <c r="AZ246" i="3"/>
  <c r="AZ486" i="3"/>
  <c r="AA39" i="37"/>
  <c r="D83" i="71"/>
  <c r="C82" i="71"/>
  <c r="D82" i="71" s="1"/>
  <c r="O65" i="71"/>
  <c r="D66" i="71"/>
  <c r="O66" i="71"/>
  <c r="C56" i="71"/>
  <c r="D55" i="71"/>
  <c r="AZ19" i="3"/>
  <c r="AZ102" i="3"/>
  <c r="AZ59" i="3"/>
  <c r="AZ38" i="3"/>
  <c r="AZ47" i="3"/>
  <c r="AZ121" i="3"/>
  <c r="AZ269" i="3"/>
  <c r="AZ249" i="3"/>
  <c r="AZ223" i="3"/>
  <c r="AZ297" i="3"/>
  <c r="AZ244" i="3"/>
  <c r="AZ239" i="3"/>
  <c r="AZ404" i="3"/>
  <c r="AZ461" i="3"/>
  <c r="AA12" i="36"/>
  <c r="S12" i="36"/>
  <c r="AB24" i="36"/>
  <c r="U24" i="36"/>
  <c r="W31" i="33"/>
  <c r="AC31" i="33"/>
  <c r="W30" i="21"/>
  <c r="AC30" i="21"/>
  <c r="AB25" i="35"/>
  <c r="U25" i="35"/>
  <c r="F29" i="6"/>
  <c r="E29" i="6" s="1"/>
  <c r="K15" i="1" s="1"/>
  <c r="K16" i="1" s="1"/>
  <c r="B29" i="1" s="1"/>
  <c r="C8" i="68" s="1"/>
  <c r="C5" i="68" s="1"/>
  <c r="AC44" i="39"/>
  <c r="W44" i="39"/>
  <c r="AB30" i="34"/>
  <c r="U30" i="34"/>
  <c r="AC46" i="34"/>
  <c r="W46" i="34"/>
  <c r="W12" i="34"/>
  <c r="AC12" i="34"/>
  <c r="AA25" i="37"/>
  <c r="S25" i="37"/>
  <c r="K1" i="73"/>
  <c r="E442" i="3"/>
  <c r="E449" i="3"/>
  <c r="E417" i="3"/>
  <c r="E479" i="3"/>
  <c r="E241" i="3"/>
  <c r="E349" i="3"/>
  <c r="E484" i="3"/>
  <c r="E46" i="3"/>
  <c r="E310" i="3"/>
  <c r="E492" i="3"/>
  <c r="E355" i="3"/>
  <c r="E68" i="3"/>
  <c r="E513" i="3"/>
  <c r="E281" i="3"/>
  <c r="E482" i="3"/>
  <c r="E96" i="3"/>
  <c r="E522" i="3"/>
  <c r="E86" i="3"/>
  <c r="E113" i="3"/>
  <c r="E308" i="3"/>
  <c r="E525" i="3"/>
  <c r="E534" i="3"/>
  <c r="E469" i="3"/>
  <c r="E512"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C7" i="43"/>
  <c r="C5" i="43" s="1"/>
  <c r="D10" i="52"/>
  <c r="D125" i="9"/>
  <c r="D11" i="52" s="1"/>
  <c r="B7" i="74"/>
  <c r="C7" i="74" s="1"/>
  <c r="E69" i="39"/>
  <c r="F59" i="67"/>
  <c r="H7" i="37"/>
  <c r="AB7" i="37" s="1"/>
  <c r="H7" i="33"/>
  <c r="J7" i="33"/>
  <c r="D65" i="40"/>
  <c r="E63" i="40"/>
  <c r="F48" i="35"/>
  <c r="S7" i="36"/>
  <c r="AA7" i="36"/>
  <c r="R36" i="36" s="1"/>
  <c r="AC7" i="37"/>
  <c r="U7" i="36"/>
  <c r="F7" i="33"/>
  <c r="E58" i="21"/>
  <c r="F7" i="37"/>
  <c r="M17" i="67"/>
  <c r="P28" i="43"/>
  <c r="B66" i="40" s="1"/>
  <c r="P25" i="43"/>
  <c r="P29" i="43"/>
  <c r="P27" i="43"/>
  <c r="B70" i="39" s="1"/>
  <c r="M11" i="67"/>
  <c r="J10" i="67" s="1"/>
  <c r="F11" i="15"/>
  <c r="M11" i="15"/>
  <c r="J10" i="15" s="1"/>
  <c r="F11" i="67"/>
  <c r="AE11" i="1"/>
  <c r="AE9" i="1"/>
  <c r="AE7" i="1"/>
  <c r="AE12" i="1"/>
  <c r="AE10" i="1"/>
  <c r="C16" i="82"/>
  <c r="C16" i="67"/>
  <c r="C16" i="15"/>
  <c r="G1" i="73"/>
  <c r="C49" i="82" l="1"/>
  <c r="C61" i="82" s="1"/>
  <c r="I53" i="85"/>
  <c r="J53" i="85" s="1"/>
  <c r="R50" i="85"/>
  <c r="E49" i="85"/>
  <c r="G53" i="85"/>
  <c r="H53" i="85" s="1"/>
  <c r="G54" i="85"/>
  <c r="H54" i="85" s="1"/>
  <c r="J5" i="82"/>
  <c r="J26" i="82" s="1"/>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T6" i="3"/>
  <c r="E205" i="3"/>
  <c r="E251" i="3"/>
  <c r="E129" i="3"/>
  <c r="E391" i="3"/>
  <c r="E283" i="3"/>
  <c r="E67" i="3"/>
  <c r="E160" i="3"/>
  <c r="E544" i="3"/>
  <c r="E37" i="3"/>
  <c r="AP6" i="3"/>
  <c r="E286" i="3"/>
  <c r="W27" i="33"/>
  <c r="AC27" i="33"/>
  <c r="AA27" i="33"/>
  <c r="S27" i="33"/>
  <c r="Q66" i="82"/>
  <c r="Q57" i="82"/>
  <c r="J18" i="67"/>
  <c r="Q74" i="82"/>
  <c r="Q61" i="82"/>
  <c r="C33" i="82"/>
  <c r="C32" i="82"/>
  <c r="F1" i="82"/>
  <c r="Q52" i="82"/>
  <c r="J19" i="82"/>
  <c r="J18" i="82"/>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56" i="3"/>
  <c r="E140" i="3"/>
  <c r="AF6" i="3"/>
  <c r="AC6" i="3" s="1"/>
  <c r="E6" i="3" s="1"/>
  <c r="E383" i="3"/>
  <c r="E42" i="3"/>
  <c r="E309" i="3"/>
  <c r="E184" i="3"/>
  <c r="E267" i="3"/>
  <c r="E409" i="3"/>
  <c r="E258" i="3"/>
  <c r="E554" i="3"/>
  <c r="E499" i="3"/>
  <c r="Q73" i="82"/>
  <c r="Q60" i="82"/>
  <c r="C53" i="82"/>
  <c r="C48" i="82" s="1"/>
  <c r="C10" i="82"/>
  <c r="C5" i="82" s="1"/>
  <c r="F1" i="67"/>
  <c r="Q74" i="67"/>
  <c r="C49" i="67"/>
  <c r="Q52" i="15"/>
  <c r="J5" i="67"/>
  <c r="J24" i="67" s="1"/>
  <c r="C48" i="11"/>
  <c r="C30" i="11"/>
  <c r="F48" i="69"/>
  <c r="C30" i="69"/>
  <c r="C48" i="69"/>
  <c r="F48" i="68"/>
  <c r="C48" i="68"/>
  <c r="C30" i="68"/>
  <c r="Q73" i="67"/>
  <c r="F27" i="68"/>
  <c r="F45" i="68" s="1"/>
  <c r="F27" i="11"/>
  <c r="C29" i="11" s="1"/>
  <c r="D27" i="11" s="1"/>
  <c r="Q60" i="15"/>
  <c r="F1" i="15"/>
  <c r="S10" i="39"/>
  <c r="H10" i="40"/>
  <c r="AB10" i="40" s="1"/>
  <c r="J10" i="39"/>
  <c r="W10" i="39" s="1"/>
  <c r="F10" i="40"/>
  <c r="S10" i="40" s="1"/>
  <c r="E197" i="3"/>
  <c r="E287" i="3"/>
  <c r="E206" i="3"/>
  <c r="E174" i="3"/>
  <c r="E75" i="3"/>
  <c r="E198" i="3"/>
  <c r="E63" i="3"/>
  <c r="E33" i="3"/>
  <c r="E371" i="3"/>
  <c r="E467" i="3"/>
  <c r="E389" i="3"/>
  <c r="E152" i="3"/>
  <c r="E517" i="3"/>
  <c r="E430" i="3"/>
  <c r="E212" i="3"/>
  <c r="E408" i="3"/>
  <c r="E405" i="3"/>
  <c r="E173" i="3"/>
  <c r="E22" i="3"/>
  <c r="E102" i="3"/>
  <c r="E34" i="3"/>
  <c r="E235" i="3"/>
  <c r="E18" i="3"/>
  <c r="AL6" i="3"/>
  <c r="E494" i="3"/>
  <c r="E81" i="3"/>
  <c r="E233" i="3"/>
  <c r="E84" i="3"/>
  <c r="E249" i="3"/>
  <c r="E64" i="3"/>
  <c r="E59" i="3"/>
  <c r="E292" i="3"/>
  <c r="E95" i="3"/>
  <c r="E491" i="3"/>
  <c r="E255" i="3"/>
  <c r="E502" i="3"/>
  <c r="E536" i="3"/>
  <c r="E466" i="3"/>
  <c r="E575" i="3"/>
  <c r="E539" i="3"/>
  <c r="J10" i="40"/>
  <c r="AC10" i="40" s="1"/>
  <c r="F45" i="69"/>
  <c r="C29" i="69"/>
  <c r="D27" i="69" s="1"/>
  <c r="E332" i="3"/>
  <c r="E21" i="3"/>
  <c r="E264" i="3"/>
  <c r="E381" i="3"/>
  <c r="E144" i="3"/>
  <c r="E23" i="3"/>
  <c r="E300" i="3"/>
  <c r="E103" i="3"/>
  <c r="E425" i="3"/>
  <c r="E76" i="3"/>
  <c r="E363" i="3"/>
  <c r="E192" i="3"/>
  <c r="E56" i="3"/>
  <c r="E435" i="3"/>
  <c r="I3" i="6"/>
  <c r="E541" i="3"/>
  <c r="R6" i="3"/>
  <c r="E199" i="3"/>
  <c r="D26" i="43"/>
  <c r="C25" i="43" s="1"/>
  <c r="C33" i="43" s="1"/>
  <c r="C49" i="15"/>
  <c r="Q61" i="15"/>
  <c r="D44" i="71"/>
  <c r="T44" i="71"/>
  <c r="C26" i="71"/>
  <c r="D26" i="71" s="1"/>
  <c r="D27" i="71"/>
  <c r="W7" i="36"/>
  <c r="D56" i="71"/>
  <c r="T56" i="71"/>
  <c r="M17" i="15"/>
  <c r="T42" i="37"/>
  <c r="G42" i="37" s="1"/>
  <c r="H10" i="39"/>
  <c r="U10" i="39" s="1"/>
  <c r="E3" i="6"/>
  <c r="D3" i="21" s="1"/>
  <c r="T49" i="34"/>
  <c r="G49" i="34" s="1"/>
  <c r="G53" i="34" s="1"/>
  <c r="H53" i="34" s="1"/>
  <c r="T40" i="71"/>
  <c r="D40" i="71"/>
  <c r="J5" i="15"/>
  <c r="J24" i="15" s="1"/>
  <c r="T36" i="71"/>
  <c r="D36" i="71"/>
  <c r="F30" i="6"/>
  <c r="F31" i="6"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G40" i="36"/>
  <c r="H40" i="36" s="1"/>
  <c r="G41" i="36"/>
  <c r="H41" i="36" s="1"/>
  <c r="G46" i="37"/>
  <c r="H46" i="37" s="1"/>
  <c r="I46" i="37"/>
  <c r="J46" i="37" s="1"/>
  <c r="G48" i="35"/>
  <c r="U7" i="33"/>
  <c r="AB7" i="33"/>
  <c r="T48" i="33" s="1"/>
  <c r="G48" i="33" s="1"/>
  <c r="C53" i="67"/>
  <c r="C53" i="15"/>
  <c r="C10" i="15"/>
  <c r="C5" i="15" s="1"/>
  <c r="C38" i="15" s="1"/>
  <c r="AE8" i="1"/>
  <c r="M27" i="15"/>
  <c r="M27" i="67"/>
  <c r="AE6" i="1"/>
  <c r="C17" i="82"/>
  <c r="M27" i="82"/>
  <c r="F41" i="15"/>
  <c r="C14" i="82"/>
  <c r="J24" i="82" l="1"/>
  <c r="E54" i="85"/>
  <c r="F54" i="85" s="1"/>
  <c r="E53" i="85"/>
  <c r="F53" i="85" s="1"/>
  <c r="C49" i="85"/>
  <c r="U8" i="1" s="1"/>
  <c r="C50" i="85"/>
  <c r="I54" i="85"/>
  <c r="J54" i="85" s="1"/>
  <c r="C18" i="82"/>
  <c r="C15" i="82"/>
  <c r="R48" i="33"/>
  <c r="E48" i="33" s="1"/>
  <c r="I53" i="33" s="1"/>
  <c r="J53" i="33" s="1"/>
  <c r="L36" i="43"/>
  <c r="L37" i="43" s="1"/>
  <c r="O37" i="43" s="1"/>
  <c r="F24" i="82"/>
  <c r="C38" i="82"/>
  <c r="C66" i="82"/>
  <c r="C60" i="82"/>
  <c r="R50" i="34"/>
  <c r="C49" i="34" s="1"/>
  <c r="E49" i="34"/>
  <c r="I54" i="34" s="1"/>
  <c r="J54" i="34" s="1"/>
  <c r="C29" i="68"/>
  <c r="D27" i="68" s="1"/>
  <c r="C47" i="68"/>
  <c r="D45" i="68" s="1"/>
  <c r="C48" i="67"/>
  <c r="C66" i="67" s="1"/>
  <c r="C47" i="11"/>
  <c r="D45" i="11" s="1"/>
  <c r="C48" i="15"/>
  <c r="C66" i="15" s="1"/>
  <c r="AA10" i="40"/>
  <c r="U10" i="40"/>
  <c r="AC10" i="39"/>
  <c r="D19" i="11"/>
  <c r="C19" i="11" s="1"/>
  <c r="C20" i="11" s="1"/>
  <c r="C28" i="11" s="1"/>
  <c r="C27" i="11" s="1"/>
  <c r="D14" i="12"/>
  <c r="D17" i="12" s="1"/>
  <c r="C17" i="12" s="1"/>
  <c r="AB10" i="39"/>
  <c r="F22" i="11"/>
  <c r="C44" i="11" s="1"/>
  <c r="D41" i="11" s="1"/>
  <c r="F24" i="67"/>
  <c r="C24" i="67" s="1"/>
  <c r="G54" i="34"/>
  <c r="H54" i="34" s="1"/>
  <c r="F24" i="15"/>
  <c r="C24" i="15" s="1"/>
  <c r="F22" i="69"/>
  <c r="F41" i="69" s="1"/>
  <c r="D3" i="33"/>
  <c r="D3" i="34"/>
  <c r="E6" i="6"/>
  <c r="D10" i="68" s="1"/>
  <c r="F22" i="68"/>
  <c r="F41" i="68" s="1"/>
  <c r="F25" i="12"/>
  <c r="C26" i="12" s="1"/>
  <c r="D25" i="12" s="1"/>
  <c r="C17" i="4"/>
  <c r="B4" i="52" s="1"/>
  <c r="B43" i="72" s="1"/>
  <c r="M18" i="9"/>
  <c r="B118" i="9" s="1"/>
  <c r="B1" i="74" s="1"/>
  <c r="D116" i="43"/>
  <c r="C17" i="71"/>
  <c r="D18" i="71"/>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M19" i="9" s="1"/>
  <c r="C118" i="9" s="1"/>
  <c r="B2" i="74" s="1"/>
  <c r="D24" i="6"/>
  <c r="D20" i="6"/>
  <c r="D26" i="6"/>
  <c r="D8" i="6"/>
  <c r="D14" i="6"/>
  <c r="D9" i="6"/>
  <c r="D10" i="6"/>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I52" i="33"/>
  <c r="J52" i="33" s="1"/>
  <c r="E40" i="36"/>
  <c r="F40" i="36" s="1"/>
  <c r="E41" i="36"/>
  <c r="F41" i="36" s="1"/>
  <c r="G52" i="33"/>
  <c r="H52" i="33" s="1"/>
  <c r="G53" i="33"/>
  <c r="H53" i="33" s="1"/>
  <c r="H48" i="35"/>
  <c r="I41" i="36"/>
  <c r="J41" i="36" s="1"/>
  <c r="R43" i="37"/>
  <c r="E42" i="37"/>
  <c r="G63" i="40"/>
  <c r="F65" i="40"/>
  <c r="C37" i="36"/>
  <c r="C36" i="36"/>
  <c r="G58" i="21"/>
  <c r="C34" i="69"/>
  <c r="C17" i="15"/>
  <c r="F41" i="67"/>
  <c r="C17" i="67"/>
  <c r="F6" i="67"/>
  <c r="C14" i="67"/>
  <c r="F41" i="82"/>
  <c r="M37" i="43" l="1"/>
  <c r="C50" i="34"/>
  <c r="C6" i="67"/>
  <c r="C33" i="67" s="1"/>
  <c r="N37" i="43"/>
  <c r="P36" i="43"/>
  <c r="Q36" i="43"/>
  <c r="C19" i="82"/>
  <c r="C20" i="82" s="1"/>
  <c r="C26" i="82" s="1"/>
  <c r="B2" i="85"/>
  <c r="B3" i="85"/>
  <c r="F69" i="82"/>
  <c r="J29" i="82"/>
  <c r="S21" i="6"/>
  <c r="L18" i="83"/>
  <c r="L18" i="9"/>
  <c r="D10" i="69"/>
  <c r="C10" i="69" s="1"/>
  <c r="C8" i="69" s="1"/>
  <c r="C5" i="69" s="1"/>
  <c r="D6" i="6"/>
  <c r="D10" i="11"/>
  <c r="C10" i="11" s="1"/>
  <c r="M19" i="83"/>
  <c r="C118" i="83" s="1"/>
  <c r="L19" i="83"/>
  <c r="L19" i="9"/>
  <c r="F69" i="67"/>
  <c r="Q37" i="43"/>
  <c r="O36" i="43"/>
  <c r="P37" i="43"/>
  <c r="M36" i="43"/>
  <c r="N36" i="43"/>
  <c r="C24" i="82"/>
  <c r="E53" i="34"/>
  <c r="F53" i="34" s="1"/>
  <c r="E54" i="34"/>
  <c r="F54" i="34" s="1"/>
  <c r="C60" i="15"/>
  <c r="C60" i="67"/>
  <c r="C25" i="11"/>
  <c r="H21" i="6"/>
  <c r="H24" i="6"/>
  <c r="C26" i="68"/>
  <c r="D22" i="68" s="1"/>
  <c r="C24" i="11"/>
  <c r="C23" i="11"/>
  <c r="C44" i="69"/>
  <c r="D41" i="69" s="1"/>
  <c r="H22" i="6"/>
  <c r="R22" i="6" s="1"/>
  <c r="R9" i="1" s="1"/>
  <c r="C26" i="11"/>
  <c r="D22" i="11" s="1"/>
  <c r="C26" i="69"/>
  <c r="D22" i="69" s="1"/>
  <c r="C23" i="68"/>
  <c r="H25" i="6"/>
  <c r="R25" i="6" s="1"/>
  <c r="R12" i="1" s="1"/>
  <c r="C44" i="68"/>
  <c r="D41"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C32" i="67" l="1"/>
  <c r="C10" i="67"/>
  <c r="C5" i="67" s="1"/>
  <c r="C38" i="67" s="1"/>
  <c r="C23" i="82"/>
  <c r="C29" i="82" s="1"/>
  <c r="J14" i="82" s="1"/>
  <c r="D19" i="69"/>
  <c r="D37" i="69" s="1"/>
  <c r="C37" i="69" s="1"/>
  <c r="C3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I5" i="6"/>
  <c r="I6" i="6"/>
  <c r="C23" i="69"/>
  <c r="E2" i="76"/>
  <c r="B2" i="76"/>
  <c r="I69" i="39"/>
  <c r="J67" i="39"/>
  <c r="I63" i="40"/>
  <c r="H65" i="40"/>
  <c r="I58" i="21"/>
  <c r="J58" i="21" s="1"/>
  <c r="K58" i="21" s="1"/>
  <c r="L58" i="21" s="1"/>
  <c r="M58" i="21" s="1"/>
  <c r="N58" i="21" s="1"/>
  <c r="O58" i="21" s="1"/>
  <c r="H7" i="21" s="1"/>
  <c r="J48" i="35"/>
  <c r="C19" i="69" l="1"/>
  <c r="C24" i="69" s="1"/>
  <c r="J59" i="82"/>
  <c r="J60" i="82" s="1"/>
  <c r="Q48" i="82" s="1"/>
  <c r="C13" i="82"/>
  <c r="C37" i="82" s="1"/>
  <c r="C36" i="82"/>
  <c r="Q49" i="82"/>
  <c r="C57" i="82"/>
  <c r="C64" i="82" s="1"/>
  <c r="J13" i="82"/>
  <c r="J23" i="82" s="1"/>
  <c r="J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20" i="69" l="1"/>
  <c r="C28" i="69" s="1"/>
  <c r="C27" i="69" s="1"/>
  <c r="L46" i="82"/>
  <c r="C56" i="82"/>
  <c r="C65" i="82" s="1"/>
  <c r="Q70" i="82"/>
  <c r="C75" i="82"/>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82"/>
  <c r="M21" i="15"/>
  <c r="M21" i="67"/>
  <c r="F35" i="67"/>
  <c r="M21" i="82"/>
  <c r="F35" i="15"/>
  <c r="F63" i="82" l="1"/>
  <c r="C62" i="82" s="1"/>
  <c r="C59" i="82" s="1"/>
  <c r="C58" i="82" s="1"/>
  <c r="C67" i="82" s="1"/>
  <c r="C68" i="82" s="1"/>
  <c r="C34" i="82"/>
  <c r="C31" i="82" s="1"/>
  <c r="C30" i="82" s="1"/>
  <c r="C39" i="82" s="1"/>
  <c r="J20" i="82"/>
  <c r="J17" i="82" s="1"/>
  <c r="J16" i="82" s="1"/>
  <c r="J25"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67" i="82" l="1"/>
  <c r="Q69" i="82"/>
  <c r="Q68" i="82" s="1"/>
  <c r="C40" i="82"/>
  <c r="C80" i="82"/>
  <c r="C79" i="82" s="1"/>
  <c r="C71"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47" i="82" l="1"/>
  <c r="Q53" i="82" s="1"/>
  <c r="Q56" i="82"/>
  <c r="Q62" i="82" s="1"/>
  <c r="C43" i="82"/>
  <c r="C83" i="82"/>
  <c r="C82" i="82" s="1"/>
  <c r="D2" i="82"/>
  <c r="Q65" i="82"/>
  <c r="Q75" i="82" s="1"/>
  <c r="C45" i="82"/>
  <c r="C46"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2" l="1"/>
  <c r="B2" i="82"/>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19" i="83"/>
  <c r="D2" i="35"/>
  <c r="L51" i="15"/>
  <c r="D2" i="34"/>
  <c r="C19" i="83"/>
  <c r="D2" i="37"/>
  <c r="D19" i="9"/>
  <c r="C102" i="83" l="1"/>
  <c r="C21" i="83"/>
  <c r="B3" i="33"/>
  <c r="D102" i="83"/>
  <c r="D21" i="83"/>
  <c r="D22" i="83"/>
  <c r="G19" i="83"/>
  <c r="G21" i="83"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20" i="83"/>
  <c r="AO9" i="1"/>
  <c r="C19" i="9"/>
  <c r="D20" i="9"/>
  <c r="AO6" i="1"/>
  <c r="AO7" i="1"/>
  <c r="AO12" i="1"/>
  <c r="AO11" i="1"/>
  <c r="D20" i="83"/>
  <c r="AO8" i="1"/>
  <c r="C103" i="83" l="1"/>
  <c r="D103" i="83"/>
  <c r="G20" i="83"/>
  <c r="C102" i="9"/>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C35" i="83" s="1"/>
  <c r="C34" i="83" s="1"/>
  <c r="R24" i="84"/>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R594" i="31" s="1"/>
  <c r="S594" i="31" s="1"/>
  <c r="D6" i="71"/>
  <c r="C5" i="71"/>
  <c r="D5" i="71" s="1"/>
  <c r="M24" i="43" s="1"/>
  <c r="C42" i="40"/>
  <c r="C43" i="40"/>
  <c r="E47" i="40"/>
  <c r="F47" i="40" s="1"/>
  <c r="E46" i="40"/>
  <c r="F46" i="40" s="1"/>
  <c r="I47" i="40"/>
  <c r="J47" i="40" s="1"/>
  <c r="R372" i="31" l="1"/>
  <c r="S372" i="31" s="1"/>
  <c r="R106" i="31"/>
  <c r="S106" i="31" s="1"/>
  <c r="S24" i="31"/>
  <c r="R484" i="31"/>
  <c r="S484" i="31" s="1"/>
  <c r="R408" i="31"/>
  <c r="S408" i="31" s="1"/>
  <c r="R360" i="31"/>
  <c r="S360" i="31" s="1"/>
  <c r="R463" i="31"/>
  <c r="S463" i="31" s="1"/>
  <c r="R510" i="31"/>
  <c r="S510" i="31" s="1"/>
  <c r="R382" i="31"/>
  <c r="S382" i="31" s="1"/>
  <c r="R469" i="31"/>
  <c r="S469" i="31" s="1"/>
  <c r="R440" i="31"/>
  <c r="S440" i="31" s="1"/>
  <c r="R415" i="31"/>
  <c r="S415" i="31" s="1"/>
  <c r="R381" i="31"/>
  <c r="S381" i="31" s="1"/>
  <c r="R446" i="31"/>
  <c r="S446" i="31" s="1"/>
  <c r="R301" i="31"/>
  <c r="S301" i="31" s="1"/>
  <c r="R214" i="31"/>
  <c r="S214" i="31" s="1"/>
  <c r="R181" i="31"/>
  <c r="S181" i="31" s="1"/>
  <c r="R104" i="31"/>
  <c r="S104" i="31" s="1"/>
  <c r="R500" i="31"/>
  <c r="S500" i="31" s="1"/>
  <c r="R460" i="31"/>
  <c r="S460" i="31" s="1"/>
  <c r="R428" i="31"/>
  <c r="S428" i="31" s="1"/>
  <c r="R388" i="31"/>
  <c r="S388" i="31" s="1"/>
  <c r="R499" i="31"/>
  <c r="S499" i="31" s="1"/>
  <c r="R439" i="31"/>
  <c r="S439" i="31" s="1"/>
  <c r="R375" i="31"/>
  <c r="S375" i="31" s="1"/>
  <c r="R482" i="31"/>
  <c r="S482" i="31" s="1"/>
  <c r="R426" i="31"/>
  <c r="S426" i="31" s="1"/>
  <c r="R493" i="31"/>
  <c r="S493" i="31" s="1"/>
  <c r="R425" i="31"/>
  <c r="S425" i="31" s="1"/>
  <c r="R345" i="31"/>
  <c r="S345" i="31" s="1"/>
  <c r="R258" i="31"/>
  <c r="S258" i="31" s="1"/>
  <c r="R166" i="31"/>
  <c r="S166" i="31" s="1"/>
  <c r="R82" i="31"/>
  <c r="S82" i="31" s="1"/>
  <c r="R265" i="31"/>
  <c r="S265" i="31" s="1"/>
  <c r="R97" i="31"/>
  <c r="S97" i="31" s="1"/>
  <c r="R264" i="31"/>
  <c r="S264" i="31" s="1"/>
  <c r="R239" i="31"/>
  <c r="S239" i="31" s="1"/>
  <c r="R339" i="31"/>
  <c r="S339" i="31" s="1"/>
  <c r="R25" i="31"/>
  <c r="S25" i="31" s="1"/>
  <c r="R492" i="31"/>
  <c r="S492" i="31" s="1"/>
  <c r="R456" i="31"/>
  <c r="S456" i="31" s="1"/>
  <c r="R412" i="31"/>
  <c r="S412" i="31" s="1"/>
  <c r="R376" i="31"/>
  <c r="S376" i="31" s="1"/>
  <c r="R483" i="31"/>
  <c r="S483" i="31" s="1"/>
  <c r="R419" i="31"/>
  <c r="S419" i="31" s="1"/>
  <c r="R371" i="31"/>
  <c r="S371" i="31" s="1"/>
  <c r="R466" i="31"/>
  <c r="S466" i="31" s="1"/>
  <c r="R398" i="31"/>
  <c r="S398" i="31" s="1"/>
  <c r="R473" i="31"/>
  <c r="S473" i="31" s="1"/>
  <c r="R409" i="31"/>
  <c r="S409" i="31" s="1"/>
  <c r="R325" i="31"/>
  <c r="S325" i="31" s="1"/>
  <c r="R250" i="31"/>
  <c r="S250" i="31" s="1"/>
  <c r="R150" i="31"/>
  <c r="S150" i="31" s="1"/>
  <c r="R38" i="31"/>
  <c r="S38" i="31" s="1"/>
  <c r="R229" i="31"/>
  <c r="S229" i="31" s="1"/>
  <c r="R65" i="31"/>
  <c r="S65" i="31" s="1"/>
  <c r="R184" i="31"/>
  <c r="S184" i="31" s="1"/>
  <c r="R143" i="31"/>
  <c r="S143" i="31" s="1"/>
  <c r="R516" i="31"/>
  <c r="S516" i="31" s="1"/>
  <c r="R472" i="31"/>
  <c r="S472" i="31" s="1"/>
  <c r="R436" i="31"/>
  <c r="S436" i="31" s="1"/>
  <c r="R396" i="31"/>
  <c r="S396" i="31" s="1"/>
  <c r="R503" i="31"/>
  <c r="S503" i="31" s="1"/>
  <c r="R455" i="31"/>
  <c r="S455" i="31" s="1"/>
  <c r="R399" i="31"/>
  <c r="S399" i="31" s="1"/>
  <c r="R490" i="31"/>
  <c r="S490" i="31" s="1"/>
  <c r="R442" i="31"/>
  <c r="S442" i="31" s="1"/>
  <c r="R517" i="31"/>
  <c r="S517" i="31" s="1"/>
  <c r="R429" i="31"/>
  <c r="S429" i="31" s="1"/>
  <c r="R365" i="31"/>
  <c r="S365" i="31" s="1"/>
  <c r="R297" i="31"/>
  <c r="S297" i="31" s="1"/>
  <c r="R194" i="31"/>
  <c r="S194" i="31" s="1"/>
  <c r="R86" i="31"/>
  <c r="S86" i="31" s="1"/>
  <c r="R316" i="31"/>
  <c r="S316" i="31" s="1"/>
  <c r="R117" i="31"/>
  <c r="S117" i="31" s="1"/>
  <c r="R291" i="31"/>
  <c r="S291" i="31" s="1"/>
  <c r="R60" i="31"/>
  <c r="S60" i="31" s="1"/>
  <c r="R402" i="31"/>
  <c r="S402" i="31" s="1"/>
  <c r="R509" i="31"/>
  <c r="S509" i="31" s="1"/>
  <c r="R453" i="31"/>
  <c r="S453" i="31" s="1"/>
  <c r="R389" i="31"/>
  <c r="S389" i="31" s="1"/>
  <c r="R341" i="31"/>
  <c r="S341" i="31" s="1"/>
  <c r="R278" i="31"/>
  <c r="S278" i="31" s="1"/>
  <c r="R210" i="31"/>
  <c r="S210" i="31" s="1"/>
  <c r="R130" i="31"/>
  <c r="S130" i="31" s="1"/>
  <c r="R42" i="31"/>
  <c r="S42" i="31" s="1"/>
  <c r="R292" i="31"/>
  <c r="S292" i="31" s="1"/>
  <c r="R169" i="31"/>
  <c r="S169" i="31" s="1"/>
  <c r="R347" i="31"/>
  <c r="S347" i="31" s="1"/>
  <c r="R212" i="31"/>
  <c r="S212" i="31" s="1"/>
  <c r="R56" i="31"/>
  <c r="S56" i="31" s="1"/>
  <c r="R332" i="31"/>
  <c r="S332" i="31" s="1"/>
  <c r="R233" i="31"/>
  <c r="S233" i="31" s="1"/>
  <c r="R149" i="31"/>
  <c r="S149" i="31" s="1"/>
  <c r="R37" i="31"/>
  <c r="S37" i="31" s="1"/>
  <c r="R284" i="31"/>
  <c r="S284" i="31" s="1"/>
  <c r="R140" i="31"/>
  <c r="S140" i="31" s="1"/>
  <c r="R306" i="31"/>
  <c r="S306" i="31" s="1"/>
  <c r="R234" i="31"/>
  <c r="S234" i="31" s="1"/>
  <c r="R170" i="31"/>
  <c r="S170" i="31" s="1"/>
  <c r="R122" i="31"/>
  <c r="S122" i="31" s="1"/>
  <c r="R66" i="31"/>
  <c r="S66" i="31" s="1"/>
  <c r="R340" i="31"/>
  <c r="S340" i="31" s="1"/>
  <c r="R288" i="31"/>
  <c r="S288" i="31" s="1"/>
  <c r="R209" i="31"/>
  <c r="S209" i="31" s="1"/>
  <c r="R121" i="31"/>
  <c r="S121" i="31" s="1"/>
  <c r="R57" i="31"/>
  <c r="S57" i="31" s="1"/>
  <c r="R315" i="31"/>
  <c r="S315" i="31" s="1"/>
  <c r="R228" i="31"/>
  <c r="S228" i="31" s="1"/>
  <c r="R136" i="31"/>
  <c r="S136" i="31" s="1"/>
  <c r="R314" i="31"/>
  <c r="S314" i="31" s="1"/>
  <c r="R967" i="31"/>
  <c r="S967" i="31" s="1"/>
  <c r="R75" i="31"/>
  <c r="S75" i="31" s="1"/>
  <c r="R977" i="31"/>
  <c r="S977" i="31" s="1"/>
  <c r="R882" i="31"/>
  <c r="S882" i="31" s="1"/>
  <c r="R358" i="31"/>
  <c r="S358" i="31" s="1"/>
  <c r="R159" i="31"/>
  <c r="S159" i="31" s="1"/>
  <c r="R975" i="31"/>
  <c r="S975" i="31" s="1"/>
  <c r="R555" i="31"/>
  <c r="S555" i="31" s="1"/>
  <c r="R986" i="31"/>
  <c r="S986" i="31" s="1"/>
  <c r="R933" i="31"/>
  <c r="S933" i="31" s="1"/>
  <c r="R922" i="31"/>
  <c r="S922" i="31" s="1"/>
  <c r="R881" i="31"/>
  <c r="S881" i="31" s="1"/>
  <c r="R767" i="31"/>
  <c r="S767" i="31" s="1"/>
  <c r="R850" i="31"/>
  <c r="S850" i="31" s="1"/>
  <c r="R768" i="31"/>
  <c r="S768" i="31" s="1"/>
  <c r="R504" i="31"/>
  <c r="S504" i="31" s="1"/>
  <c r="R476" i="31"/>
  <c r="S476" i="31" s="1"/>
  <c r="R452" i="31"/>
  <c r="S452" i="31" s="1"/>
  <c r="R420" i="31"/>
  <c r="S420" i="31" s="1"/>
  <c r="R392" i="31"/>
  <c r="S392" i="31" s="1"/>
  <c r="R364" i="31"/>
  <c r="S364" i="31" s="1"/>
  <c r="R479" i="31"/>
  <c r="S479" i="31" s="1"/>
  <c r="R435" i="31"/>
  <c r="S435" i="31" s="1"/>
  <c r="R391" i="31"/>
  <c r="S391" i="31" s="1"/>
  <c r="R506" i="31"/>
  <c r="S506" i="31" s="1"/>
  <c r="R462" i="31"/>
  <c r="S462" i="31" s="1"/>
  <c r="R418" i="31"/>
  <c r="S418" i="31" s="1"/>
  <c r="R378" i="31"/>
  <c r="S378" i="31" s="1"/>
  <c r="R489" i="31"/>
  <c r="S489" i="31" s="1"/>
  <c r="R445" i="31"/>
  <c r="S445" i="31" s="1"/>
  <c r="R405" i="31"/>
  <c r="S405" i="31" s="1"/>
  <c r="R361" i="31"/>
  <c r="S361" i="31" s="1"/>
  <c r="R317" i="31"/>
  <c r="S317" i="31" s="1"/>
  <c r="R274" i="31"/>
  <c r="S274" i="31" s="1"/>
  <c r="R230" i="31"/>
  <c r="S230" i="31" s="1"/>
  <c r="R186" i="31"/>
  <c r="S186" i="31" s="1"/>
  <c r="R146" i="31"/>
  <c r="S146" i="31" s="1"/>
  <c r="R102" i="31"/>
  <c r="S102" i="31" s="1"/>
  <c r="R58" i="31"/>
  <c r="S58" i="31" s="1"/>
  <c r="R356" i="31"/>
  <c r="S356" i="31" s="1"/>
  <c r="R312" i="31"/>
  <c r="S312" i="31" s="1"/>
  <c r="R257" i="31"/>
  <c r="S257" i="31" s="1"/>
  <c r="R201" i="31"/>
  <c r="S201" i="31" s="1"/>
  <c r="R145" i="31"/>
  <c r="S145" i="31" s="1"/>
  <c r="R85" i="31"/>
  <c r="S85" i="31" s="1"/>
  <c r="R33" i="31"/>
  <c r="S33" i="31" s="1"/>
  <c r="R311" i="31"/>
  <c r="S311" i="31" s="1"/>
  <c r="R252" i="31"/>
  <c r="S252" i="31" s="1"/>
  <c r="R168" i="31"/>
  <c r="S168" i="31" s="1"/>
  <c r="R100" i="31"/>
  <c r="S100" i="31" s="1"/>
  <c r="R350" i="31"/>
  <c r="S350" i="31" s="1"/>
  <c r="R235" i="31"/>
  <c r="S235" i="31" s="1"/>
  <c r="R63" i="31"/>
  <c r="S63" i="31" s="1"/>
  <c r="R978" i="31"/>
  <c r="S978" i="31" s="1"/>
  <c r="R880" i="31"/>
  <c r="S880" i="31" s="1"/>
  <c r="R927" i="31"/>
  <c r="S927" i="31" s="1"/>
  <c r="R751" i="31"/>
  <c r="S751" i="31" s="1"/>
  <c r="R690" i="31"/>
  <c r="S690" i="31" s="1"/>
  <c r="R928" i="31"/>
  <c r="S928" i="31" s="1"/>
  <c r="R823" i="31"/>
  <c r="S823" i="31" s="1"/>
  <c r="R883" i="31"/>
  <c r="S883" i="31" s="1"/>
  <c r="R864" i="31"/>
  <c r="S864" i="31" s="1"/>
  <c r="R674" i="31"/>
  <c r="S674" i="31" s="1"/>
  <c r="R770" i="31"/>
  <c r="S770" i="31" s="1"/>
  <c r="R608" i="31"/>
  <c r="S608" i="31" s="1"/>
  <c r="R531" i="31"/>
  <c r="S531" i="31" s="1"/>
  <c r="R681" i="31"/>
  <c r="S681" i="31" s="1"/>
  <c r="R536" i="31"/>
  <c r="S536" i="31" s="1"/>
  <c r="R552" i="31"/>
  <c r="S552" i="31" s="1"/>
  <c r="R568" i="31"/>
  <c r="S568" i="31" s="1"/>
  <c r="R584" i="31"/>
  <c r="S584" i="31" s="1"/>
  <c r="R600" i="31"/>
  <c r="S600" i="31" s="1"/>
  <c r="R616" i="31"/>
  <c r="S616" i="31" s="1"/>
  <c r="R632" i="31"/>
  <c r="S632" i="31" s="1"/>
  <c r="R648" i="31"/>
  <c r="S648" i="31" s="1"/>
  <c r="R664" i="31"/>
  <c r="S664" i="31" s="1"/>
  <c r="R680" i="31"/>
  <c r="S680" i="31" s="1"/>
  <c r="R696" i="31"/>
  <c r="S696" i="31" s="1"/>
  <c r="R712" i="31"/>
  <c r="S712" i="31" s="1"/>
  <c r="R728" i="31"/>
  <c r="S728" i="31" s="1"/>
  <c r="R744" i="31"/>
  <c r="S744" i="31" s="1"/>
  <c r="R760" i="31"/>
  <c r="S760" i="31" s="1"/>
  <c r="R776" i="31"/>
  <c r="S776" i="31" s="1"/>
  <c r="R792" i="31"/>
  <c r="S792" i="31" s="1"/>
  <c r="R808" i="31"/>
  <c r="S808" i="31" s="1"/>
  <c r="R824" i="31"/>
  <c r="S824" i="31" s="1"/>
  <c r="R840" i="31"/>
  <c r="S840" i="31" s="1"/>
  <c r="R856" i="31"/>
  <c r="S856" i="31" s="1"/>
  <c r="R872" i="31"/>
  <c r="S872" i="31" s="1"/>
  <c r="R709" i="31"/>
  <c r="S709" i="31" s="1"/>
  <c r="R725" i="31"/>
  <c r="S725" i="31" s="1"/>
  <c r="R741" i="31"/>
  <c r="S741" i="31" s="1"/>
  <c r="R757" i="31"/>
  <c r="S757" i="31" s="1"/>
  <c r="R773" i="31"/>
  <c r="S773" i="31" s="1"/>
  <c r="R789" i="31"/>
  <c r="S789" i="31" s="1"/>
  <c r="R811" i="31"/>
  <c r="S811" i="31" s="1"/>
  <c r="R809" i="31"/>
  <c r="S809" i="31" s="1"/>
  <c r="R873" i="31"/>
  <c r="S873" i="31" s="1"/>
  <c r="R889" i="31"/>
  <c r="S889" i="31" s="1"/>
  <c r="R897" i="31"/>
  <c r="S897" i="31" s="1"/>
  <c r="R905" i="31"/>
  <c r="S905" i="31" s="1"/>
  <c r="R913" i="31"/>
  <c r="S913" i="31" s="1"/>
  <c r="R921" i="31"/>
  <c r="S921" i="31" s="1"/>
  <c r="R929" i="31"/>
  <c r="S929" i="31" s="1"/>
  <c r="R937" i="31"/>
  <c r="S937" i="31" s="1"/>
  <c r="R945" i="31"/>
  <c r="S945" i="31" s="1"/>
  <c r="R953" i="31"/>
  <c r="S953" i="31" s="1"/>
  <c r="R961" i="31"/>
  <c r="S961" i="31" s="1"/>
  <c r="R969" i="31"/>
  <c r="S969" i="31" s="1"/>
  <c r="R831" i="31"/>
  <c r="S831" i="31" s="1"/>
  <c r="R863" i="31"/>
  <c r="S863" i="31" s="1"/>
  <c r="R821" i="31"/>
  <c r="S821" i="31" s="1"/>
  <c r="R853" i="31"/>
  <c r="S853" i="31" s="1"/>
  <c r="R876" i="31"/>
  <c r="S876" i="31" s="1"/>
  <c r="R884" i="31"/>
  <c r="S884" i="31" s="1"/>
  <c r="R892" i="31"/>
  <c r="S892" i="31" s="1"/>
  <c r="R900" i="31"/>
  <c r="S900" i="31" s="1"/>
  <c r="R908" i="31"/>
  <c r="S908" i="31" s="1"/>
  <c r="R916" i="31"/>
  <c r="S916" i="31" s="1"/>
  <c r="R924" i="31"/>
  <c r="S924" i="31" s="1"/>
  <c r="R932" i="31"/>
  <c r="S932" i="31" s="1"/>
  <c r="R948" i="31"/>
  <c r="S948" i="31" s="1"/>
  <c r="R946" i="31"/>
  <c r="S946" i="31" s="1"/>
  <c r="R972" i="31"/>
  <c r="S972" i="31" s="1"/>
  <c r="R980" i="31"/>
  <c r="S980" i="31" s="1"/>
  <c r="R988" i="31"/>
  <c r="S988" i="31" s="1"/>
  <c r="R944" i="31"/>
  <c r="S944" i="31" s="1"/>
  <c r="R987" i="31"/>
  <c r="S987" i="31" s="1"/>
  <c r="R942" i="31"/>
  <c r="S942" i="31" s="1"/>
  <c r="R971" i="31"/>
  <c r="S971" i="31" s="1"/>
  <c r="R979" i="31"/>
  <c r="S979" i="31" s="1"/>
  <c r="R520" i="31"/>
  <c r="S520" i="31" s="1"/>
  <c r="R519" i="31"/>
  <c r="S519" i="31" s="1"/>
  <c r="R35" i="31"/>
  <c r="S35" i="31" s="1"/>
  <c r="R51" i="31"/>
  <c r="S51" i="31" s="1"/>
  <c r="R67" i="31"/>
  <c r="S67" i="31" s="1"/>
  <c r="R83" i="31"/>
  <c r="S83" i="31" s="1"/>
  <c r="R99" i="31"/>
  <c r="S99" i="31" s="1"/>
  <c r="R115" i="31"/>
  <c r="S115" i="31" s="1"/>
  <c r="R131" i="31"/>
  <c r="S131" i="31" s="1"/>
  <c r="R147" i="31"/>
  <c r="S147" i="31" s="1"/>
  <c r="R163" i="31"/>
  <c r="S163" i="31" s="1"/>
  <c r="R179" i="31"/>
  <c r="S179" i="31" s="1"/>
  <c r="R195" i="31"/>
  <c r="S195" i="31" s="1"/>
  <c r="R211" i="31"/>
  <c r="S211" i="31" s="1"/>
  <c r="R227" i="31"/>
  <c r="S227" i="31" s="1"/>
  <c r="R243" i="31"/>
  <c r="S243" i="31" s="1"/>
  <c r="R259" i="31"/>
  <c r="S259" i="31" s="1"/>
  <c r="R275" i="31"/>
  <c r="S275" i="31" s="1"/>
  <c r="R683" i="31"/>
  <c r="S683" i="31" s="1"/>
  <c r="R538" i="31"/>
  <c r="S538" i="31" s="1"/>
  <c r="R554" i="31"/>
  <c r="S554" i="31" s="1"/>
  <c r="R570" i="31"/>
  <c r="S570" i="31" s="1"/>
  <c r="R586" i="31"/>
  <c r="S586" i="31" s="1"/>
  <c r="R602" i="31"/>
  <c r="S602" i="31" s="1"/>
  <c r="R618" i="31"/>
  <c r="S618" i="31" s="1"/>
  <c r="R634" i="31"/>
  <c r="S634" i="31" s="1"/>
  <c r="R650" i="31"/>
  <c r="S650" i="31" s="1"/>
  <c r="R666" i="31"/>
  <c r="S666" i="31" s="1"/>
  <c r="R682" i="31"/>
  <c r="S682" i="31" s="1"/>
  <c r="R698" i="31"/>
  <c r="S698" i="31" s="1"/>
  <c r="R714" i="31"/>
  <c r="S714" i="31" s="1"/>
  <c r="R730" i="31"/>
  <c r="S730" i="31" s="1"/>
  <c r="R746" i="31"/>
  <c r="S746" i="31" s="1"/>
  <c r="R762" i="31"/>
  <c r="S762" i="31" s="1"/>
  <c r="R778" i="31"/>
  <c r="S778" i="31" s="1"/>
  <c r="R794" i="31"/>
  <c r="S794" i="31" s="1"/>
  <c r="R810" i="31"/>
  <c r="S810" i="31" s="1"/>
  <c r="R826" i="31"/>
  <c r="S826" i="31" s="1"/>
  <c r="R842" i="31"/>
  <c r="S842" i="31" s="1"/>
  <c r="R858" i="31"/>
  <c r="S858" i="31" s="1"/>
  <c r="R695" i="31"/>
  <c r="S695" i="31" s="1"/>
  <c r="R711" i="31"/>
  <c r="S711" i="31" s="1"/>
  <c r="R727" i="31"/>
  <c r="S727" i="31" s="1"/>
  <c r="R743" i="31"/>
  <c r="S743" i="31" s="1"/>
  <c r="R759" i="31"/>
  <c r="S759" i="31" s="1"/>
  <c r="R775" i="31"/>
  <c r="S775" i="31" s="1"/>
  <c r="R791" i="31"/>
  <c r="S791" i="31" s="1"/>
  <c r="R819" i="31"/>
  <c r="S819" i="31" s="1"/>
  <c r="R817" i="31"/>
  <c r="S817" i="31" s="1"/>
  <c r="R875" i="31"/>
  <c r="S875" i="31" s="1"/>
  <c r="R891" i="31"/>
  <c r="S891" i="31" s="1"/>
  <c r="R899" i="31"/>
  <c r="S899" i="31" s="1"/>
  <c r="R907" i="31"/>
  <c r="S907" i="31" s="1"/>
  <c r="R915" i="31"/>
  <c r="S915" i="31" s="1"/>
  <c r="R923" i="31"/>
  <c r="S923" i="31" s="1"/>
  <c r="R931" i="31"/>
  <c r="S931" i="31" s="1"/>
  <c r="R939" i="31"/>
  <c r="S939" i="31" s="1"/>
  <c r="R947" i="31"/>
  <c r="S947" i="31" s="1"/>
  <c r="R955" i="31"/>
  <c r="S955" i="31" s="1"/>
  <c r="R963" i="31"/>
  <c r="S963" i="31" s="1"/>
  <c r="R807" i="31"/>
  <c r="S807" i="31" s="1"/>
  <c r="R839" i="31"/>
  <c r="S839" i="31" s="1"/>
  <c r="R871" i="31"/>
  <c r="S871" i="31" s="1"/>
  <c r="R829" i="31"/>
  <c r="S829" i="31" s="1"/>
  <c r="R861" i="31"/>
  <c r="S861" i="31" s="1"/>
  <c r="R878" i="31"/>
  <c r="S878" i="31" s="1"/>
  <c r="R886" i="31"/>
  <c r="S886" i="31" s="1"/>
  <c r="R894" i="31"/>
  <c r="S894" i="31" s="1"/>
  <c r="R902" i="31"/>
  <c r="S902" i="31" s="1"/>
  <c r="R910" i="31"/>
  <c r="S910" i="31" s="1"/>
  <c r="R918" i="31"/>
  <c r="S918" i="31" s="1"/>
  <c r="R926" i="31"/>
  <c r="S926" i="31" s="1"/>
  <c r="R934" i="31"/>
  <c r="S934" i="31" s="1"/>
  <c r="R956" i="31"/>
  <c r="S956" i="31" s="1"/>
  <c r="R954" i="31"/>
  <c r="S954" i="31" s="1"/>
  <c r="R974" i="31"/>
  <c r="S974" i="31" s="1"/>
  <c r="R982" i="31"/>
  <c r="S982" i="31" s="1"/>
  <c r="R990" i="31"/>
  <c r="S990" i="31" s="1"/>
  <c r="R952" i="31"/>
  <c r="S952" i="31" s="1"/>
  <c r="R989" i="31"/>
  <c r="S989" i="31" s="1"/>
  <c r="R950" i="31"/>
  <c r="S950" i="31" s="1"/>
  <c r="R973" i="31"/>
  <c r="S973" i="31" s="1"/>
  <c r="R981" i="31"/>
  <c r="S981" i="31" s="1"/>
  <c r="R524" i="31"/>
  <c r="S524" i="31" s="1"/>
  <c r="R523" i="31"/>
  <c r="S523" i="31" s="1"/>
  <c r="R39" i="31"/>
  <c r="S39" i="31" s="1"/>
  <c r="R55" i="31"/>
  <c r="S55" i="31" s="1"/>
  <c r="R71" i="31"/>
  <c r="S71" i="31" s="1"/>
  <c r="R87" i="31"/>
  <c r="S87" i="31" s="1"/>
  <c r="R103" i="31"/>
  <c r="S103" i="31" s="1"/>
  <c r="R119" i="31"/>
  <c r="S119" i="31" s="1"/>
  <c r="R135" i="31"/>
  <c r="S135" i="31" s="1"/>
  <c r="R151" i="31"/>
  <c r="S151" i="31" s="1"/>
  <c r="R167" i="31"/>
  <c r="S167" i="31" s="1"/>
  <c r="R183" i="31"/>
  <c r="S183" i="31" s="1"/>
  <c r="R199" i="31"/>
  <c r="S199" i="31" s="1"/>
  <c r="R215" i="31"/>
  <c r="S215" i="31" s="1"/>
  <c r="R231" i="31"/>
  <c r="S231" i="31" s="1"/>
  <c r="R247" i="31"/>
  <c r="S247" i="31" s="1"/>
  <c r="R263" i="31"/>
  <c r="S263" i="31" s="1"/>
  <c r="R279" i="31"/>
  <c r="S279" i="31" s="1"/>
  <c r="R294" i="31"/>
  <c r="S294" i="31" s="1"/>
  <c r="R310" i="31"/>
  <c r="S310" i="31" s="1"/>
  <c r="R528" i="31"/>
  <c r="S528" i="31" s="1"/>
  <c r="R560" i="31"/>
  <c r="S560" i="31" s="1"/>
  <c r="R592" i="31"/>
  <c r="S592" i="31" s="1"/>
  <c r="R624" i="31"/>
  <c r="S624" i="31" s="1"/>
  <c r="R656" i="31"/>
  <c r="S656" i="31" s="1"/>
  <c r="R688" i="31"/>
  <c r="S688" i="31" s="1"/>
  <c r="R720" i="31"/>
  <c r="S720" i="31" s="1"/>
  <c r="R752" i="31"/>
  <c r="S752" i="31" s="1"/>
  <c r="R784" i="31"/>
  <c r="S784" i="31" s="1"/>
  <c r="R816" i="31"/>
  <c r="S816" i="31" s="1"/>
  <c r="R848" i="31"/>
  <c r="S848" i="31" s="1"/>
  <c r="R701" i="31"/>
  <c r="S701" i="31" s="1"/>
  <c r="R733" i="31"/>
  <c r="S733" i="31" s="1"/>
  <c r="R765" i="31"/>
  <c r="S765" i="31" s="1"/>
  <c r="R797" i="31"/>
  <c r="S797" i="31" s="1"/>
  <c r="R841" i="31"/>
  <c r="S841" i="31" s="1"/>
  <c r="R893" i="31"/>
  <c r="S893" i="31" s="1"/>
  <c r="R909" i="31"/>
  <c r="S909" i="31" s="1"/>
  <c r="R925" i="31"/>
  <c r="S925" i="31" s="1"/>
  <c r="R941" i="31"/>
  <c r="S941" i="31" s="1"/>
  <c r="R957" i="31"/>
  <c r="S957" i="31" s="1"/>
  <c r="R815" i="31"/>
  <c r="S815" i="31" s="1"/>
  <c r="R805" i="31"/>
  <c r="S805" i="31" s="1"/>
  <c r="R869" i="31"/>
  <c r="S869" i="31" s="1"/>
  <c r="R888" i="31"/>
  <c r="S888" i="31" s="1"/>
  <c r="R904" i="31"/>
  <c r="S904" i="31" s="1"/>
  <c r="R920" i="31"/>
  <c r="S920" i="31" s="1"/>
  <c r="R936" i="31"/>
  <c r="S936" i="31" s="1"/>
  <c r="R962" i="31"/>
  <c r="S962" i="31" s="1"/>
  <c r="R984" i="31"/>
  <c r="S984" i="31" s="1"/>
  <c r="R960" i="31"/>
  <c r="S960" i="31" s="1"/>
  <c r="R958" i="31"/>
  <c r="S958" i="31" s="1"/>
  <c r="R983" i="31"/>
  <c r="S983" i="31" s="1"/>
  <c r="R27" i="31"/>
  <c r="S27" i="31" s="1"/>
  <c r="R59" i="31"/>
  <c r="S59" i="31" s="1"/>
  <c r="R91" i="31"/>
  <c r="S91" i="31" s="1"/>
  <c r="R123" i="31"/>
  <c r="S123" i="31" s="1"/>
  <c r="R155" i="31"/>
  <c r="S155" i="31" s="1"/>
  <c r="R187" i="31"/>
  <c r="S187" i="31" s="1"/>
  <c r="R219" i="31"/>
  <c r="S219" i="31" s="1"/>
  <c r="R251" i="31"/>
  <c r="S251" i="31" s="1"/>
  <c r="R283" i="31"/>
  <c r="S283" i="31" s="1"/>
  <c r="R302" i="31"/>
  <c r="S302" i="31" s="1"/>
  <c r="R322" i="31"/>
  <c r="S322" i="31" s="1"/>
  <c r="R338" i="31"/>
  <c r="S338" i="31" s="1"/>
  <c r="R354" i="31"/>
  <c r="S354" i="31" s="1"/>
  <c r="R32" i="31"/>
  <c r="S32" i="31" s="1"/>
  <c r="R48" i="31"/>
  <c r="S48" i="31" s="1"/>
  <c r="R64" i="31"/>
  <c r="S64" i="31" s="1"/>
  <c r="R80" i="31"/>
  <c r="S80" i="31" s="1"/>
  <c r="R96" i="31"/>
  <c r="S96" i="31" s="1"/>
  <c r="R112" i="31"/>
  <c r="S112" i="31" s="1"/>
  <c r="R128" i="31"/>
  <c r="S128" i="31" s="1"/>
  <c r="R144" i="31"/>
  <c r="S144" i="31" s="1"/>
  <c r="R160" i="31"/>
  <c r="S160" i="31" s="1"/>
  <c r="R176" i="31"/>
  <c r="S176" i="31" s="1"/>
  <c r="R192" i="31"/>
  <c r="S192" i="31" s="1"/>
  <c r="R208" i="31"/>
  <c r="S208" i="31" s="1"/>
  <c r="R224" i="31"/>
  <c r="S224" i="31" s="1"/>
  <c r="R240" i="31"/>
  <c r="S240" i="31" s="1"/>
  <c r="R256" i="31"/>
  <c r="S256" i="31" s="1"/>
  <c r="R272" i="31"/>
  <c r="S272" i="31" s="1"/>
  <c r="R287" i="31"/>
  <c r="S287" i="31" s="1"/>
  <c r="R303" i="31"/>
  <c r="S303" i="31" s="1"/>
  <c r="R319" i="31"/>
  <c r="S319" i="31" s="1"/>
  <c r="R335" i="31"/>
  <c r="S335" i="31" s="1"/>
  <c r="R351" i="31"/>
  <c r="S351" i="31" s="1"/>
  <c r="R29" i="31"/>
  <c r="S29" i="31" s="1"/>
  <c r="R45" i="31"/>
  <c r="S45" i="31" s="1"/>
  <c r="R61" i="31"/>
  <c r="S61" i="31" s="1"/>
  <c r="R77" i="31"/>
  <c r="S77" i="31" s="1"/>
  <c r="R93" i="31"/>
  <c r="S93" i="31" s="1"/>
  <c r="R109" i="31"/>
  <c r="S109" i="31" s="1"/>
  <c r="R125" i="31"/>
  <c r="S125" i="31" s="1"/>
  <c r="R141" i="31"/>
  <c r="S141" i="31" s="1"/>
  <c r="R157" i="31"/>
  <c r="S157" i="31" s="1"/>
  <c r="R173" i="31"/>
  <c r="S173" i="31" s="1"/>
  <c r="R189" i="31"/>
  <c r="S189" i="31" s="1"/>
  <c r="R205" i="31"/>
  <c r="S205" i="31" s="1"/>
  <c r="R221" i="31"/>
  <c r="S221" i="31" s="1"/>
  <c r="R237" i="31"/>
  <c r="S237" i="31" s="1"/>
  <c r="R253" i="31"/>
  <c r="S253" i="31" s="1"/>
  <c r="R269" i="31"/>
  <c r="S269" i="31" s="1"/>
  <c r="R285" i="31"/>
  <c r="S285" i="31" s="1"/>
  <c r="R300" i="31"/>
  <c r="S300" i="31" s="1"/>
  <c r="R530" i="31"/>
  <c r="S530" i="31" s="1"/>
  <c r="R576" i="31"/>
  <c r="S576" i="31" s="1"/>
  <c r="R610" i="31"/>
  <c r="S610" i="31" s="1"/>
  <c r="R658" i="31"/>
  <c r="S658" i="31" s="1"/>
  <c r="R704" i="31"/>
  <c r="S704" i="31" s="1"/>
  <c r="R738" i="31"/>
  <c r="S738" i="31" s="1"/>
  <c r="R786" i="31"/>
  <c r="S786" i="31" s="1"/>
  <c r="R832" i="31"/>
  <c r="S832" i="31" s="1"/>
  <c r="R866" i="31"/>
  <c r="S866" i="31" s="1"/>
  <c r="R735" i="31"/>
  <c r="S735" i="31" s="1"/>
  <c r="R781" i="31"/>
  <c r="S781" i="31" s="1"/>
  <c r="R851" i="31"/>
  <c r="S851" i="31" s="1"/>
  <c r="R895" i="31"/>
  <c r="S895" i="31" s="1"/>
  <c r="R917" i="31"/>
  <c r="S917" i="31" s="1"/>
  <c r="R935" i="31"/>
  <c r="S935" i="31" s="1"/>
  <c r="R959" i="31"/>
  <c r="S959" i="31" s="1"/>
  <c r="R847" i="31"/>
  <c r="S847" i="31" s="1"/>
  <c r="R845" i="31"/>
  <c r="S845" i="31" s="1"/>
  <c r="R890" i="31"/>
  <c r="S890" i="31" s="1"/>
  <c r="R912" i="31"/>
  <c r="S912" i="31" s="1"/>
  <c r="R930" i="31"/>
  <c r="S930" i="31" s="1"/>
  <c r="R970" i="31"/>
  <c r="S970" i="31" s="1"/>
  <c r="R992" i="31"/>
  <c r="S992" i="31" s="1"/>
  <c r="R993" i="31"/>
  <c r="S993" i="31" s="1"/>
  <c r="R985" i="31"/>
  <c r="S985" i="31" s="1"/>
  <c r="R43" i="31"/>
  <c r="S43" i="31" s="1"/>
  <c r="R79" i="31"/>
  <c r="S79" i="31" s="1"/>
  <c r="R127" i="31"/>
  <c r="S127" i="31" s="1"/>
  <c r="R171" i="31"/>
  <c r="S171" i="31" s="1"/>
  <c r="R207" i="31"/>
  <c r="S207" i="31" s="1"/>
  <c r="R255" i="31"/>
  <c r="S255" i="31" s="1"/>
  <c r="R290" i="31"/>
  <c r="S290" i="31" s="1"/>
  <c r="R318" i="31"/>
  <c r="S318" i="31" s="1"/>
  <c r="R342" i="31"/>
  <c r="S342" i="31" s="1"/>
  <c r="R362" i="31"/>
  <c r="S362" i="31" s="1"/>
  <c r="R44" i="31"/>
  <c r="S44" i="31" s="1"/>
  <c r="R68" i="31"/>
  <c r="S68" i="31" s="1"/>
  <c r="R88" i="31"/>
  <c r="S88" i="31" s="1"/>
  <c r="R108" i="31"/>
  <c r="S108" i="31" s="1"/>
  <c r="R132" i="31"/>
  <c r="S132" i="31" s="1"/>
  <c r="R152" i="31"/>
  <c r="S152" i="31" s="1"/>
  <c r="R172" i="31"/>
  <c r="S172" i="31" s="1"/>
  <c r="R196" i="31"/>
  <c r="S196" i="31" s="1"/>
  <c r="R216" i="31"/>
  <c r="S216" i="31" s="1"/>
  <c r="R236" i="31"/>
  <c r="S236" i="31" s="1"/>
  <c r="R260" i="31"/>
  <c r="S260" i="31" s="1"/>
  <c r="R280" i="31"/>
  <c r="S280" i="31" s="1"/>
  <c r="R299" i="31"/>
  <c r="S299" i="31" s="1"/>
  <c r="R323" i="31"/>
  <c r="S323" i="31" s="1"/>
  <c r="R343" i="31"/>
  <c r="S343" i="31" s="1"/>
  <c r="R363" i="31"/>
  <c r="S363" i="31" s="1"/>
  <c r="R49" i="31"/>
  <c r="S49" i="31" s="1"/>
  <c r="R69" i="31"/>
  <c r="S69" i="31" s="1"/>
  <c r="R89" i="31"/>
  <c r="S89" i="31" s="1"/>
  <c r="R113" i="31"/>
  <c r="S113" i="31" s="1"/>
  <c r="R133" i="31"/>
  <c r="S133" i="31" s="1"/>
  <c r="R153" i="31"/>
  <c r="S153" i="31" s="1"/>
  <c r="R177" i="31"/>
  <c r="S177" i="31" s="1"/>
  <c r="R197" i="31"/>
  <c r="S197" i="31" s="1"/>
  <c r="R217" i="31"/>
  <c r="S217" i="31" s="1"/>
  <c r="R241" i="31"/>
  <c r="S241" i="31" s="1"/>
  <c r="R261" i="31"/>
  <c r="S261" i="31" s="1"/>
  <c r="R281" i="31"/>
  <c r="S281" i="31" s="1"/>
  <c r="R304" i="31"/>
  <c r="S304" i="31" s="1"/>
  <c r="R320" i="31"/>
  <c r="S320" i="31" s="1"/>
  <c r="R336" i="31"/>
  <c r="S336" i="31" s="1"/>
  <c r="R352" i="31"/>
  <c r="S352" i="31" s="1"/>
  <c r="R30" i="31"/>
  <c r="S30" i="31" s="1"/>
  <c r="R46" i="31"/>
  <c r="S46" i="31" s="1"/>
  <c r="R62" i="31"/>
  <c r="S62" i="31" s="1"/>
  <c r="R78" i="31"/>
  <c r="S78" i="31" s="1"/>
  <c r="R94" i="31"/>
  <c r="S94" i="31" s="1"/>
  <c r="R110" i="31"/>
  <c r="S110" i="31" s="1"/>
  <c r="R126" i="31"/>
  <c r="S126" i="31" s="1"/>
  <c r="R142" i="31"/>
  <c r="S142" i="31" s="1"/>
  <c r="R158" i="31"/>
  <c r="S158" i="31" s="1"/>
  <c r="R174" i="31"/>
  <c r="S174" i="31" s="1"/>
  <c r="R190" i="31"/>
  <c r="S190" i="31" s="1"/>
  <c r="R206" i="31"/>
  <c r="S206" i="31" s="1"/>
  <c r="R222" i="31"/>
  <c r="S222" i="31" s="1"/>
  <c r="R238" i="31"/>
  <c r="S238" i="31" s="1"/>
  <c r="R254" i="31"/>
  <c r="S254" i="31" s="1"/>
  <c r="R270" i="31"/>
  <c r="S270" i="31" s="1"/>
  <c r="R289" i="31"/>
  <c r="S289" i="31" s="1"/>
  <c r="R305" i="31"/>
  <c r="S305" i="31" s="1"/>
  <c r="R321" i="31"/>
  <c r="S321" i="31" s="1"/>
  <c r="R337" i="31"/>
  <c r="S337" i="31" s="1"/>
  <c r="R353" i="31"/>
  <c r="S353" i="31" s="1"/>
  <c r="R369" i="31"/>
  <c r="S369" i="31" s="1"/>
  <c r="R385" i="31"/>
  <c r="S385" i="31" s="1"/>
  <c r="R401" i="31"/>
  <c r="S401" i="31" s="1"/>
  <c r="R417" i="31"/>
  <c r="S417" i="31" s="1"/>
  <c r="R433" i="31"/>
  <c r="S433" i="31" s="1"/>
  <c r="R449" i="31"/>
  <c r="S449" i="31" s="1"/>
  <c r="R465" i="31"/>
  <c r="S465" i="31" s="1"/>
  <c r="R481" i="31"/>
  <c r="S481" i="31" s="1"/>
  <c r="R497" i="31"/>
  <c r="S497" i="31" s="1"/>
  <c r="R513" i="31"/>
  <c r="S513" i="31" s="1"/>
  <c r="R374" i="31"/>
  <c r="S374" i="31" s="1"/>
  <c r="R390" i="31"/>
  <c r="S390" i="31" s="1"/>
  <c r="R406" i="31"/>
  <c r="S406" i="31" s="1"/>
  <c r="R422" i="31"/>
  <c r="S422" i="31" s="1"/>
  <c r="R438" i="31"/>
  <c r="S438" i="31" s="1"/>
  <c r="R454" i="31"/>
  <c r="S454" i="31" s="1"/>
  <c r="R470" i="31"/>
  <c r="S470" i="31" s="1"/>
  <c r="R486" i="31"/>
  <c r="S486" i="31" s="1"/>
  <c r="R502" i="31"/>
  <c r="S502" i="31" s="1"/>
  <c r="R518" i="31"/>
  <c r="S518" i="31" s="1"/>
  <c r="R379" i="31"/>
  <c r="S379" i="31" s="1"/>
  <c r="R395" i="31"/>
  <c r="S395" i="31" s="1"/>
  <c r="R411" i="31"/>
  <c r="S411" i="31" s="1"/>
  <c r="R427" i="31"/>
  <c r="S427" i="31" s="1"/>
  <c r="R443" i="31"/>
  <c r="S443" i="31" s="1"/>
  <c r="R459" i="31"/>
  <c r="S459" i="31" s="1"/>
  <c r="R475" i="31"/>
  <c r="S475" i="31" s="1"/>
  <c r="R491" i="31"/>
  <c r="S491" i="31" s="1"/>
  <c r="R507" i="31"/>
  <c r="S507" i="31" s="1"/>
  <c r="R368" i="31"/>
  <c r="S368" i="31" s="1"/>
  <c r="R384" i="31"/>
  <c r="S384" i="31" s="1"/>
  <c r="R400" i="31"/>
  <c r="S400" i="31" s="1"/>
  <c r="R416" i="31"/>
  <c r="S416" i="31" s="1"/>
  <c r="R432" i="31"/>
  <c r="S432" i="31" s="1"/>
  <c r="R448" i="31"/>
  <c r="S448" i="31" s="1"/>
  <c r="R464" i="31"/>
  <c r="S464" i="31" s="1"/>
  <c r="R480" i="31"/>
  <c r="S480" i="31" s="1"/>
  <c r="R496" i="31"/>
  <c r="S496" i="31" s="1"/>
  <c r="R512" i="31"/>
  <c r="S512" i="31" s="1"/>
  <c r="R544" i="31"/>
  <c r="S544" i="31" s="1"/>
  <c r="R578" i="31"/>
  <c r="S578" i="31" s="1"/>
  <c r="R626" i="31"/>
  <c r="S626" i="31" s="1"/>
  <c r="R672" i="31"/>
  <c r="S672" i="31" s="1"/>
  <c r="R706" i="31"/>
  <c r="S706" i="31" s="1"/>
  <c r="R754" i="31"/>
  <c r="S754" i="31" s="1"/>
  <c r="R800" i="31"/>
  <c r="S800" i="31" s="1"/>
  <c r="R834" i="31"/>
  <c r="S834" i="31" s="1"/>
  <c r="R703" i="31"/>
  <c r="S703" i="31" s="1"/>
  <c r="R749" i="31"/>
  <c r="S749" i="31" s="1"/>
  <c r="R783" i="31"/>
  <c r="S783" i="31" s="1"/>
  <c r="R849" i="31"/>
  <c r="S849" i="31" s="1"/>
  <c r="R901" i="31"/>
  <c r="S901" i="31" s="1"/>
  <c r="R919" i="31"/>
  <c r="S919" i="31" s="1"/>
  <c r="R943" i="31"/>
  <c r="S943" i="31" s="1"/>
  <c r="R965" i="31"/>
  <c r="S965" i="31" s="1"/>
  <c r="R855" i="31"/>
  <c r="S855" i="31" s="1"/>
  <c r="R874" i="31"/>
  <c r="S874" i="31" s="1"/>
  <c r="R896" i="31"/>
  <c r="S896" i="31" s="1"/>
  <c r="R940" i="31"/>
  <c r="S940" i="31" s="1"/>
  <c r="R976" i="31"/>
  <c r="S976" i="31" s="1"/>
  <c r="R994" i="31"/>
  <c r="S994" i="31" s="1"/>
  <c r="R966" i="31"/>
  <c r="S966" i="31" s="1"/>
  <c r="R521" i="31"/>
  <c r="S521" i="31" s="1"/>
  <c r="R47" i="31"/>
  <c r="S47" i="31" s="1"/>
  <c r="R95" i="31"/>
  <c r="S95" i="31" s="1"/>
  <c r="R139" i="31"/>
  <c r="S139" i="31" s="1"/>
  <c r="R175" i="31"/>
  <c r="S175" i="31" s="1"/>
  <c r="R223" i="31"/>
  <c r="S223" i="31" s="1"/>
  <c r="R267" i="31"/>
  <c r="S267" i="31" s="1"/>
  <c r="R298" i="31"/>
  <c r="S298" i="31" s="1"/>
  <c r="R326" i="31"/>
  <c r="S326" i="31" s="1"/>
  <c r="R346" i="31"/>
  <c r="S346" i="31" s="1"/>
  <c r="R28" i="31"/>
  <c r="S28" i="31" s="1"/>
  <c r="R52" i="31"/>
  <c r="S52" i="31" s="1"/>
  <c r="R72" i="31"/>
  <c r="S72" i="31" s="1"/>
  <c r="R92" i="31"/>
  <c r="S92" i="31" s="1"/>
  <c r="R116" i="31"/>
  <c r="S116" i="31" s="1"/>
  <c r="R156" i="31"/>
  <c r="S156" i="31" s="1"/>
  <c r="R180" i="31"/>
  <c r="S180" i="31" s="1"/>
  <c r="R200" i="31"/>
  <c r="S200" i="31" s="1"/>
  <c r="R220" i="31"/>
  <c r="S220" i="31" s="1"/>
  <c r="R244" i="31"/>
  <c r="S244" i="31" s="1"/>
  <c r="R914" i="31"/>
  <c r="S914" i="31" s="1"/>
  <c r="R508" i="31"/>
  <c r="S508" i="31" s="1"/>
  <c r="R488" i="31"/>
  <c r="S488" i="31" s="1"/>
  <c r="R468" i="31"/>
  <c r="S468" i="31" s="1"/>
  <c r="R444" i="31"/>
  <c r="S444" i="31" s="1"/>
  <c r="R424" i="31"/>
  <c r="S424" i="31" s="1"/>
  <c r="R404" i="31"/>
  <c r="S404" i="31" s="1"/>
  <c r="R380" i="31"/>
  <c r="S380" i="31" s="1"/>
  <c r="R515" i="31"/>
  <c r="S515" i="31" s="1"/>
  <c r="R495" i="31"/>
  <c r="S495" i="31" s="1"/>
  <c r="R471" i="31"/>
  <c r="S471" i="31" s="1"/>
  <c r="R451" i="31"/>
  <c r="S451" i="31" s="1"/>
  <c r="R431" i="31"/>
  <c r="S431" i="31" s="1"/>
  <c r="R407" i="31"/>
  <c r="S407" i="31" s="1"/>
  <c r="R387" i="31"/>
  <c r="S387" i="31" s="1"/>
  <c r="R367" i="31"/>
  <c r="S367" i="31" s="1"/>
  <c r="R498" i="31"/>
  <c r="S498" i="31" s="1"/>
  <c r="R478" i="31"/>
  <c r="S478" i="31" s="1"/>
  <c r="R458" i="31"/>
  <c r="S458" i="31" s="1"/>
  <c r="R434" i="31"/>
  <c r="S434" i="31" s="1"/>
  <c r="R414" i="31"/>
  <c r="S414" i="31" s="1"/>
  <c r="R394" i="31"/>
  <c r="S394" i="31" s="1"/>
  <c r="R370" i="31"/>
  <c r="S370" i="31" s="1"/>
  <c r="R505" i="31"/>
  <c r="S505" i="31" s="1"/>
  <c r="R485" i="31"/>
  <c r="S485" i="31" s="1"/>
  <c r="R461" i="31"/>
  <c r="S461" i="31" s="1"/>
  <c r="R441" i="31"/>
  <c r="S441" i="31" s="1"/>
  <c r="R421" i="31"/>
  <c r="S421" i="31" s="1"/>
  <c r="R397" i="31"/>
  <c r="S397" i="31" s="1"/>
  <c r="R377" i="31"/>
  <c r="S377" i="31" s="1"/>
  <c r="R357" i="31"/>
  <c r="S357" i="31" s="1"/>
  <c r="R333" i="31"/>
  <c r="S333" i="31" s="1"/>
  <c r="R313" i="31"/>
  <c r="S313" i="31" s="1"/>
  <c r="R293" i="31"/>
  <c r="S293" i="31" s="1"/>
  <c r="R266" i="31"/>
  <c r="S266" i="31" s="1"/>
  <c r="R246" i="31"/>
  <c r="S246" i="31" s="1"/>
  <c r="R226" i="31"/>
  <c r="S226" i="31" s="1"/>
  <c r="R202" i="31"/>
  <c r="S202" i="31" s="1"/>
  <c r="R182" i="31"/>
  <c r="S182" i="31" s="1"/>
  <c r="R162" i="31"/>
  <c r="S162" i="31" s="1"/>
  <c r="R138" i="31"/>
  <c r="S138" i="31" s="1"/>
  <c r="R118" i="31"/>
  <c r="S118" i="31" s="1"/>
  <c r="R98" i="31"/>
  <c r="S98" i="31" s="1"/>
  <c r="R74" i="31"/>
  <c r="S74" i="31" s="1"/>
  <c r="R54" i="31"/>
  <c r="S54" i="31" s="1"/>
  <c r="R34" i="31"/>
  <c r="S34" i="31" s="1"/>
  <c r="R348" i="31"/>
  <c r="S348" i="31" s="1"/>
  <c r="R328" i="31"/>
  <c r="S328" i="31" s="1"/>
  <c r="R308" i="31"/>
  <c r="S308" i="31" s="1"/>
  <c r="R277" i="31"/>
  <c r="S277" i="31" s="1"/>
  <c r="R249" i="31"/>
  <c r="S249" i="31" s="1"/>
  <c r="R225" i="31"/>
  <c r="S225" i="31" s="1"/>
  <c r="R193" i="31"/>
  <c r="S193" i="31" s="1"/>
  <c r="R165" i="31"/>
  <c r="S165" i="31" s="1"/>
  <c r="R137" i="31"/>
  <c r="S137" i="31" s="1"/>
  <c r="R105" i="31"/>
  <c r="S105" i="31" s="1"/>
  <c r="R81" i="31"/>
  <c r="S81" i="31" s="1"/>
  <c r="R53" i="31"/>
  <c r="S53" i="31" s="1"/>
  <c r="R359" i="31"/>
  <c r="S359" i="31" s="1"/>
  <c r="R331" i="31"/>
  <c r="S331" i="31" s="1"/>
  <c r="R307" i="31"/>
  <c r="S307" i="31" s="1"/>
  <c r="R276" i="31"/>
  <c r="S276" i="31" s="1"/>
  <c r="R248" i="31"/>
  <c r="S248" i="31" s="1"/>
  <c r="R204" i="31"/>
  <c r="S204" i="31" s="1"/>
  <c r="R164" i="31"/>
  <c r="S164" i="31" s="1"/>
  <c r="R124" i="31"/>
  <c r="S124" i="31" s="1"/>
  <c r="R84" i="31"/>
  <c r="S84" i="31" s="1"/>
  <c r="R40" i="31"/>
  <c r="S40" i="31" s="1"/>
  <c r="R334" i="31"/>
  <c r="S334" i="31" s="1"/>
  <c r="R286" i="31"/>
  <c r="S286" i="31" s="1"/>
  <c r="R203" i="31"/>
  <c r="S203" i="31" s="1"/>
  <c r="R111" i="31"/>
  <c r="S111" i="31" s="1"/>
  <c r="R31" i="31"/>
  <c r="S31" i="31" s="1"/>
  <c r="R991" i="31"/>
  <c r="S991" i="31" s="1"/>
  <c r="R938" i="31"/>
  <c r="S938" i="31" s="1"/>
  <c r="R906" i="31"/>
  <c r="S906" i="31" s="1"/>
  <c r="R837" i="31"/>
  <c r="S837" i="31" s="1"/>
  <c r="R951" i="31"/>
  <c r="S951" i="31" s="1"/>
  <c r="R911" i="31"/>
  <c r="S911" i="31" s="1"/>
  <c r="R843" i="31"/>
  <c r="S843" i="31" s="1"/>
  <c r="R719" i="31"/>
  <c r="S719" i="31" s="1"/>
  <c r="R818" i="31"/>
  <c r="S818" i="31" s="1"/>
  <c r="R736" i="31"/>
  <c r="S736" i="31" s="1"/>
  <c r="R642" i="31"/>
  <c r="S642" i="31" s="1"/>
  <c r="R562" i="31"/>
  <c r="S562" i="31" s="1"/>
  <c r="R511" i="31"/>
  <c r="S511" i="31" s="1"/>
  <c r="R487" i="31"/>
  <c r="S487" i="31" s="1"/>
  <c r="R467" i="31"/>
  <c r="S467" i="31" s="1"/>
  <c r="R447" i="31"/>
  <c r="S447" i="31" s="1"/>
  <c r="R423" i="31"/>
  <c r="S423" i="31" s="1"/>
  <c r="R403" i="31"/>
  <c r="S403" i="31" s="1"/>
  <c r="R383" i="31"/>
  <c r="S383" i="31" s="1"/>
  <c r="R514" i="31"/>
  <c r="S514" i="31" s="1"/>
  <c r="R494" i="31"/>
  <c r="S494" i="31" s="1"/>
  <c r="R474" i="31"/>
  <c r="S474" i="31" s="1"/>
  <c r="R450" i="31"/>
  <c r="S450" i="31" s="1"/>
  <c r="R430" i="31"/>
  <c r="S430" i="31" s="1"/>
  <c r="R410" i="31"/>
  <c r="S410" i="31" s="1"/>
  <c r="R386" i="31"/>
  <c r="S386" i="31" s="1"/>
  <c r="R366" i="31"/>
  <c r="S366" i="31" s="1"/>
  <c r="R501" i="31"/>
  <c r="S501" i="31" s="1"/>
  <c r="R477" i="31"/>
  <c r="S477" i="31" s="1"/>
  <c r="R457" i="31"/>
  <c r="S457" i="31" s="1"/>
  <c r="R437" i="31"/>
  <c r="S437" i="31" s="1"/>
  <c r="R413" i="31"/>
  <c r="S413" i="31" s="1"/>
  <c r="R393" i="31"/>
  <c r="S393" i="31" s="1"/>
  <c r="R373" i="31"/>
  <c r="S373" i="31" s="1"/>
  <c r="R349" i="31"/>
  <c r="S349" i="31" s="1"/>
  <c r="R329" i="31"/>
  <c r="S329" i="31" s="1"/>
  <c r="R309" i="31"/>
  <c r="S309" i="31" s="1"/>
  <c r="R282" i="31"/>
  <c r="S282" i="31" s="1"/>
  <c r="R262" i="31"/>
  <c r="S262" i="31" s="1"/>
  <c r="R242" i="31"/>
  <c r="S242" i="31" s="1"/>
  <c r="R218" i="31"/>
  <c r="S218" i="31" s="1"/>
  <c r="R198" i="31"/>
  <c r="S198" i="31" s="1"/>
  <c r="R178" i="31"/>
  <c r="S178" i="31" s="1"/>
  <c r="R154" i="31"/>
  <c r="S154" i="31" s="1"/>
  <c r="R134" i="31"/>
  <c r="S134" i="31" s="1"/>
  <c r="R114" i="31"/>
  <c r="S114" i="31" s="1"/>
  <c r="R90" i="31"/>
  <c r="S90" i="31" s="1"/>
  <c r="R70" i="31"/>
  <c r="S70" i="31" s="1"/>
  <c r="R50" i="31"/>
  <c r="S50" i="31" s="1"/>
  <c r="R26" i="31"/>
  <c r="S26" i="31" s="1"/>
  <c r="R344" i="31"/>
  <c r="S344" i="31" s="1"/>
  <c r="R324" i="31"/>
  <c r="S324" i="31" s="1"/>
  <c r="R296" i="31"/>
  <c r="S296" i="31" s="1"/>
  <c r="R273" i="31"/>
  <c r="S273" i="31" s="1"/>
  <c r="R245" i="31"/>
  <c r="S245" i="31" s="1"/>
  <c r="R213" i="31"/>
  <c r="S213" i="31" s="1"/>
  <c r="R185" i="31"/>
  <c r="S185" i="31" s="1"/>
  <c r="R161" i="31"/>
  <c r="S161" i="31" s="1"/>
  <c r="R129" i="31"/>
  <c r="S129" i="31" s="1"/>
  <c r="R101" i="31"/>
  <c r="S101" i="31" s="1"/>
  <c r="R73" i="31"/>
  <c r="S73" i="31" s="1"/>
  <c r="R41" i="31"/>
  <c r="S41" i="31" s="1"/>
  <c r="R355" i="31"/>
  <c r="S355" i="31" s="1"/>
  <c r="R327" i="31"/>
  <c r="S327" i="31" s="1"/>
  <c r="R295" i="31"/>
  <c r="S295" i="31" s="1"/>
  <c r="R268" i="31"/>
  <c r="S268" i="31" s="1"/>
  <c r="R232" i="31"/>
  <c r="S232" i="31" s="1"/>
  <c r="R188" i="31"/>
  <c r="S188" i="31" s="1"/>
  <c r="R148" i="31"/>
  <c r="S148" i="31" s="1"/>
  <c r="R120" i="31"/>
  <c r="S120" i="31" s="1"/>
  <c r="R76" i="31"/>
  <c r="S76" i="31" s="1"/>
  <c r="R36" i="31"/>
  <c r="S36" i="31" s="1"/>
  <c r="R330" i="31"/>
  <c r="S330" i="31" s="1"/>
  <c r="R271" i="31"/>
  <c r="S271" i="31" s="1"/>
  <c r="R191" i="31"/>
  <c r="S191" i="31" s="1"/>
  <c r="R107" i="31"/>
  <c r="S107" i="31" s="1"/>
  <c r="R522" i="31"/>
  <c r="S522" i="31" s="1"/>
  <c r="R968" i="31"/>
  <c r="S968" i="31" s="1"/>
  <c r="R964" i="31"/>
  <c r="S964" i="31" s="1"/>
  <c r="R898" i="31"/>
  <c r="S898" i="31" s="1"/>
  <c r="R813" i="31"/>
  <c r="S813" i="31" s="1"/>
  <c r="R949" i="31"/>
  <c r="S949" i="31" s="1"/>
  <c r="R903" i="31"/>
  <c r="S903" i="31" s="1"/>
  <c r="R799" i="31"/>
  <c r="S799" i="31" s="1"/>
  <c r="R717" i="31"/>
  <c r="S717" i="31" s="1"/>
  <c r="R802" i="31"/>
  <c r="S802" i="31" s="1"/>
  <c r="R722" i="31"/>
  <c r="S722" i="31" s="1"/>
  <c r="R640" i="31"/>
  <c r="S640" i="31" s="1"/>
  <c r="R546" i="31"/>
  <c r="S546" i="31" s="1"/>
  <c r="R691" i="31"/>
  <c r="S691" i="31" s="1"/>
  <c r="R675" i="31"/>
  <c r="S675" i="31" s="1"/>
  <c r="R689" i="31"/>
  <c r="S689" i="31" s="1"/>
  <c r="R673" i="31"/>
  <c r="S673" i="31" s="1"/>
  <c r="R659" i="31"/>
  <c r="S659" i="31" s="1"/>
  <c r="R657" i="31"/>
  <c r="S657" i="31" s="1"/>
  <c r="R667" i="31"/>
  <c r="S667" i="31" s="1"/>
  <c r="R651" i="31"/>
  <c r="S651" i="31" s="1"/>
  <c r="R665" i="31"/>
  <c r="S665" i="31" s="1"/>
  <c r="R649" i="31"/>
  <c r="S649" i="31" s="1"/>
  <c r="R643" i="31"/>
  <c r="S643" i="31" s="1"/>
  <c r="R641" i="31"/>
  <c r="S641" i="31" s="1"/>
  <c r="R635" i="31"/>
  <c r="S635" i="31" s="1"/>
  <c r="R633" i="31"/>
  <c r="S633" i="31" s="1"/>
  <c r="R627" i="31"/>
  <c r="S627" i="31" s="1"/>
  <c r="R625" i="31"/>
  <c r="S625" i="31" s="1"/>
  <c r="R619" i="31"/>
  <c r="S619" i="31" s="1"/>
  <c r="R617" i="31"/>
  <c r="S617" i="31" s="1"/>
  <c r="R611" i="31"/>
  <c r="S611" i="31" s="1"/>
  <c r="R603" i="31"/>
  <c r="S603" i="31" s="1"/>
  <c r="R595" i="31"/>
  <c r="S595" i="31" s="1"/>
  <c r="R587" i="31"/>
  <c r="S587" i="31" s="1"/>
  <c r="R579" i="31"/>
  <c r="S579" i="31" s="1"/>
  <c r="R571" i="31"/>
  <c r="S571" i="31" s="1"/>
  <c r="R563" i="31"/>
  <c r="S563" i="31" s="1"/>
  <c r="R988" i="84"/>
  <c r="S988" i="84" s="1"/>
  <c r="R984" i="84"/>
  <c r="S984" i="84" s="1"/>
  <c r="R980" i="84"/>
  <c r="S980" i="84" s="1"/>
  <c r="R976" i="84"/>
  <c r="S976" i="84" s="1"/>
  <c r="R972" i="84"/>
  <c r="S972" i="84" s="1"/>
  <c r="R968" i="84"/>
  <c r="S968" i="84" s="1"/>
  <c r="R964" i="84"/>
  <c r="S964" i="84" s="1"/>
  <c r="R960" i="84"/>
  <c r="S960" i="84" s="1"/>
  <c r="R956" i="84"/>
  <c r="S956" i="84" s="1"/>
  <c r="R952" i="84"/>
  <c r="S952" i="84" s="1"/>
  <c r="R948" i="84"/>
  <c r="S948" i="84" s="1"/>
  <c r="R944" i="84"/>
  <c r="S944" i="84" s="1"/>
  <c r="R990" i="84"/>
  <c r="S990" i="84" s="1"/>
  <c r="R974" i="84"/>
  <c r="S974" i="84" s="1"/>
  <c r="R958" i="84"/>
  <c r="S958" i="84" s="1"/>
  <c r="R942" i="84"/>
  <c r="S942" i="84" s="1"/>
  <c r="R938" i="84"/>
  <c r="S938" i="84" s="1"/>
  <c r="R912" i="84"/>
  <c r="S912" i="84" s="1"/>
  <c r="R908" i="84"/>
  <c r="S908" i="84" s="1"/>
  <c r="R904" i="84"/>
  <c r="S904" i="84" s="1"/>
  <c r="R900" i="84"/>
  <c r="S900" i="84" s="1"/>
  <c r="R896" i="84"/>
  <c r="S896" i="84" s="1"/>
  <c r="R986" i="84"/>
  <c r="S986" i="84" s="1"/>
  <c r="R970" i="84"/>
  <c r="S970" i="84" s="1"/>
  <c r="R954" i="84"/>
  <c r="S954" i="84" s="1"/>
  <c r="R940" i="84"/>
  <c r="S940" i="84" s="1"/>
  <c r="R982" i="84"/>
  <c r="S982" i="84" s="1"/>
  <c r="R966" i="84"/>
  <c r="S966" i="84" s="1"/>
  <c r="R950" i="84"/>
  <c r="S950" i="84" s="1"/>
  <c r="R935" i="84"/>
  <c r="S935" i="84" s="1"/>
  <c r="R930" i="84"/>
  <c r="S930" i="84" s="1"/>
  <c r="R926" i="84"/>
  <c r="S926" i="84" s="1"/>
  <c r="R922" i="84"/>
  <c r="S922" i="84" s="1"/>
  <c r="R918" i="84"/>
  <c r="S918" i="84" s="1"/>
  <c r="R994" i="84"/>
  <c r="S994" i="84" s="1"/>
  <c r="R978" i="84"/>
  <c r="S978" i="84" s="1"/>
  <c r="R962" i="84"/>
  <c r="S962" i="84" s="1"/>
  <c r="R946" i="84"/>
  <c r="S946" i="84" s="1"/>
  <c r="R934" i="84"/>
  <c r="S934" i="84" s="1"/>
  <c r="R925" i="84"/>
  <c r="S925" i="84" s="1"/>
  <c r="R921" i="84"/>
  <c r="S921" i="84" s="1"/>
  <c r="R917" i="84"/>
  <c r="S917" i="84" s="1"/>
  <c r="R913" i="84"/>
  <c r="S913" i="84" s="1"/>
  <c r="R909" i="84"/>
  <c r="S909" i="84" s="1"/>
  <c r="R905" i="84"/>
  <c r="S905" i="84" s="1"/>
  <c r="R910" i="84"/>
  <c r="S910" i="84" s="1"/>
  <c r="R893" i="84"/>
  <c r="S893" i="84" s="1"/>
  <c r="R888" i="84"/>
  <c r="S888" i="84" s="1"/>
  <c r="R884" i="84"/>
  <c r="S884" i="84" s="1"/>
  <c r="R880" i="84"/>
  <c r="S880" i="84" s="1"/>
  <c r="R876" i="84"/>
  <c r="S876" i="84" s="1"/>
  <c r="R872" i="84"/>
  <c r="S872" i="84" s="1"/>
  <c r="R868" i="84"/>
  <c r="S868" i="84" s="1"/>
  <c r="R864" i="84"/>
  <c r="S864" i="84" s="1"/>
  <c r="R860" i="84"/>
  <c r="S860" i="84" s="1"/>
  <c r="R856" i="84"/>
  <c r="S856" i="84" s="1"/>
  <c r="R852" i="84"/>
  <c r="S852" i="84" s="1"/>
  <c r="R848" i="84"/>
  <c r="S848" i="84" s="1"/>
  <c r="R906" i="84"/>
  <c r="S906" i="84" s="1"/>
  <c r="R901" i="84"/>
  <c r="S901" i="84" s="1"/>
  <c r="R892" i="84"/>
  <c r="S892" i="84" s="1"/>
  <c r="R914" i="84"/>
  <c r="S914" i="84" s="1"/>
  <c r="R897" i="84"/>
  <c r="S897" i="84" s="1"/>
  <c r="R889" i="84"/>
  <c r="S889" i="84" s="1"/>
  <c r="R885" i="84"/>
  <c r="S885" i="84" s="1"/>
  <c r="R881" i="84"/>
  <c r="S881" i="84" s="1"/>
  <c r="R877" i="84"/>
  <c r="S877" i="84" s="1"/>
  <c r="R873" i="84"/>
  <c r="S873" i="84" s="1"/>
  <c r="R869" i="84"/>
  <c r="S869" i="84" s="1"/>
  <c r="R865" i="84"/>
  <c r="S865" i="84" s="1"/>
  <c r="R849" i="84"/>
  <c r="S849" i="84" s="1"/>
  <c r="R830" i="84"/>
  <c r="S830" i="84" s="1"/>
  <c r="R826" i="84"/>
  <c r="S826" i="84" s="1"/>
  <c r="R822" i="84"/>
  <c r="S822" i="84" s="1"/>
  <c r="R818" i="84"/>
  <c r="S818" i="84" s="1"/>
  <c r="R814" i="84"/>
  <c r="S814" i="84" s="1"/>
  <c r="R810" i="84"/>
  <c r="S810" i="84" s="1"/>
  <c r="R806" i="84"/>
  <c r="S806" i="84" s="1"/>
  <c r="R802" i="84"/>
  <c r="S802" i="84" s="1"/>
  <c r="R798" i="84"/>
  <c r="S798" i="84" s="1"/>
  <c r="R794" i="84"/>
  <c r="S794" i="84" s="1"/>
  <c r="R790" i="84"/>
  <c r="S790" i="84" s="1"/>
  <c r="R786" i="84"/>
  <c r="S786" i="84" s="1"/>
  <c r="R782" i="84"/>
  <c r="S782" i="84" s="1"/>
  <c r="R861" i="84"/>
  <c r="S861" i="84" s="1"/>
  <c r="R844" i="84"/>
  <c r="S844" i="84" s="1"/>
  <c r="R836" i="84"/>
  <c r="S836" i="84" s="1"/>
  <c r="R793" i="84"/>
  <c r="S793" i="84" s="1"/>
  <c r="R789" i="84"/>
  <c r="S789" i="84" s="1"/>
  <c r="R785" i="84"/>
  <c r="S785" i="84" s="1"/>
  <c r="R781" i="84"/>
  <c r="S781" i="84" s="1"/>
  <c r="R777" i="84"/>
  <c r="S777" i="84" s="1"/>
  <c r="R769" i="84"/>
  <c r="S769" i="84" s="1"/>
  <c r="R765" i="84"/>
  <c r="S765" i="84" s="1"/>
  <c r="R761" i="84"/>
  <c r="S761" i="84" s="1"/>
  <c r="R757" i="84"/>
  <c r="S757" i="84" s="1"/>
  <c r="R857" i="84"/>
  <c r="S857" i="84" s="1"/>
  <c r="R853" i="84"/>
  <c r="S853" i="84" s="1"/>
  <c r="R840" i="84"/>
  <c r="S840" i="84" s="1"/>
  <c r="R778" i="84"/>
  <c r="S778" i="84" s="1"/>
  <c r="R770" i="84"/>
  <c r="S770" i="84" s="1"/>
  <c r="R762" i="84"/>
  <c r="S762" i="84" s="1"/>
  <c r="R753" i="84"/>
  <c r="S753" i="84" s="1"/>
  <c r="R749" i="84"/>
  <c r="S749" i="84" s="1"/>
  <c r="R745" i="84"/>
  <c r="S745" i="84" s="1"/>
  <c r="R741" i="84"/>
  <c r="S741" i="84" s="1"/>
  <c r="R737" i="84"/>
  <c r="S737" i="84" s="1"/>
  <c r="R733" i="84"/>
  <c r="S733" i="84" s="1"/>
  <c r="R729" i="84"/>
  <c r="S729" i="84" s="1"/>
  <c r="R725" i="84"/>
  <c r="S725" i="84" s="1"/>
  <c r="R721" i="84"/>
  <c r="S721" i="84" s="1"/>
  <c r="R717" i="84"/>
  <c r="S717" i="84" s="1"/>
  <c r="R713" i="84"/>
  <c r="S713" i="84" s="1"/>
  <c r="R709" i="84"/>
  <c r="S709" i="84" s="1"/>
  <c r="R705" i="84"/>
  <c r="S705" i="84" s="1"/>
  <c r="R701" i="84"/>
  <c r="S701" i="84" s="1"/>
  <c r="R697" i="84"/>
  <c r="S697" i="84" s="1"/>
  <c r="R774" i="84"/>
  <c r="S774" i="84" s="1"/>
  <c r="R766" i="84"/>
  <c r="S766" i="84" s="1"/>
  <c r="R758" i="84"/>
  <c r="S758" i="84" s="1"/>
  <c r="R751" i="84"/>
  <c r="S751" i="84" s="1"/>
  <c r="R747" i="84"/>
  <c r="S747" i="84" s="1"/>
  <c r="R743" i="84"/>
  <c r="S743" i="84" s="1"/>
  <c r="R739" i="84"/>
  <c r="S739" i="84" s="1"/>
  <c r="R735" i="84"/>
  <c r="S735" i="84" s="1"/>
  <c r="R731" i="84"/>
  <c r="S731" i="84" s="1"/>
  <c r="R727" i="84"/>
  <c r="S727" i="84" s="1"/>
  <c r="R723" i="84"/>
  <c r="S723" i="84" s="1"/>
  <c r="R719" i="84"/>
  <c r="S719" i="84" s="1"/>
  <c r="R715" i="84"/>
  <c r="S715" i="84" s="1"/>
  <c r="R711" i="84"/>
  <c r="S711" i="84" s="1"/>
  <c r="R707" i="84"/>
  <c r="S707" i="84" s="1"/>
  <c r="R703" i="84"/>
  <c r="S703" i="84" s="1"/>
  <c r="R699" i="84"/>
  <c r="S699" i="84" s="1"/>
  <c r="R695" i="84"/>
  <c r="S695" i="84" s="1"/>
  <c r="R693" i="84"/>
  <c r="S693" i="84" s="1"/>
  <c r="R691" i="84"/>
  <c r="S691" i="84" s="1"/>
  <c r="R689" i="84"/>
  <c r="S689" i="84" s="1"/>
  <c r="R687" i="84"/>
  <c r="S687" i="84" s="1"/>
  <c r="R685" i="84"/>
  <c r="S685" i="84" s="1"/>
  <c r="R683" i="84"/>
  <c r="S683" i="84" s="1"/>
  <c r="R681" i="84"/>
  <c r="S681" i="84" s="1"/>
  <c r="R679" i="84"/>
  <c r="S679" i="84" s="1"/>
  <c r="R677" i="84"/>
  <c r="S677" i="84" s="1"/>
  <c r="R675" i="84"/>
  <c r="S675" i="84" s="1"/>
  <c r="R673" i="84"/>
  <c r="S673" i="84" s="1"/>
  <c r="R668" i="84"/>
  <c r="S668" i="84" s="1"/>
  <c r="R664" i="84"/>
  <c r="S664" i="84" s="1"/>
  <c r="R660" i="84"/>
  <c r="S660" i="84" s="1"/>
  <c r="R656" i="84"/>
  <c r="S656" i="84" s="1"/>
  <c r="R652" i="84"/>
  <c r="S652" i="84" s="1"/>
  <c r="R648" i="84"/>
  <c r="S648" i="84" s="1"/>
  <c r="R644" i="84"/>
  <c r="S644" i="84" s="1"/>
  <c r="R640" i="84"/>
  <c r="S640" i="84" s="1"/>
  <c r="R636" i="84"/>
  <c r="S636" i="84" s="1"/>
  <c r="R632" i="84"/>
  <c r="S632" i="84" s="1"/>
  <c r="R628" i="84"/>
  <c r="S628" i="84" s="1"/>
  <c r="R624" i="84"/>
  <c r="S624" i="84" s="1"/>
  <c r="R620" i="84"/>
  <c r="S620" i="84" s="1"/>
  <c r="R616" i="84"/>
  <c r="S616" i="84" s="1"/>
  <c r="R612" i="84"/>
  <c r="S612" i="84" s="1"/>
  <c r="R608" i="84"/>
  <c r="S608" i="84" s="1"/>
  <c r="R604" i="84"/>
  <c r="S604" i="84" s="1"/>
  <c r="R600" i="84"/>
  <c r="S600" i="84" s="1"/>
  <c r="R596" i="84"/>
  <c r="S596" i="84" s="1"/>
  <c r="R592" i="84"/>
  <c r="S592" i="84" s="1"/>
  <c r="R666" i="84"/>
  <c r="S666" i="84" s="1"/>
  <c r="R658" i="84"/>
  <c r="S658" i="84" s="1"/>
  <c r="R650" i="84"/>
  <c r="S650" i="84" s="1"/>
  <c r="R642" i="84"/>
  <c r="S642" i="84" s="1"/>
  <c r="R634" i="84"/>
  <c r="S634" i="84" s="1"/>
  <c r="R626" i="84"/>
  <c r="S626" i="84" s="1"/>
  <c r="R618" i="84"/>
  <c r="S618" i="84" s="1"/>
  <c r="R610" i="84"/>
  <c r="S610" i="84" s="1"/>
  <c r="R602" i="84"/>
  <c r="S602" i="84" s="1"/>
  <c r="R594" i="84"/>
  <c r="S594" i="84" s="1"/>
  <c r="R576" i="84"/>
  <c r="S576" i="84" s="1"/>
  <c r="R568" i="84"/>
  <c r="S568" i="84" s="1"/>
  <c r="R560" i="84"/>
  <c r="S560" i="84" s="1"/>
  <c r="R590" i="84"/>
  <c r="S590" i="84" s="1"/>
  <c r="R588" i="84"/>
  <c r="S588" i="84" s="1"/>
  <c r="R586" i="84"/>
  <c r="S586" i="84" s="1"/>
  <c r="R584" i="84"/>
  <c r="S584" i="84" s="1"/>
  <c r="R488" i="84"/>
  <c r="S488" i="84" s="1"/>
  <c r="R480" i="84"/>
  <c r="S480" i="84" s="1"/>
  <c r="R472" i="84"/>
  <c r="S472" i="84" s="1"/>
  <c r="R464" i="84"/>
  <c r="S464" i="84" s="1"/>
  <c r="R458" i="84"/>
  <c r="S458" i="84" s="1"/>
  <c r="R454" i="84"/>
  <c r="S454" i="84" s="1"/>
  <c r="R450" i="84"/>
  <c r="S450" i="84" s="1"/>
  <c r="R446" i="84"/>
  <c r="S446" i="84" s="1"/>
  <c r="R442" i="84"/>
  <c r="S442" i="84" s="1"/>
  <c r="R438" i="84"/>
  <c r="S438" i="84" s="1"/>
  <c r="R434" i="84"/>
  <c r="S434" i="84" s="1"/>
  <c r="R430" i="84"/>
  <c r="S430" i="84" s="1"/>
  <c r="R426" i="84"/>
  <c r="S426" i="84" s="1"/>
  <c r="R422" i="84"/>
  <c r="S422" i="84" s="1"/>
  <c r="R418" i="84"/>
  <c r="S418" i="84" s="1"/>
  <c r="R414" i="84"/>
  <c r="S414" i="84" s="1"/>
  <c r="R410" i="84"/>
  <c r="S410" i="84" s="1"/>
  <c r="R406" i="84"/>
  <c r="S406" i="84" s="1"/>
  <c r="R402" i="84"/>
  <c r="S402" i="84" s="1"/>
  <c r="R398" i="84"/>
  <c r="S398" i="84" s="1"/>
  <c r="R394" i="84"/>
  <c r="S394" i="84" s="1"/>
  <c r="R390" i="84"/>
  <c r="S390" i="84" s="1"/>
  <c r="R386" i="84"/>
  <c r="S386" i="84" s="1"/>
  <c r="R382" i="84"/>
  <c r="S382" i="84" s="1"/>
  <c r="R378" i="84"/>
  <c r="S378" i="84" s="1"/>
  <c r="R374" i="84"/>
  <c r="S374" i="84" s="1"/>
  <c r="R370" i="84"/>
  <c r="S370" i="84" s="1"/>
  <c r="R366" i="84"/>
  <c r="S366" i="84" s="1"/>
  <c r="R362" i="84"/>
  <c r="S362" i="84" s="1"/>
  <c r="R358" i="84"/>
  <c r="S358" i="84" s="1"/>
  <c r="R354" i="84"/>
  <c r="S354" i="84" s="1"/>
  <c r="R350" i="84"/>
  <c r="S350" i="84" s="1"/>
  <c r="R346" i="84"/>
  <c r="S346" i="84" s="1"/>
  <c r="R342" i="84"/>
  <c r="S342" i="84" s="1"/>
  <c r="R338" i="84"/>
  <c r="S338" i="84" s="1"/>
  <c r="R334" i="84"/>
  <c r="S334" i="84" s="1"/>
  <c r="R330" i="84"/>
  <c r="S330" i="84" s="1"/>
  <c r="R552" i="84"/>
  <c r="S552" i="84" s="1"/>
  <c r="R484" i="84"/>
  <c r="S484" i="84" s="1"/>
  <c r="R476" i="84"/>
  <c r="S476" i="84" s="1"/>
  <c r="R468" i="84"/>
  <c r="S468" i="84" s="1"/>
  <c r="R460" i="84"/>
  <c r="S460" i="84" s="1"/>
  <c r="R582" i="84"/>
  <c r="S582" i="84" s="1"/>
  <c r="R581" i="84"/>
  <c r="S581" i="84" s="1"/>
  <c r="R580" i="84"/>
  <c r="S580" i="84" s="1"/>
  <c r="R574" i="84"/>
  <c r="S574" i="84" s="1"/>
  <c r="R573" i="84"/>
  <c r="S573" i="84" s="1"/>
  <c r="R572" i="84"/>
  <c r="S572" i="84" s="1"/>
  <c r="R566" i="84"/>
  <c r="S566" i="84" s="1"/>
  <c r="R565" i="84"/>
  <c r="S565" i="84" s="1"/>
  <c r="R564" i="84"/>
  <c r="S564" i="84" s="1"/>
  <c r="R556" i="84"/>
  <c r="S556" i="84" s="1"/>
  <c r="R536" i="84"/>
  <c r="S536" i="84" s="1"/>
  <c r="R520" i="84"/>
  <c r="S520" i="84" s="1"/>
  <c r="R504" i="84"/>
  <c r="S504" i="84" s="1"/>
  <c r="R415" i="84"/>
  <c r="S415" i="84" s="1"/>
  <c r="R399" i="84"/>
  <c r="S399" i="84" s="1"/>
  <c r="R391" i="84"/>
  <c r="S391" i="84" s="1"/>
  <c r="R383" i="84"/>
  <c r="S383" i="84" s="1"/>
  <c r="R375" i="84"/>
  <c r="S375" i="84" s="1"/>
  <c r="R367" i="84"/>
  <c r="S367" i="84" s="1"/>
  <c r="R359" i="84"/>
  <c r="S359" i="84" s="1"/>
  <c r="R351" i="84"/>
  <c r="S351" i="84" s="1"/>
  <c r="R343" i="84"/>
  <c r="S343" i="84" s="1"/>
  <c r="R335" i="84"/>
  <c r="S335" i="84" s="1"/>
  <c r="R327" i="84"/>
  <c r="S327" i="84" s="1"/>
  <c r="R322" i="84"/>
  <c r="S322" i="84" s="1"/>
  <c r="R311" i="84"/>
  <c r="S311" i="84" s="1"/>
  <c r="R306" i="84"/>
  <c r="S306" i="84" s="1"/>
  <c r="R295" i="84"/>
  <c r="S295" i="84" s="1"/>
  <c r="R290" i="84"/>
  <c r="S290" i="84" s="1"/>
  <c r="R274" i="84"/>
  <c r="S274" i="84" s="1"/>
  <c r="R252" i="84"/>
  <c r="S252" i="84" s="1"/>
  <c r="R248" i="84"/>
  <c r="S248" i="84" s="1"/>
  <c r="R244" i="84"/>
  <c r="S244" i="84" s="1"/>
  <c r="R240" i="84"/>
  <c r="S240" i="84" s="1"/>
  <c r="R236" i="84"/>
  <c r="S236" i="84" s="1"/>
  <c r="R232" i="84"/>
  <c r="S232" i="84" s="1"/>
  <c r="R228" i="84"/>
  <c r="S228" i="84" s="1"/>
  <c r="R224" i="84"/>
  <c r="S224" i="84" s="1"/>
  <c r="R220" i="84"/>
  <c r="S220" i="84" s="1"/>
  <c r="R216" i="84"/>
  <c r="S216" i="84" s="1"/>
  <c r="R212" i="84"/>
  <c r="S212" i="84" s="1"/>
  <c r="R208" i="84"/>
  <c r="S208" i="84" s="1"/>
  <c r="R204" i="84"/>
  <c r="S204" i="84" s="1"/>
  <c r="R200" i="84"/>
  <c r="S200" i="84" s="1"/>
  <c r="R196" i="84"/>
  <c r="S196" i="84" s="1"/>
  <c r="R192" i="84"/>
  <c r="S192" i="84" s="1"/>
  <c r="R188" i="84"/>
  <c r="S188" i="84" s="1"/>
  <c r="R184" i="84"/>
  <c r="S184" i="84" s="1"/>
  <c r="R180" i="84"/>
  <c r="S180" i="84" s="1"/>
  <c r="R176" i="84"/>
  <c r="S176" i="84" s="1"/>
  <c r="R172" i="84"/>
  <c r="S172" i="84" s="1"/>
  <c r="R168" i="84"/>
  <c r="S168" i="84" s="1"/>
  <c r="R164" i="84"/>
  <c r="S164" i="84" s="1"/>
  <c r="R160" i="84"/>
  <c r="S160" i="84" s="1"/>
  <c r="R156" i="84"/>
  <c r="S156" i="84" s="1"/>
  <c r="R152" i="84"/>
  <c r="S152" i="84" s="1"/>
  <c r="R148" i="84"/>
  <c r="S148" i="84" s="1"/>
  <c r="R144" i="84"/>
  <c r="S144" i="84" s="1"/>
  <c r="R140" i="84"/>
  <c r="S140" i="84" s="1"/>
  <c r="R136" i="84"/>
  <c r="S136" i="84" s="1"/>
  <c r="R132" i="84"/>
  <c r="S132" i="84" s="1"/>
  <c r="R128" i="84"/>
  <c r="S128" i="84" s="1"/>
  <c r="R124" i="84"/>
  <c r="S124" i="84" s="1"/>
  <c r="R540" i="84"/>
  <c r="S540" i="84" s="1"/>
  <c r="R524" i="84"/>
  <c r="S524" i="84" s="1"/>
  <c r="R508" i="84"/>
  <c r="S508" i="84" s="1"/>
  <c r="R492" i="84"/>
  <c r="S492" i="84" s="1"/>
  <c r="R455" i="84"/>
  <c r="S455" i="84" s="1"/>
  <c r="R447" i="84"/>
  <c r="S447" i="84" s="1"/>
  <c r="R439" i="84"/>
  <c r="S439" i="84" s="1"/>
  <c r="R431" i="84"/>
  <c r="S431" i="84" s="1"/>
  <c r="R411" i="84"/>
  <c r="S411" i="84" s="1"/>
  <c r="R326" i="84"/>
  <c r="S326" i="84" s="1"/>
  <c r="R310" i="84"/>
  <c r="S310" i="84" s="1"/>
  <c r="R294" i="84"/>
  <c r="S294" i="84" s="1"/>
  <c r="R278" i="84"/>
  <c r="S278" i="84" s="1"/>
  <c r="R544" i="84"/>
  <c r="S544" i="84" s="1"/>
  <c r="R528" i="84"/>
  <c r="S528" i="84" s="1"/>
  <c r="R512" i="84"/>
  <c r="S512" i="84" s="1"/>
  <c r="R496" i="84"/>
  <c r="S496" i="84" s="1"/>
  <c r="R423" i="84"/>
  <c r="S423" i="84" s="1"/>
  <c r="R407" i="84"/>
  <c r="S407" i="84" s="1"/>
  <c r="R395" i="84"/>
  <c r="S395" i="84" s="1"/>
  <c r="R387" i="84"/>
  <c r="S387" i="84" s="1"/>
  <c r="R379" i="84"/>
  <c r="S379" i="84" s="1"/>
  <c r="R371" i="84"/>
  <c r="S371" i="84" s="1"/>
  <c r="R363" i="84"/>
  <c r="S363" i="84" s="1"/>
  <c r="R355" i="84"/>
  <c r="S355" i="84" s="1"/>
  <c r="R347" i="84"/>
  <c r="S347" i="84" s="1"/>
  <c r="R339" i="84"/>
  <c r="S339" i="84" s="1"/>
  <c r="R331" i="84"/>
  <c r="S331" i="84" s="1"/>
  <c r="R314" i="84"/>
  <c r="S314" i="84" s="1"/>
  <c r="R298" i="84"/>
  <c r="S298" i="84" s="1"/>
  <c r="R282" i="84"/>
  <c r="S282" i="84" s="1"/>
  <c r="R662" i="84"/>
  <c r="S662" i="84" s="1"/>
  <c r="R654" i="84"/>
  <c r="S654" i="84" s="1"/>
  <c r="R646" i="84"/>
  <c r="S646" i="84" s="1"/>
  <c r="R638" i="84"/>
  <c r="S638" i="84" s="1"/>
  <c r="R630" i="84"/>
  <c r="S630" i="84" s="1"/>
  <c r="R622" i="84"/>
  <c r="S622" i="84" s="1"/>
  <c r="R614" i="84"/>
  <c r="S614" i="84" s="1"/>
  <c r="R606" i="84"/>
  <c r="S606" i="84" s="1"/>
  <c r="R598" i="84"/>
  <c r="S598" i="84" s="1"/>
  <c r="R548" i="84"/>
  <c r="S548" i="84" s="1"/>
  <c r="R532" i="84"/>
  <c r="S532" i="84" s="1"/>
  <c r="R516" i="84"/>
  <c r="S516" i="84" s="1"/>
  <c r="R500" i="84"/>
  <c r="S500" i="84" s="1"/>
  <c r="R451" i="84"/>
  <c r="S451" i="84" s="1"/>
  <c r="R443" i="84"/>
  <c r="S443" i="84" s="1"/>
  <c r="R435" i="84"/>
  <c r="S435" i="84" s="1"/>
  <c r="R427" i="84"/>
  <c r="S427" i="84" s="1"/>
  <c r="R292" i="84"/>
  <c r="S292" i="84" s="1"/>
  <c r="R286" i="84"/>
  <c r="S286" i="84" s="1"/>
  <c r="R275" i="84"/>
  <c r="S275" i="84" s="1"/>
  <c r="R269" i="84"/>
  <c r="S269" i="84" s="1"/>
  <c r="R253" i="84"/>
  <c r="S253" i="84" s="1"/>
  <c r="R237" i="84"/>
  <c r="S237" i="84" s="1"/>
  <c r="R221" i="84"/>
  <c r="S221" i="84" s="1"/>
  <c r="R205" i="84"/>
  <c r="S205" i="84" s="1"/>
  <c r="R189" i="84"/>
  <c r="S189" i="84" s="1"/>
  <c r="R177" i="84"/>
  <c r="S177" i="84" s="1"/>
  <c r="R169" i="84"/>
  <c r="S169" i="84" s="1"/>
  <c r="R161" i="84"/>
  <c r="S161" i="84" s="1"/>
  <c r="R153" i="84"/>
  <c r="S153" i="84" s="1"/>
  <c r="R145" i="84"/>
  <c r="S145" i="84" s="1"/>
  <c r="R137" i="84"/>
  <c r="S137" i="84" s="1"/>
  <c r="R129" i="84"/>
  <c r="S129" i="84" s="1"/>
  <c r="R308" i="84"/>
  <c r="S308" i="84" s="1"/>
  <c r="R302" i="84"/>
  <c r="S302" i="84" s="1"/>
  <c r="R291" i="84"/>
  <c r="S291" i="84" s="1"/>
  <c r="R265" i="84"/>
  <c r="S265" i="84" s="1"/>
  <c r="R249" i="84"/>
  <c r="S249" i="84" s="1"/>
  <c r="R233" i="84"/>
  <c r="S233" i="84" s="1"/>
  <c r="R217" i="84"/>
  <c r="S217" i="84" s="1"/>
  <c r="R201" i="84"/>
  <c r="S201" i="84" s="1"/>
  <c r="R185" i="84"/>
  <c r="S185" i="84" s="1"/>
  <c r="R116" i="84"/>
  <c r="S116" i="84" s="1"/>
  <c r="R419" i="84"/>
  <c r="S419" i="84" s="1"/>
  <c r="R318" i="84"/>
  <c r="S318" i="84" s="1"/>
  <c r="R307" i="84"/>
  <c r="S307" i="84" s="1"/>
  <c r="R403" i="84"/>
  <c r="S403" i="84" s="1"/>
  <c r="R323" i="84"/>
  <c r="S323" i="84" s="1"/>
  <c r="R257" i="84"/>
  <c r="S257" i="84" s="1"/>
  <c r="R241" i="84"/>
  <c r="S241" i="84" s="1"/>
  <c r="R225" i="84"/>
  <c r="S225" i="84" s="1"/>
  <c r="R209" i="84"/>
  <c r="S209" i="84" s="1"/>
  <c r="R193" i="84"/>
  <c r="S193" i="84" s="1"/>
  <c r="R261" i="84"/>
  <c r="S261" i="84" s="1"/>
  <c r="R197" i="84"/>
  <c r="S197" i="84" s="1"/>
  <c r="R165" i="84"/>
  <c r="S165" i="84" s="1"/>
  <c r="R133" i="84"/>
  <c r="S133" i="84" s="1"/>
  <c r="R112" i="84"/>
  <c r="S112" i="84" s="1"/>
  <c r="R110" i="84"/>
  <c r="S110" i="84" s="1"/>
  <c r="R102" i="84"/>
  <c r="S102" i="84" s="1"/>
  <c r="S24" i="84"/>
  <c r="R31" i="84"/>
  <c r="S31" i="84" s="1"/>
  <c r="R245" i="84"/>
  <c r="S245" i="84" s="1"/>
  <c r="R182" i="84"/>
  <c r="S182" i="84" s="1"/>
  <c r="R173" i="84"/>
  <c r="S173" i="84" s="1"/>
  <c r="R150" i="84"/>
  <c r="S150" i="84" s="1"/>
  <c r="R141" i="84"/>
  <c r="S141" i="84" s="1"/>
  <c r="R118" i="84"/>
  <c r="S118" i="84" s="1"/>
  <c r="R108" i="84"/>
  <c r="S108" i="84" s="1"/>
  <c r="R94" i="84"/>
  <c r="S94" i="84" s="1"/>
  <c r="R229" i="84"/>
  <c r="S229" i="84" s="1"/>
  <c r="R181" i="84"/>
  <c r="S181" i="84" s="1"/>
  <c r="R158" i="84"/>
  <c r="S158" i="84" s="1"/>
  <c r="R149" i="84"/>
  <c r="S149" i="84" s="1"/>
  <c r="R126" i="84"/>
  <c r="S126" i="84" s="1"/>
  <c r="R120" i="84"/>
  <c r="S120" i="84" s="1"/>
  <c r="R117" i="84"/>
  <c r="S117" i="84" s="1"/>
  <c r="R106" i="84"/>
  <c r="S106" i="84" s="1"/>
  <c r="R98" i="84"/>
  <c r="S98" i="84" s="1"/>
  <c r="R87" i="84"/>
  <c r="S87" i="84" s="1"/>
  <c r="R83" i="84"/>
  <c r="S83" i="84" s="1"/>
  <c r="R79" i="84"/>
  <c r="S79" i="84" s="1"/>
  <c r="R75" i="84"/>
  <c r="S75" i="84" s="1"/>
  <c r="R71" i="84"/>
  <c r="S71" i="84" s="1"/>
  <c r="R67" i="84"/>
  <c r="S67" i="84" s="1"/>
  <c r="R63" i="84"/>
  <c r="S63" i="84" s="1"/>
  <c r="R59" i="84"/>
  <c r="S59" i="84" s="1"/>
  <c r="R55" i="84"/>
  <c r="S55" i="84" s="1"/>
  <c r="R51" i="84"/>
  <c r="S51" i="84" s="1"/>
  <c r="R47" i="84"/>
  <c r="S47" i="84" s="1"/>
  <c r="R43" i="84"/>
  <c r="S43" i="84" s="1"/>
  <c r="R39" i="84"/>
  <c r="S39" i="84" s="1"/>
  <c r="R35" i="84"/>
  <c r="S35" i="84" s="1"/>
  <c r="R213" i="84"/>
  <c r="S213" i="84" s="1"/>
  <c r="R157" i="84"/>
  <c r="S157" i="84" s="1"/>
  <c r="R125" i="84"/>
  <c r="S125" i="84" s="1"/>
  <c r="R104" i="84"/>
  <c r="S104" i="84" s="1"/>
  <c r="R91" i="84"/>
  <c r="S91" i="84" s="1"/>
  <c r="R86" i="84"/>
  <c r="S86" i="84" s="1"/>
  <c r="R82" i="84"/>
  <c r="S82" i="84" s="1"/>
  <c r="R78" i="84"/>
  <c r="S78" i="84" s="1"/>
  <c r="R74" i="84"/>
  <c r="S74" i="84" s="1"/>
  <c r="R70" i="84"/>
  <c r="S70" i="84" s="1"/>
  <c r="R66" i="84"/>
  <c r="S66" i="84" s="1"/>
  <c r="R62" i="84"/>
  <c r="S62" i="84" s="1"/>
  <c r="R58" i="84"/>
  <c r="S58" i="84" s="1"/>
  <c r="R54" i="84"/>
  <c r="S54" i="84" s="1"/>
  <c r="R50" i="84"/>
  <c r="S50" i="84" s="1"/>
  <c r="R46" i="84"/>
  <c r="S46" i="84" s="1"/>
  <c r="R42" i="84"/>
  <c r="S42" i="84" s="1"/>
  <c r="R38" i="84"/>
  <c r="S38" i="84" s="1"/>
  <c r="R34" i="84"/>
  <c r="S34" i="84" s="1"/>
  <c r="R30" i="84"/>
  <c r="S30" i="84" s="1"/>
  <c r="R26" i="84"/>
  <c r="S26" i="84" s="1"/>
  <c r="R36" i="84"/>
  <c r="S36" i="84" s="1"/>
  <c r="R52" i="84"/>
  <c r="S52" i="84" s="1"/>
  <c r="R61" i="84"/>
  <c r="S61" i="84" s="1"/>
  <c r="R72" i="84"/>
  <c r="S72" i="84" s="1"/>
  <c r="R80" i="84"/>
  <c r="S80" i="84" s="1"/>
  <c r="R88" i="84"/>
  <c r="S88" i="84" s="1"/>
  <c r="R95" i="84"/>
  <c r="S95" i="84" s="1"/>
  <c r="R166" i="84"/>
  <c r="S166" i="84" s="1"/>
  <c r="R29" i="84"/>
  <c r="S29" i="84" s="1"/>
  <c r="R45" i="84"/>
  <c r="S45" i="84" s="1"/>
  <c r="R138" i="84"/>
  <c r="S138" i="84" s="1"/>
  <c r="R162" i="84"/>
  <c r="S162" i="84" s="1"/>
  <c r="R202" i="84"/>
  <c r="S202" i="84" s="1"/>
  <c r="R266" i="84"/>
  <c r="S266" i="84" s="1"/>
  <c r="R218" i="84"/>
  <c r="S218" i="84" s="1"/>
  <c r="R127" i="84"/>
  <c r="S127" i="84" s="1"/>
  <c r="R159" i="84"/>
  <c r="S159" i="84" s="1"/>
  <c r="R198" i="84"/>
  <c r="S198" i="84" s="1"/>
  <c r="R243" i="84"/>
  <c r="S243" i="84" s="1"/>
  <c r="R260" i="84"/>
  <c r="S260" i="84" s="1"/>
  <c r="R283" i="84"/>
  <c r="S283" i="84" s="1"/>
  <c r="R333" i="84"/>
  <c r="S333" i="84" s="1"/>
  <c r="R365" i="84"/>
  <c r="S365" i="84" s="1"/>
  <c r="R397" i="84"/>
  <c r="S397" i="84" s="1"/>
  <c r="R312" i="84"/>
  <c r="S312" i="84" s="1"/>
  <c r="R357" i="84"/>
  <c r="S357" i="84" s="1"/>
  <c r="R389" i="84"/>
  <c r="S389" i="84" s="1"/>
  <c r="R131" i="84"/>
  <c r="S131" i="84" s="1"/>
  <c r="R147" i="84"/>
  <c r="S147" i="84" s="1"/>
  <c r="R163" i="84"/>
  <c r="S163" i="84" s="1"/>
  <c r="R179" i="84"/>
  <c r="S179" i="84" s="1"/>
  <c r="R219" i="84"/>
  <c r="S219" i="84" s="1"/>
  <c r="R238" i="84"/>
  <c r="S238" i="84" s="1"/>
  <c r="R207" i="84"/>
  <c r="S207" i="84" s="1"/>
  <c r="R226" i="84"/>
  <c r="S226" i="84" s="1"/>
  <c r="R341" i="84"/>
  <c r="S341" i="84" s="1"/>
  <c r="R373" i="84"/>
  <c r="S373" i="84" s="1"/>
  <c r="R405" i="84"/>
  <c r="S405" i="84" s="1"/>
  <c r="R489" i="84"/>
  <c r="S489" i="84" s="1"/>
  <c r="R272" i="84"/>
  <c r="S272" i="84" s="1"/>
  <c r="R301" i="84"/>
  <c r="S301" i="84" s="1"/>
  <c r="R348" i="84"/>
  <c r="S348" i="84" s="1"/>
  <c r="R380" i="84"/>
  <c r="S380" i="84" s="1"/>
  <c r="R412" i="84"/>
  <c r="S412" i="84" s="1"/>
  <c r="R441" i="84"/>
  <c r="S441" i="84" s="1"/>
  <c r="R456" i="84"/>
  <c r="S456" i="84" s="1"/>
  <c r="R490" i="84"/>
  <c r="S490" i="84" s="1"/>
  <c r="R313" i="84"/>
  <c r="S313" i="84" s="1"/>
  <c r="R416" i="84"/>
  <c r="S416" i="84" s="1"/>
  <c r="R505" i="84"/>
  <c r="S505" i="84" s="1"/>
  <c r="R537" i="84"/>
  <c r="S537" i="84" s="1"/>
  <c r="R293" i="84"/>
  <c r="S293" i="84" s="1"/>
  <c r="R325" i="84"/>
  <c r="S325" i="84" s="1"/>
  <c r="R417" i="84"/>
  <c r="S417" i="84" s="1"/>
  <c r="R437" i="84"/>
  <c r="S437" i="84" s="1"/>
  <c r="R452" i="84"/>
  <c r="S452" i="84" s="1"/>
  <c r="R482" i="84"/>
  <c r="S482" i="84" s="1"/>
  <c r="R470" i="84"/>
  <c r="S470" i="84" s="1"/>
  <c r="R507" i="84"/>
  <c r="S507" i="84" s="1"/>
  <c r="R523" i="84"/>
  <c r="S523" i="84" s="1"/>
  <c r="R539" i="84"/>
  <c r="S539" i="84" s="1"/>
  <c r="R557" i="84"/>
  <c r="S557" i="84" s="1"/>
  <c r="R605" i="84"/>
  <c r="S605" i="84" s="1"/>
  <c r="R619" i="84"/>
  <c r="S619" i="84" s="1"/>
  <c r="R637" i="84"/>
  <c r="S637" i="84" s="1"/>
  <c r="R651" i="84"/>
  <c r="S651" i="84" s="1"/>
  <c r="R562" i="84"/>
  <c r="S562" i="84" s="1"/>
  <c r="R578" i="84"/>
  <c r="S578" i="84" s="1"/>
  <c r="R601" i="84"/>
  <c r="S601" i="84" s="1"/>
  <c r="R615" i="84"/>
  <c r="S615" i="84" s="1"/>
  <c r="R633" i="84"/>
  <c r="S633" i="84" s="1"/>
  <c r="R647" i="84"/>
  <c r="S647" i="84" s="1"/>
  <c r="R665" i="84"/>
  <c r="S665" i="84" s="1"/>
  <c r="R676" i="84"/>
  <c r="S676" i="84" s="1"/>
  <c r="R680" i="84"/>
  <c r="S680" i="84" s="1"/>
  <c r="R684" i="84"/>
  <c r="S684" i="84" s="1"/>
  <c r="R688" i="84"/>
  <c r="S688" i="84" s="1"/>
  <c r="R692" i="84"/>
  <c r="S692" i="84" s="1"/>
  <c r="R696" i="84"/>
  <c r="S696" i="84" s="1"/>
  <c r="R712" i="84"/>
  <c r="S712" i="84" s="1"/>
  <c r="R728" i="84"/>
  <c r="S728" i="84" s="1"/>
  <c r="R702" i="84"/>
  <c r="S702" i="84" s="1"/>
  <c r="R718" i="84"/>
  <c r="S718" i="84" s="1"/>
  <c r="R734" i="84"/>
  <c r="S734" i="84" s="1"/>
  <c r="R744" i="84"/>
  <c r="S744" i="84" s="1"/>
  <c r="R752" i="84"/>
  <c r="S752" i="84" s="1"/>
  <c r="R763" i="84"/>
  <c r="S763" i="84" s="1"/>
  <c r="R783" i="84"/>
  <c r="S783" i="84" s="1"/>
  <c r="R791" i="84"/>
  <c r="S791" i="84" s="1"/>
  <c r="R797" i="84"/>
  <c r="S797" i="84" s="1"/>
  <c r="R803" i="84"/>
  <c r="S803" i="84" s="1"/>
  <c r="R808" i="84"/>
  <c r="S808" i="84" s="1"/>
  <c r="R813" i="84"/>
  <c r="S813" i="84" s="1"/>
  <c r="R819" i="84"/>
  <c r="S819" i="84" s="1"/>
  <c r="R824" i="84"/>
  <c r="S824" i="84" s="1"/>
  <c r="R829" i="84"/>
  <c r="S829" i="84" s="1"/>
  <c r="R837" i="84"/>
  <c r="S837" i="84" s="1"/>
  <c r="R835" i="84"/>
  <c r="S835" i="84" s="1"/>
  <c r="R858" i="84"/>
  <c r="S858" i="84" s="1"/>
  <c r="R850" i="84"/>
  <c r="S850" i="84" s="1"/>
  <c r="R866" i="84"/>
  <c r="S866" i="84" s="1"/>
  <c r="R874" i="84"/>
  <c r="S874" i="84" s="1"/>
  <c r="R882" i="84"/>
  <c r="S882" i="84" s="1"/>
  <c r="R890" i="84"/>
  <c r="S890" i="84" s="1"/>
  <c r="R949" i="84"/>
  <c r="S949" i="84" s="1"/>
  <c r="R967" i="84"/>
  <c r="S967" i="84" s="1"/>
  <c r="R985" i="84"/>
  <c r="S985" i="84" s="1"/>
  <c r="R957" i="84"/>
  <c r="S957" i="84" s="1"/>
  <c r="R975" i="84"/>
  <c r="S975" i="84" s="1"/>
  <c r="R40" i="84"/>
  <c r="S40" i="84" s="1"/>
  <c r="R56" i="84"/>
  <c r="S56" i="84" s="1"/>
  <c r="R64" i="84"/>
  <c r="S64" i="84" s="1"/>
  <c r="R73" i="84"/>
  <c r="S73" i="84" s="1"/>
  <c r="R81" i="84"/>
  <c r="S81" i="84" s="1"/>
  <c r="R89" i="84"/>
  <c r="S89" i="84" s="1"/>
  <c r="R96" i="84"/>
  <c r="S96" i="84" s="1"/>
  <c r="R25" i="84"/>
  <c r="S25" i="84" s="1"/>
  <c r="R33" i="84"/>
  <c r="S33" i="84" s="1"/>
  <c r="R48" i="84"/>
  <c r="S48" i="84" s="1"/>
  <c r="R107" i="84"/>
  <c r="S107" i="84" s="1"/>
  <c r="R121" i="84"/>
  <c r="S121" i="84" s="1"/>
  <c r="R279" i="84"/>
  <c r="S279" i="84" s="1"/>
  <c r="R101" i="84"/>
  <c r="S101" i="84" s="1"/>
  <c r="R109" i="84"/>
  <c r="S109" i="84" s="1"/>
  <c r="R114" i="84"/>
  <c r="S114" i="84" s="1"/>
  <c r="R130" i="84"/>
  <c r="S130" i="84" s="1"/>
  <c r="R103" i="84"/>
  <c r="S103" i="84" s="1"/>
  <c r="R113" i="84"/>
  <c r="S113" i="84" s="1"/>
  <c r="R123" i="84"/>
  <c r="S123" i="84" s="1"/>
  <c r="R154" i="84"/>
  <c r="S154" i="84" s="1"/>
  <c r="R146" i="84"/>
  <c r="S146" i="84" s="1"/>
  <c r="R178" i="84"/>
  <c r="S178" i="84" s="1"/>
  <c r="R276" i="84"/>
  <c r="S276" i="84" s="1"/>
  <c r="R151" i="84"/>
  <c r="S151" i="84" s="1"/>
  <c r="R183" i="84"/>
  <c r="S183" i="84" s="1"/>
  <c r="R227" i="84"/>
  <c r="S227" i="84" s="1"/>
  <c r="R246" i="84"/>
  <c r="S246" i="84" s="1"/>
  <c r="R262" i="84"/>
  <c r="S262" i="84" s="1"/>
  <c r="R284" i="84"/>
  <c r="S284" i="84" s="1"/>
  <c r="R319" i="84"/>
  <c r="S319" i="84" s="1"/>
  <c r="R203" i="84"/>
  <c r="S203" i="84" s="1"/>
  <c r="R222" i="84"/>
  <c r="S222" i="84" s="1"/>
  <c r="R267" i="84"/>
  <c r="S267" i="84" s="1"/>
  <c r="R287" i="84"/>
  <c r="S287" i="84" s="1"/>
  <c r="R315" i="84"/>
  <c r="S315" i="84" s="1"/>
  <c r="R191" i="84"/>
  <c r="S191" i="84" s="1"/>
  <c r="R210" i="84"/>
  <c r="S210" i="84" s="1"/>
  <c r="R255" i="84"/>
  <c r="S255" i="84" s="1"/>
  <c r="R271" i="84"/>
  <c r="S271" i="84" s="1"/>
  <c r="R299" i="84"/>
  <c r="S299" i="84" s="1"/>
  <c r="R408" i="84"/>
  <c r="S408" i="84" s="1"/>
  <c r="R497" i="84"/>
  <c r="S497" i="84" s="1"/>
  <c r="R529" i="84"/>
  <c r="S529" i="84" s="1"/>
  <c r="R591" i="84"/>
  <c r="S591" i="84" s="1"/>
  <c r="R285" i="84"/>
  <c r="S285" i="84" s="1"/>
  <c r="R320" i="84"/>
  <c r="S320" i="84" s="1"/>
  <c r="R356" i="84"/>
  <c r="S356" i="84" s="1"/>
  <c r="R388" i="84"/>
  <c r="S388" i="84" s="1"/>
  <c r="R433" i="84"/>
  <c r="S433" i="84" s="1"/>
  <c r="R448" i="84"/>
  <c r="S448" i="84" s="1"/>
  <c r="R463" i="84"/>
  <c r="S463" i="84" s="1"/>
  <c r="R493" i="84"/>
  <c r="S493" i="84" s="1"/>
  <c r="R525" i="84"/>
  <c r="S525" i="84" s="1"/>
  <c r="R297" i="84"/>
  <c r="S297" i="84" s="1"/>
  <c r="R337" i="84"/>
  <c r="S337" i="84" s="1"/>
  <c r="R353" i="84"/>
  <c r="S353" i="84" s="1"/>
  <c r="R369" i="84"/>
  <c r="S369" i="84" s="1"/>
  <c r="R385" i="84"/>
  <c r="S385" i="84" s="1"/>
  <c r="R401" i="84"/>
  <c r="S401" i="84" s="1"/>
  <c r="R277" i="84"/>
  <c r="S277" i="84" s="1"/>
  <c r="R420" i="84"/>
  <c r="S420" i="84" s="1"/>
  <c r="R429" i="84"/>
  <c r="S429" i="84" s="1"/>
  <c r="R444" i="84"/>
  <c r="S444" i="84" s="1"/>
  <c r="R485" i="84"/>
  <c r="S485" i="84" s="1"/>
  <c r="R501" i="84"/>
  <c r="S501" i="84" s="1"/>
  <c r="R533" i="84"/>
  <c r="S533" i="84" s="1"/>
  <c r="R461" i="84"/>
  <c r="S461" i="84" s="1"/>
  <c r="R477" i="84"/>
  <c r="S477" i="84" s="1"/>
  <c r="R554" i="84"/>
  <c r="S554" i="84" s="1"/>
  <c r="R467" i="84"/>
  <c r="S467" i="84" s="1"/>
  <c r="R483" i="84"/>
  <c r="S483" i="84" s="1"/>
  <c r="R494" i="84"/>
  <c r="S494" i="84" s="1"/>
  <c r="R502" i="84"/>
  <c r="S502" i="84" s="1"/>
  <c r="R510" i="84"/>
  <c r="S510" i="84" s="1"/>
  <c r="R518" i="84"/>
  <c r="S518" i="84" s="1"/>
  <c r="R526" i="84"/>
  <c r="S526" i="84" s="1"/>
  <c r="R534" i="84"/>
  <c r="S534" i="84" s="1"/>
  <c r="R542" i="84"/>
  <c r="S542" i="84" s="1"/>
  <c r="R550" i="84"/>
  <c r="S550" i="84" s="1"/>
  <c r="R495" i="84"/>
  <c r="S495" i="84" s="1"/>
  <c r="R511" i="84"/>
  <c r="S511" i="84" s="1"/>
  <c r="R527" i="84"/>
  <c r="S527" i="84" s="1"/>
  <c r="R543" i="84"/>
  <c r="S543" i="84" s="1"/>
  <c r="R563" i="84"/>
  <c r="S563" i="84" s="1"/>
  <c r="R579" i="84"/>
  <c r="S579" i="84" s="1"/>
  <c r="R597" i="84"/>
  <c r="S597" i="84" s="1"/>
  <c r="R611" i="84"/>
  <c r="S611" i="84" s="1"/>
  <c r="R629" i="84"/>
  <c r="S629" i="84" s="1"/>
  <c r="R643" i="84"/>
  <c r="S643" i="84" s="1"/>
  <c r="R661" i="84"/>
  <c r="S661" i="84" s="1"/>
  <c r="R569" i="84"/>
  <c r="S569" i="84" s="1"/>
  <c r="R671" i="84"/>
  <c r="S671" i="84" s="1"/>
  <c r="R575" i="84"/>
  <c r="S575" i="84" s="1"/>
  <c r="R593" i="84"/>
  <c r="S593" i="84" s="1"/>
  <c r="R607" i="84"/>
  <c r="S607" i="84" s="1"/>
  <c r="R625" i="84"/>
  <c r="S625" i="84" s="1"/>
  <c r="R639" i="84"/>
  <c r="S639" i="84" s="1"/>
  <c r="R657" i="84"/>
  <c r="S657" i="84" s="1"/>
  <c r="R670" i="84"/>
  <c r="S670" i="84" s="1"/>
  <c r="R700" i="84"/>
  <c r="S700" i="84" s="1"/>
  <c r="R716" i="84"/>
  <c r="S716" i="84" s="1"/>
  <c r="R732" i="84"/>
  <c r="S732" i="84" s="1"/>
  <c r="R706" i="84"/>
  <c r="S706" i="84" s="1"/>
  <c r="R722" i="84"/>
  <c r="S722" i="84" s="1"/>
  <c r="R738" i="84"/>
  <c r="S738" i="84" s="1"/>
  <c r="R746" i="84"/>
  <c r="S746" i="84" s="1"/>
  <c r="R754" i="84"/>
  <c r="S754" i="84" s="1"/>
  <c r="R767" i="84"/>
  <c r="S767" i="84" s="1"/>
  <c r="R768" i="84"/>
  <c r="S768" i="84" s="1"/>
  <c r="R775" i="84"/>
  <c r="S775" i="84" s="1"/>
  <c r="R764" i="84"/>
  <c r="S764" i="84" s="1"/>
  <c r="R776" i="84"/>
  <c r="S776" i="84" s="1"/>
  <c r="R784" i="84"/>
  <c r="S784" i="84" s="1"/>
  <c r="R792" i="84"/>
  <c r="S792" i="84" s="1"/>
  <c r="R799" i="84"/>
  <c r="S799" i="84" s="1"/>
  <c r="R804" i="84"/>
  <c r="S804" i="84" s="1"/>
  <c r="R809" i="84"/>
  <c r="S809" i="84" s="1"/>
  <c r="R815" i="84"/>
  <c r="S815" i="84" s="1"/>
  <c r="R820" i="84"/>
  <c r="S820" i="84" s="1"/>
  <c r="R825" i="84"/>
  <c r="S825" i="84" s="1"/>
  <c r="R831" i="84"/>
  <c r="S831" i="84" s="1"/>
  <c r="R841" i="84"/>
  <c r="S841" i="84" s="1"/>
  <c r="R838" i="84"/>
  <c r="S838" i="84" s="1"/>
  <c r="R859" i="84"/>
  <c r="S859" i="84" s="1"/>
  <c r="R834" i="84"/>
  <c r="S834" i="84" s="1"/>
  <c r="R851" i="84"/>
  <c r="S851" i="84" s="1"/>
  <c r="R867" i="84"/>
  <c r="S867" i="84" s="1"/>
  <c r="R875" i="84"/>
  <c r="S875" i="84" s="1"/>
  <c r="R883" i="84"/>
  <c r="S883" i="84" s="1"/>
  <c r="R894" i="84"/>
  <c r="S894" i="84" s="1"/>
  <c r="R898" i="84"/>
  <c r="S898" i="84" s="1"/>
  <c r="R903" i="84"/>
  <c r="S903" i="84" s="1"/>
  <c r="R911" i="84"/>
  <c r="S911" i="84" s="1"/>
  <c r="R899" i="84"/>
  <c r="S899" i="84" s="1"/>
  <c r="R919" i="84"/>
  <c r="S919" i="84" s="1"/>
  <c r="R927" i="84"/>
  <c r="S927" i="84" s="1"/>
  <c r="R951" i="84"/>
  <c r="S951" i="84" s="1"/>
  <c r="R933" i="84"/>
  <c r="S933" i="84" s="1"/>
  <c r="R969" i="84"/>
  <c r="S969" i="84" s="1"/>
  <c r="R987" i="84"/>
  <c r="S987" i="84" s="1"/>
  <c r="R932" i="84"/>
  <c r="S932" i="84" s="1"/>
  <c r="R959" i="84"/>
  <c r="S959" i="84" s="1"/>
  <c r="R939" i="84"/>
  <c r="S939" i="84" s="1"/>
  <c r="R961" i="84"/>
  <c r="S961" i="84" s="1"/>
  <c r="R979" i="84"/>
  <c r="S979" i="84" s="1"/>
  <c r="R44" i="84"/>
  <c r="S44" i="84" s="1"/>
  <c r="R57" i="84"/>
  <c r="S57" i="84" s="1"/>
  <c r="R65" i="84"/>
  <c r="S65" i="84" s="1"/>
  <c r="R76" i="84"/>
  <c r="S76" i="84" s="1"/>
  <c r="R84" i="84"/>
  <c r="S84" i="84" s="1"/>
  <c r="R90" i="84"/>
  <c r="S90" i="84" s="1"/>
  <c r="R99" i="84"/>
  <c r="S99" i="84" s="1"/>
  <c r="R27" i="84"/>
  <c r="S27" i="84" s="1"/>
  <c r="R37" i="84"/>
  <c r="S37" i="84" s="1"/>
  <c r="R53" i="84"/>
  <c r="S53" i="84" s="1"/>
  <c r="R231" i="84"/>
  <c r="S231" i="84" s="1"/>
  <c r="R324" i="84"/>
  <c r="S324" i="84" s="1"/>
  <c r="R186" i="84"/>
  <c r="S186" i="84" s="1"/>
  <c r="R247" i="84"/>
  <c r="S247" i="84" s="1"/>
  <c r="R273" i="84"/>
  <c r="S273" i="84" s="1"/>
  <c r="R32" i="84"/>
  <c r="S32" i="84" s="1"/>
  <c r="R263" i="84"/>
  <c r="S263" i="84" s="1"/>
  <c r="R93" i="84"/>
  <c r="S93" i="84" s="1"/>
  <c r="R105" i="84"/>
  <c r="S105" i="84" s="1"/>
  <c r="R111" i="84"/>
  <c r="S111" i="84" s="1"/>
  <c r="R143" i="84"/>
  <c r="S143" i="84" s="1"/>
  <c r="R175" i="84"/>
  <c r="S175" i="84" s="1"/>
  <c r="R211" i="84"/>
  <c r="S211" i="84" s="1"/>
  <c r="R230" i="84"/>
  <c r="S230" i="84" s="1"/>
  <c r="R289" i="84"/>
  <c r="S289" i="84" s="1"/>
  <c r="R421" i="84"/>
  <c r="S421" i="84" s="1"/>
  <c r="R303" i="84"/>
  <c r="S303" i="84" s="1"/>
  <c r="R119" i="84"/>
  <c r="S119" i="84" s="1"/>
  <c r="R139" i="84"/>
  <c r="S139" i="84" s="1"/>
  <c r="R155" i="84"/>
  <c r="S155" i="84" s="1"/>
  <c r="R171" i="84"/>
  <c r="S171" i="84" s="1"/>
  <c r="R187" i="84"/>
  <c r="S187" i="84" s="1"/>
  <c r="R206" i="84"/>
  <c r="S206" i="84" s="1"/>
  <c r="R251" i="84"/>
  <c r="S251" i="84" s="1"/>
  <c r="R268" i="84"/>
  <c r="S268" i="84" s="1"/>
  <c r="R316" i="84"/>
  <c r="S316" i="84" s="1"/>
  <c r="R344" i="84"/>
  <c r="S344" i="84" s="1"/>
  <c r="R376" i="84"/>
  <c r="S376" i="84" s="1"/>
  <c r="R194" i="84"/>
  <c r="S194" i="84" s="1"/>
  <c r="R239" i="84"/>
  <c r="S239" i="84" s="1"/>
  <c r="R256" i="84"/>
  <c r="S256" i="84" s="1"/>
  <c r="R300" i="84"/>
  <c r="S300" i="84" s="1"/>
  <c r="R304" i="84"/>
  <c r="S304" i="84" s="1"/>
  <c r="R332" i="84"/>
  <c r="S332" i="84" s="1"/>
  <c r="R364" i="84"/>
  <c r="S364" i="84" s="1"/>
  <c r="R396" i="84"/>
  <c r="S396" i="84" s="1"/>
  <c r="R425" i="84"/>
  <c r="S425" i="84" s="1"/>
  <c r="R440" i="84"/>
  <c r="S440" i="84" s="1"/>
  <c r="R457" i="84"/>
  <c r="S457" i="84" s="1"/>
  <c r="R479" i="84"/>
  <c r="S479" i="84" s="1"/>
  <c r="R281" i="84"/>
  <c r="S281" i="84" s="1"/>
  <c r="R465" i="84"/>
  <c r="S465" i="84" s="1"/>
  <c r="R521" i="84"/>
  <c r="S521" i="84" s="1"/>
  <c r="R309" i="84"/>
  <c r="S309" i="84" s="1"/>
  <c r="R404" i="84"/>
  <c r="S404" i="84" s="1"/>
  <c r="R436" i="84"/>
  <c r="S436" i="84" s="1"/>
  <c r="R453" i="84"/>
  <c r="S453" i="84" s="1"/>
  <c r="R471" i="84"/>
  <c r="S471" i="84" s="1"/>
  <c r="R486" i="84"/>
  <c r="S486" i="84" s="1"/>
  <c r="R462" i="84"/>
  <c r="S462" i="84" s="1"/>
  <c r="R478" i="84"/>
  <c r="S478" i="84" s="1"/>
  <c r="R555" i="84"/>
  <c r="S555" i="84" s="1"/>
  <c r="R499" i="84"/>
  <c r="S499" i="84" s="1"/>
  <c r="R515" i="84"/>
  <c r="S515" i="84" s="1"/>
  <c r="R531" i="84"/>
  <c r="S531" i="84" s="1"/>
  <c r="R547" i="84"/>
  <c r="S547" i="84" s="1"/>
  <c r="R558" i="84"/>
  <c r="S558" i="84" s="1"/>
  <c r="R603" i="84"/>
  <c r="S603" i="84" s="1"/>
  <c r="R621" i="84"/>
  <c r="S621" i="84" s="1"/>
  <c r="R635" i="84"/>
  <c r="S635" i="84" s="1"/>
  <c r="R653" i="84"/>
  <c r="S653" i="84" s="1"/>
  <c r="R667" i="84"/>
  <c r="S667" i="84" s="1"/>
  <c r="R559" i="84"/>
  <c r="S559" i="84" s="1"/>
  <c r="R570" i="84"/>
  <c r="S570" i="84" s="1"/>
  <c r="R599" i="84"/>
  <c r="S599" i="84" s="1"/>
  <c r="R617" i="84"/>
  <c r="S617" i="84" s="1"/>
  <c r="R631" i="84"/>
  <c r="S631" i="84" s="1"/>
  <c r="R649" i="84"/>
  <c r="S649" i="84" s="1"/>
  <c r="R663" i="84"/>
  <c r="S663" i="84" s="1"/>
  <c r="R674" i="84"/>
  <c r="S674" i="84" s="1"/>
  <c r="R678" i="84"/>
  <c r="S678" i="84" s="1"/>
  <c r="R682" i="84"/>
  <c r="S682" i="84" s="1"/>
  <c r="R686" i="84"/>
  <c r="S686" i="84" s="1"/>
  <c r="R690" i="84"/>
  <c r="S690" i="84" s="1"/>
  <c r="R694" i="84"/>
  <c r="S694" i="84" s="1"/>
  <c r="R698" i="84"/>
  <c r="S698" i="84" s="1"/>
  <c r="R704" i="84"/>
  <c r="S704" i="84" s="1"/>
  <c r="R720" i="84"/>
  <c r="S720" i="84" s="1"/>
  <c r="R736" i="84"/>
  <c r="S736" i="84" s="1"/>
  <c r="R710" i="84"/>
  <c r="S710" i="84" s="1"/>
  <c r="R726" i="84"/>
  <c r="S726" i="84" s="1"/>
  <c r="R740" i="84"/>
  <c r="S740" i="84" s="1"/>
  <c r="R748" i="84"/>
  <c r="S748" i="84" s="1"/>
  <c r="R755" i="84"/>
  <c r="S755" i="84" s="1"/>
  <c r="R771" i="84"/>
  <c r="S771" i="84" s="1"/>
  <c r="R779" i="84"/>
  <c r="S779" i="84" s="1"/>
  <c r="R773" i="84"/>
  <c r="S773" i="84" s="1"/>
  <c r="R787" i="84"/>
  <c r="S787" i="84" s="1"/>
  <c r="R795" i="84"/>
  <c r="S795" i="84" s="1"/>
  <c r="R800" i="84"/>
  <c r="S800" i="84" s="1"/>
  <c r="R805" i="84"/>
  <c r="S805" i="84" s="1"/>
  <c r="R811" i="84"/>
  <c r="S811" i="84" s="1"/>
  <c r="R816" i="84"/>
  <c r="S816" i="84" s="1"/>
  <c r="R821" i="84"/>
  <c r="S821" i="84" s="1"/>
  <c r="R827" i="84"/>
  <c r="S827" i="84" s="1"/>
  <c r="R832" i="84"/>
  <c r="S832" i="84" s="1"/>
  <c r="R845" i="84"/>
  <c r="S845" i="84" s="1"/>
  <c r="R843" i="84"/>
  <c r="S843" i="84" s="1"/>
  <c r="R862" i="84"/>
  <c r="S862" i="84" s="1"/>
  <c r="R839" i="84"/>
  <c r="S839" i="84" s="1"/>
  <c r="R863" i="84"/>
  <c r="S863" i="84" s="1"/>
  <c r="R854" i="84"/>
  <c r="S854" i="84" s="1"/>
  <c r="R870" i="84"/>
  <c r="S870" i="84" s="1"/>
  <c r="R878" i="84"/>
  <c r="S878" i="84" s="1"/>
  <c r="R886" i="84"/>
  <c r="S886" i="84" s="1"/>
  <c r="R916" i="84"/>
  <c r="S916" i="84" s="1"/>
  <c r="R920" i="84"/>
  <c r="S920" i="84" s="1"/>
  <c r="R928" i="84"/>
  <c r="S928" i="84" s="1"/>
  <c r="R937" i="84"/>
  <c r="S937" i="84" s="1"/>
  <c r="R981" i="84"/>
  <c r="S981" i="84" s="1"/>
  <c r="R953" i="84"/>
  <c r="S953" i="84" s="1"/>
  <c r="R971" i="84"/>
  <c r="S971" i="84" s="1"/>
  <c r="R929" i="84"/>
  <c r="S929" i="84" s="1"/>
  <c r="R943" i="84"/>
  <c r="S943" i="84" s="1"/>
  <c r="R989" i="84"/>
  <c r="S989" i="84" s="1"/>
  <c r="R945" i="84"/>
  <c r="S945" i="84" s="1"/>
  <c r="R963" i="84"/>
  <c r="S963" i="84" s="1"/>
  <c r="R977" i="84"/>
  <c r="S977" i="84" s="1"/>
  <c r="R49" i="84"/>
  <c r="S49" i="84" s="1"/>
  <c r="R60" i="84"/>
  <c r="S60" i="84" s="1"/>
  <c r="R69" i="84"/>
  <c r="S69" i="84" s="1"/>
  <c r="R77" i="84"/>
  <c r="S77" i="84" s="1"/>
  <c r="R85" i="84"/>
  <c r="S85" i="84" s="1"/>
  <c r="R92" i="84"/>
  <c r="S92" i="84" s="1"/>
  <c r="R134" i="84"/>
  <c r="S134" i="84" s="1"/>
  <c r="R28" i="84"/>
  <c r="S28" i="84" s="1"/>
  <c r="R41" i="84"/>
  <c r="S41" i="84" s="1"/>
  <c r="R68" i="84"/>
  <c r="S68" i="84" s="1"/>
  <c r="R170" i="84"/>
  <c r="S170" i="84" s="1"/>
  <c r="R234" i="84"/>
  <c r="S234" i="84" s="1"/>
  <c r="R270" i="84"/>
  <c r="S270" i="84" s="1"/>
  <c r="R122" i="84"/>
  <c r="S122" i="84" s="1"/>
  <c r="R250" i="84"/>
  <c r="S250" i="84" s="1"/>
  <c r="R97" i="84"/>
  <c r="S97" i="84" s="1"/>
  <c r="R100" i="84"/>
  <c r="S100" i="84" s="1"/>
  <c r="R199" i="84"/>
  <c r="S199" i="84" s="1"/>
  <c r="R264" i="84"/>
  <c r="S264" i="84" s="1"/>
  <c r="R115" i="84"/>
  <c r="S115" i="84" s="1"/>
  <c r="R142" i="84"/>
  <c r="S142" i="84" s="1"/>
  <c r="R174" i="84"/>
  <c r="S174" i="84" s="1"/>
  <c r="R215" i="84"/>
  <c r="S215" i="84" s="1"/>
  <c r="R135" i="84"/>
  <c r="S135" i="84" s="1"/>
  <c r="R167" i="84"/>
  <c r="S167" i="84" s="1"/>
  <c r="R195" i="84"/>
  <c r="S195" i="84" s="1"/>
  <c r="R214" i="84"/>
  <c r="S214" i="84" s="1"/>
  <c r="R259" i="84"/>
  <c r="S259" i="84" s="1"/>
  <c r="R328" i="84"/>
  <c r="S328" i="84" s="1"/>
  <c r="R360" i="84"/>
  <c r="S360" i="84" s="1"/>
  <c r="R392" i="84"/>
  <c r="S392" i="84" s="1"/>
  <c r="R424" i="84"/>
  <c r="S424" i="84" s="1"/>
  <c r="R352" i="84"/>
  <c r="S352" i="84" s="1"/>
  <c r="R384" i="84"/>
  <c r="S384" i="84" s="1"/>
  <c r="R190" i="84"/>
  <c r="S190" i="84" s="1"/>
  <c r="R235" i="84"/>
  <c r="S235" i="84" s="1"/>
  <c r="R254" i="84"/>
  <c r="S254" i="84" s="1"/>
  <c r="R296" i="84"/>
  <c r="S296" i="84" s="1"/>
  <c r="R321" i="84"/>
  <c r="S321" i="84" s="1"/>
  <c r="R349" i="84"/>
  <c r="S349" i="84" s="1"/>
  <c r="R381" i="84"/>
  <c r="S381" i="84" s="1"/>
  <c r="R223" i="84"/>
  <c r="S223" i="84" s="1"/>
  <c r="R242" i="84"/>
  <c r="S242" i="84" s="1"/>
  <c r="R258" i="84"/>
  <c r="S258" i="84" s="1"/>
  <c r="R280" i="84"/>
  <c r="S280" i="84" s="1"/>
  <c r="R305" i="84"/>
  <c r="S305" i="84" s="1"/>
  <c r="R336" i="84"/>
  <c r="S336" i="84" s="1"/>
  <c r="R368" i="84"/>
  <c r="S368" i="84" s="1"/>
  <c r="R400" i="84"/>
  <c r="S400" i="84" s="1"/>
  <c r="R473" i="84"/>
  <c r="S473" i="84" s="1"/>
  <c r="R513" i="84"/>
  <c r="S513" i="84" s="1"/>
  <c r="R545" i="84"/>
  <c r="S545" i="84" s="1"/>
  <c r="R669" i="84"/>
  <c r="S669" i="84" s="1"/>
  <c r="R288" i="84"/>
  <c r="S288" i="84" s="1"/>
  <c r="R317" i="84"/>
  <c r="S317" i="84" s="1"/>
  <c r="R340" i="84"/>
  <c r="S340" i="84" s="1"/>
  <c r="R372" i="84"/>
  <c r="S372" i="84" s="1"/>
  <c r="R409" i="84"/>
  <c r="S409" i="84" s="1"/>
  <c r="R432" i="84"/>
  <c r="S432" i="84" s="1"/>
  <c r="R449" i="84"/>
  <c r="S449" i="84" s="1"/>
  <c r="R474" i="84"/>
  <c r="S474" i="84" s="1"/>
  <c r="R509" i="84"/>
  <c r="S509" i="84" s="1"/>
  <c r="R541" i="84"/>
  <c r="S541" i="84" s="1"/>
  <c r="R329" i="84"/>
  <c r="S329" i="84" s="1"/>
  <c r="R345" i="84"/>
  <c r="S345" i="84" s="1"/>
  <c r="R361" i="84"/>
  <c r="S361" i="84" s="1"/>
  <c r="R377" i="84"/>
  <c r="S377" i="84" s="1"/>
  <c r="R393" i="84"/>
  <c r="S393" i="84" s="1"/>
  <c r="R413" i="84"/>
  <c r="S413" i="84" s="1"/>
  <c r="R481" i="84"/>
  <c r="S481" i="84" s="1"/>
  <c r="R428" i="84"/>
  <c r="S428" i="84" s="1"/>
  <c r="R445" i="84"/>
  <c r="S445" i="84" s="1"/>
  <c r="R466" i="84"/>
  <c r="S466" i="84" s="1"/>
  <c r="R487" i="84"/>
  <c r="S487" i="84" s="1"/>
  <c r="R517" i="84"/>
  <c r="S517" i="84" s="1"/>
  <c r="R549" i="84"/>
  <c r="S549" i="84" s="1"/>
  <c r="R469" i="84"/>
  <c r="S469" i="84" s="1"/>
  <c r="R553" i="84"/>
  <c r="S553" i="84" s="1"/>
  <c r="R589" i="84"/>
  <c r="S589" i="84" s="1"/>
  <c r="R459" i="84"/>
  <c r="S459" i="84" s="1"/>
  <c r="R475" i="84"/>
  <c r="S475" i="84" s="1"/>
  <c r="R491" i="84"/>
  <c r="S491" i="84" s="1"/>
  <c r="R498" i="84"/>
  <c r="S498" i="84" s="1"/>
  <c r="R506" i="84"/>
  <c r="S506" i="84" s="1"/>
  <c r="R514" i="84"/>
  <c r="S514" i="84" s="1"/>
  <c r="R522" i="84"/>
  <c r="S522" i="84" s="1"/>
  <c r="R530" i="84"/>
  <c r="S530" i="84" s="1"/>
  <c r="R538" i="84"/>
  <c r="S538" i="84" s="1"/>
  <c r="R546" i="84"/>
  <c r="S546" i="84" s="1"/>
  <c r="R587" i="84"/>
  <c r="S587" i="84" s="1"/>
  <c r="R503" i="84"/>
  <c r="S503" i="84" s="1"/>
  <c r="R519" i="84"/>
  <c r="S519" i="84" s="1"/>
  <c r="R535" i="84"/>
  <c r="S535" i="84" s="1"/>
  <c r="R551" i="84"/>
  <c r="S551" i="84" s="1"/>
  <c r="R585" i="84"/>
  <c r="S585" i="84" s="1"/>
  <c r="R571" i="84"/>
  <c r="S571" i="84" s="1"/>
  <c r="R595" i="84"/>
  <c r="S595" i="84" s="1"/>
  <c r="R613" i="84"/>
  <c r="S613" i="84" s="1"/>
  <c r="R627" i="84"/>
  <c r="S627" i="84" s="1"/>
  <c r="R645" i="84"/>
  <c r="S645" i="84" s="1"/>
  <c r="R659" i="84"/>
  <c r="S659" i="84" s="1"/>
  <c r="R561" i="84"/>
  <c r="S561" i="84" s="1"/>
  <c r="R577" i="84"/>
  <c r="S577" i="84" s="1"/>
  <c r="R567" i="84"/>
  <c r="S567" i="84" s="1"/>
  <c r="R583" i="84"/>
  <c r="S583" i="84" s="1"/>
  <c r="R609" i="84"/>
  <c r="S609" i="84" s="1"/>
  <c r="R623" i="84"/>
  <c r="S623" i="84" s="1"/>
  <c r="R641" i="84"/>
  <c r="S641" i="84" s="1"/>
  <c r="R655" i="84"/>
  <c r="S655" i="84" s="1"/>
  <c r="R672" i="84"/>
  <c r="S672" i="84" s="1"/>
  <c r="R708" i="84"/>
  <c r="S708" i="84" s="1"/>
  <c r="R724" i="84"/>
  <c r="S724" i="84" s="1"/>
  <c r="R714" i="84"/>
  <c r="S714" i="84" s="1"/>
  <c r="R730" i="84"/>
  <c r="S730" i="84" s="1"/>
  <c r="R742" i="84"/>
  <c r="S742" i="84" s="1"/>
  <c r="R750" i="84"/>
  <c r="S750" i="84" s="1"/>
  <c r="R759" i="84"/>
  <c r="S759" i="84" s="1"/>
  <c r="R760" i="84"/>
  <c r="S760" i="84" s="1"/>
  <c r="R756" i="84"/>
  <c r="S756" i="84" s="1"/>
  <c r="R772" i="84"/>
  <c r="S772" i="84" s="1"/>
  <c r="R780" i="84"/>
  <c r="S780" i="84" s="1"/>
  <c r="R788" i="84"/>
  <c r="S788" i="84" s="1"/>
  <c r="R796" i="84"/>
  <c r="S796" i="84" s="1"/>
  <c r="R801" i="84"/>
  <c r="S801" i="84" s="1"/>
  <c r="R807" i="84"/>
  <c r="S807" i="84" s="1"/>
  <c r="R812" i="84"/>
  <c r="S812" i="84" s="1"/>
  <c r="R817" i="84"/>
  <c r="S817" i="84" s="1"/>
  <c r="R823" i="84"/>
  <c r="S823" i="84" s="1"/>
  <c r="R828" i="84"/>
  <c r="S828" i="84" s="1"/>
  <c r="R833" i="84"/>
  <c r="S833" i="84" s="1"/>
  <c r="R855" i="84"/>
  <c r="S855" i="84" s="1"/>
  <c r="R846" i="84"/>
  <c r="S846" i="84" s="1"/>
  <c r="R847" i="84"/>
  <c r="S847" i="84" s="1"/>
  <c r="R842" i="84"/>
  <c r="S842" i="84" s="1"/>
  <c r="R871" i="84"/>
  <c r="S871" i="84" s="1"/>
  <c r="R879" i="84"/>
  <c r="S879" i="84" s="1"/>
  <c r="R887" i="84"/>
  <c r="S887" i="84" s="1"/>
  <c r="R902" i="84"/>
  <c r="S902" i="84" s="1"/>
  <c r="R907" i="84"/>
  <c r="S907" i="84" s="1"/>
  <c r="R895" i="84"/>
  <c r="S895" i="84" s="1"/>
  <c r="R891" i="84"/>
  <c r="S891" i="84" s="1"/>
  <c r="R915" i="84"/>
  <c r="S915" i="84" s="1"/>
  <c r="R923" i="84"/>
  <c r="S923" i="84" s="1"/>
  <c r="R931" i="84"/>
  <c r="S931" i="84" s="1"/>
  <c r="R965" i="84"/>
  <c r="S965" i="84" s="1"/>
  <c r="R983" i="84"/>
  <c r="S983" i="84" s="1"/>
  <c r="R936" i="84"/>
  <c r="S936" i="84" s="1"/>
  <c r="R955" i="84"/>
  <c r="S955" i="84" s="1"/>
  <c r="R973" i="84"/>
  <c r="S973" i="84" s="1"/>
  <c r="R991" i="84"/>
  <c r="S991" i="84" s="1"/>
  <c r="R947" i="84"/>
  <c r="S947" i="84" s="1"/>
  <c r="R992" i="84"/>
  <c r="S992" i="84" s="1"/>
  <c r="R924" i="84"/>
  <c r="S924" i="84" s="1"/>
  <c r="R941" i="84"/>
  <c r="S941" i="84" s="1"/>
  <c r="R993" i="84"/>
  <c r="S993" i="84" s="1"/>
  <c r="R547" i="31"/>
  <c r="S547" i="31" s="1"/>
  <c r="R539" i="31"/>
  <c r="S539" i="31" s="1"/>
  <c r="R525" i="31"/>
  <c r="S525" i="31" s="1"/>
  <c r="R533" i="31"/>
  <c r="S533" i="31" s="1"/>
  <c r="R541" i="31"/>
  <c r="S541" i="31" s="1"/>
  <c r="R549" i="31"/>
  <c r="S549" i="31" s="1"/>
  <c r="R557" i="31"/>
  <c r="S557" i="31" s="1"/>
  <c r="R565" i="31"/>
  <c r="S565" i="31" s="1"/>
  <c r="R573" i="31"/>
  <c r="S573" i="31" s="1"/>
  <c r="R581" i="31"/>
  <c r="S581" i="31" s="1"/>
  <c r="R589" i="31"/>
  <c r="S589" i="31" s="1"/>
  <c r="R597" i="31"/>
  <c r="S597" i="31" s="1"/>
  <c r="R605" i="31"/>
  <c r="S605" i="31" s="1"/>
  <c r="R613" i="31"/>
  <c r="S613" i="31" s="1"/>
  <c r="R621" i="31"/>
  <c r="S621" i="31" s="1"/>
  <c r="R629" i="31"/>
  <c r="S629" i="31" s="1"/>
  <c r="R637" i="31"/>
  <c r="S637" i="31" s="1"/>
  <c r="R645" i="31"/>
  <c r="S645" i="31" s="1"/>
  <c r="R653" i="31"/>
  <c r="S653" i="31" s="1"/>
  <c r="R661" i="31"/>
  <c r="S661" i="31" s="1"/>
  <c r="R669" i="31"/>
  <c r="S669" i="31" s="1"/>
  <c r="R677" i="31"/>
  <c r="S677" i="31" s="1"/>
  <c r="R685" i="31"/>
  <c r="S685" i="31" s="1"/>
  <c r="R693" i="31"/>
  <c r="S693" i="31" s="1"/>
  <c r="R532" i="31"/>
  <c r="S532" i="31" s="1"/>
  <c r="R540" i="31"/>
  <c r="S540" i="31" s="1"/>
  <c r="R548" i="31"/>
  <c r="S548" i="31" s="1"/>
  <c r="R556" i="31"/>
  <c r="S556" i="31" s="1"/>
  <c r="R564" i="31"/>
  <c r="S564" i="31" s="1"/>
  <c r="R572" i="31"/>
  <c r="S572" i="31" s="1"/>
  <c r="R580" i="31"/>
  <c r="S580" i="31" s="1"/>
  <c r="R588" i="31"/>
  <c r="S588" i="31" s="1"/>
  <c r="R596" i="31"/>
  <c r="S596" i="31" s="1"/>
  <c r="R604" i="31"/>
  <c r="S604" i="31" s="1"/>
  <c r="R612" i="31"/>
  <c r="S612" i="31" s="1"/>
  <c r="R620" i="31"/>
  <c r="S620" i="31" s="1"/>
  <c r="R628" i="31"/>
  <c r="S628" i="31" s="1"/>
  <c r="R636" i="31"/>
  <c r="S636" i="31" s="1"/>
  <c r="R644" i="31"/>
  <c r="S644" i="31" s="1"/>
  <c r="R652" i="31"/>
  <c r="S652" i="31" s="1"/>
  <c r="R660" i="31"/>
  <c r="S660" i="31" s="1"/>
  <c r="R668" i="31"/>
  <c r="S668" i="31" s="1"/>
  <c r="R676" i="31"/>
  <c r="S676" i="31" s="1"/>
  <c r="R684" i="31"/>
  <c r="S684" i="31" s="1"/>
  <c r="R692" i="31"/>
  <c r="S692" i="31" s="1"/>
  <c r="R700" i="31"/>
  <c r="S700" i="31" s="1"/>
  <c r="R708" i="31"/>
  <c r="S708" i="31" s="1"/>
  <c r="R716" i="31"/>
  <c r="S716" i="31" s="1"/>
  <c r="R724" i="31"/>
  <c r="S724" i="31" s="1"/>
  <c r="R732" i="31"/>
  <c r="S732" i="31" s="1"/>
  <c r="R740" i="31"/>
  <c r="S740" i="31" s="1"/>
  <c r="R748" i="31"/>
  <c r="S748" i="31" s="1"/>
  <c r="R756" i="31"/>
  <c r="S756" i="31" s="1"/>
  <c r="R764" i="31"/>
  <c r="S764" i="31" s="1"/>
  <c r="R772" i="31"/>
  <c r="S772" i="31" s="1"/>
  <c r="R780" i="31"/>
  <c r="S780" i="31" s="1"/>
  <c r="R788" i="31"/>
  <c r="S788" i="31" s="1"/>
  <c r="R796" i="31"/>
  <c r="S796" i="31" s="1"/>
  <c r="R804" i="31"/>
  <c r="S804" i="31" s="1"/>
  <c r="R812" i="31"/>
  <c r="S812" i="31" s="1"/>
  <c r="R820" i="31"/>
  <c r="S820" i="31" s="1"/>
  <c r="R828" i="31"/>
  <c r="S828" i="31" s="1"/>
  <c r="R836" i="31"/>
  <c r="S836" i="31" s="1"/>
  <c r="R844" i="31"/>
  <c r="S844" i="31" s="1"/>
  <c r="R852" i="31"/>
  <c r="S852" i="31" s="1"/>
  <c r="R860" i="31"/>
  <c r="S860" i="31" s="1"/>
  <c r="R868" i="31"/>
  <c r="S868" i="31" s="1"/>
  <c r="R697" i="31"/>
  <c r="S697" i="31" s="1"/>
  <c r="R705" i="31"/>
  <c r="S705" i="31" s="1"/>
  <c r="R713" i="31"/>
  <c r="S713" i="31" s="1"/>
  <c r="R721" i="31"/>
  <c r="S721" i="31" s="1"/>
  <c r="R729" i="31"/>
  <c r="S729" i="31" s="1"/>
  <c r="R737" i="31"/>
  <c r="S737" i="31" s="1"/>
  <c r="R745" i="31"/>
  <c r="S745" i="31" s="1"/>
  <c r="R753" i="31"/>
  <c r="S753" i="31" s="1"/>
  <c r="R761" i="31"/>
  <c r="S761" i="31" s="1"/>
  <c r="R769" i="31"/>
  <c r="S769" i="31" s="1"/>
  <c r="R777" i="31"/>
  <c r="S777" i="31" s="1"/>
  <c r="R785" i="31"/>
  <c r="S785" i="31" s="1"/>
  <c r="R793" i="31"/>
  <c r="S793" i="31" s="1"/>
  <c r="R801" i="31"/>
  <c r="S801" i="31" s="1"/>
  <c r="R827" i="31"/>
  <c r="S827" i="31" s="1"/>
  <c r="R859" i="31"/>
  <c r="S859" i="31" s="1"/>
  <c r="R825" i="31"/>
  <c r="S825" i="31" s="1"/>
  <c r="R857" i="31"/>
  <c r="S857" i="31" s="1"/>
  <c r="R877" i="31"/>
  <c r="S877" i="31" s="1"/>
  <c r="R885" i="31"/>
  <c r="S885" i="31" s="1"/>
  <c r="R527" i="31"/>
  <c r="S527" i="31" s="1"/>
  <c r="R535" i="31"/>
  <c r="S535" i="31" s="1"/>
  <c r="R543" i="31"/>
  <c r="S543" i="31" s="1"/>
  <c r="R551" i="31"/>
  <c r="S551" i="31" s="1"/>
  <c r="R559" i="31"/>
  <c r="S559" i="31" s="1"/>
  <c r="R567" i="31"/>
  <c r="S567" i="31" s="1"/>
  <c r="R575" i="31"/>
  <c r="S575" i="31" s="1"/>
  <c r="R583" i="31"/>
  <c r="S583" i="31" s="1"/>
  <c r="R591" i="31"/>
  <c r="S591" i="31" s="1"/>
  <c r="R599" i="31"/>
  <c r="S599" i="31" s="1"/>
  <c r="R607" i="31"/>
  <c r="S607" i="31" s="1"/>
  <c r="R615" i="31"/>
  <c r="S615" i="31" s="1"/>
  <c r="R623" i="31"/>
  <c r="S623" i="31" s="1"/>
  <c r="R631" i="31"/>
  <c r="S631" i="31" s="1"/>
  <c r="R639" i="31"/>
  <c r="S639" i="31" s="1"/>
  <c r="R647" i="31"/>
  <c r="S647" i="31" s="1"/>
  <c r="R655" i="31"/>
  <c r="S655" i="31" s="1"/>
  <c r="R663" i="31"/>
  <c r="S663" i="31" s="1"/>
  <c r="R671" i="31"/>
  <c r="S671" i="31" s="1"/>
  <c r="R679" i="31"/>
  <c r="S679" i="31" s="1"/>
  <c r="R687" i="31"/>
  <c r="S687" i="31" s="1"/>
  <c r="R526" i="31"/>
  <c r="S526" i="31" s="1"/>
  <c r="R534" i="31"/>
  <c r="S534" i="31" s="1"/>
  <c r="R542" i="31"/>
  <c r="S542" i="31" s="1"/>
  <c r="R550" i="31"/>
  <c r="S550" i="31" s="1"/>
  <c r="R558" i="31"/>
  <c r="S558" i="31" s="1"/>
  <c r="R566" i="31"/>
  <c r="S566" i="31" s="1"/>
  <c r="R574" i="31"/>
  <c r="S574" i="31" s="1"/>
  <c r="R582" i="31"/>
  <c r="S582" i="31" s="1"/>
  <c r="R590" i="31"/>
  <c r="S590" i="31" s="1"/>
  <c r="R598" i="31"/>
  <c r="S598" i="31" s="1"/>
  <c r="R606" i="31"/>
  <c r="S606" i="31" s="1"/>
  <c r="R614" i="31"/>
  <c r="S614" i="31" s="1"/>
  <c r="R622" i="31"/>
  <c r="S622" i="31" s="1"/>
  <c r="R630" i="31"/>
  <c r="S630" i="31" s="1"/>
  <c r="R638" i="31"/>
  <c r="S638" i="31" s="1"/>
  <c r="R646" i="31"/>
  <c r="S646" i="31" s="1"/>
  <c r="R654" i="31"/>
  <c r="S654" i="31" s="1"/>
  <c r="R662" i="31"/>
  <c r="S662" i="31" s="1"/>
  <c r="R670" i="31"/>
  <c r="S670" i="31" s="1"/>
  <c r="R678" i="31"/>
  <c r="S678" i="31" s="1"/>
  <c r="R686" i="31"/>
  <c r="S686" i="31" s="1"/>
  <c r="R694" i="31"/>
  <c r="S694" i="31" s="1"/>
  <c r="R702" i="31"/>
  <c r="S702" i="31" s="1"/>
  <c r="R710" i="31"/>
  <c r="S710" i="31" s="1"/>
  <c r="R718" i="31"/>
  <c r="S718" i="31" s="1"/>
  <c r="R726" i="31"/>
  <c r="S726" i="31" s="1"/>
  <c r="R734" i="31"/>
  <c r="S734" i="31" s="1"/>
  <c r="R742" i="31"/>
  <c r="S742" i="31" s="1"/>
  <c r="R750" i="31"/>
  <c r="S750" i="31" s="1"/>
  <c r="R758" i="31"/>
  <c r="S758" i="31" s="1"/>
  <c r="R766" i="31"/>
  <c r="S766" i="31" s="1"/>
  <c r="R774" i="31"/>
  <c r="S774" i="31" s="1"/>
  <c r="R782" i="31"/>
  <c r="S782" i="31" s="1"/>
  <c r="R790" i="31"/>
  <c r="S790" i="31" s="1"/>
  <c r="R798" i="31"/>
  <c r="S798" i="31" s="1"/>
  <c r="R806" i="31"/>
  <c r="S806" i="31" s="1"/>
  <c r="R814" i="31"/>
  <c r="S814" i="31" s="1"/>
  <c r="R822" i="31"/>
  <c r="S822" i="31" s="1"/>
  <c r="R830" i="31"/>
  <c r="S830" i="31" s="1"/>
  <c r="R838" i="31"/>
  <c r="S838" i="31" s="1"/>
  <c r="R846" i="31"/>
  <c r="S846" i="31" s="1"/>
  <c r="R854" i="31"/>
  <c r="S854" i="31" s="1"/>
  <c r="R862" i="31"/>
  <c r="S862" i="31" s="1"/>
  <c r="R870" i="31"/>
  <c r="S870" i="31" s="1"/>
  <c r="R699" i="31"/>
  <c r="S699" i="31" s="1"/>
  <c r="R707" i="31"/>
  <c r="S707" i="31" s="1"/>
  <c r="R715" i="31"/>
  <c r="S715" i="31" s="1"/>
  <c r="R723" i="31"/>
  <c r="S723" i="31" s="1"/>
  <c r="R731" i="31"/>
  <c r="S731" i="31" s="1"/>
  <c r="R739" i="31"/>
  <c r="S739" i="31" s="1"/>
  <c r="R747" i="31"/>
  <c r="S747" i="31" s="1"/>
  <c r="R755" i="31"/>
  <c r="S755" i="31" s="1"/>
  <c r="R763" i="31"/>
  <c r="S763" i="31" s="1"/>
  <c r="R771" i="31"/>
  <c r="S771" i="31" s="1"/>
  <c r="R779" i="31"/>
  <c r="S779" i="31" s="1"/>
  <c r="R787" i="31"/>
  <c r="S787" i="31" s="1"/>
  <c r="R795" i="31"/>
  <c r="S795" i="31" s="1"/>
  <c r="R803" i="31"/>
  <c r="S803" i="31" s="1"/>
  <c r="R835" i="31"/>
  <c r="S835" i="31" s="1"/>
  <c r="R867" i="31"/>
  <c r="S867" i="31" s="1"/>
  <c r="R833" i="31"/>
  <c r="S833" i="31" s="1"/>
  <c r="R865" i="31"/>
  <c r="S865" i="31" s="1"/>
  <c r="R879" i="31"/>
  <c r="S879" i="31" s="1"/>
  <c r="R887" i="31"/>
  <c r="S887" i="31" s="1"/>
  <c r="R529" i="31"/>
  <c r="S529" i="31" s="1"/>
  <c r="R537" i="31"/>
  <c r="S537" i="31" s="1"/>
  <c r="R545" i="31"/>
  <c r="S545" i="31" s="1"/>
  <c r="R553" i="31"/>
  <c r="S553" i="31" s="1"/>
  <c r="R561" i="31"/>
  <c r="S561" i="31" s="1"/>
  <c r="R569" i="31"/>
  <c r="S569" i="31" s="1"/>
  <c r="R577" i="31"/>
  <c r="S577" i="31" s="1"/>
  <c r="R585" i="31"/>
  <c r="S585" i="31" s="1"/>
  <c r="R593" i="31"/>
  <c r="S593" i="31" s="1"/>
  <c r="R601" i="31"/>
  <c r="S601" i="31" s="1"/>
  <c r="R609" i="31"/>
  <c r="S609" i="31" s="1"/>
  <c r="B58" i="40"/>
  <c r="F58" i="40" s="1"/>
  <c r="B54" i="40"/>
  <c r="F54" i="40" s="1"/>
  <c r="B53" i="40"/>
  <c r="F53" i="40" s="1"/>
  <c r="B59" i="40"/>
  <c r="F59" i="40" s="1"/>
  <c r="B52" i="40"/>
  <c r="F52" i="40" s="1"/>
  <c r="B56" i="40"/>
  <c r="F56" i="40" s="1"/>
  <c r="B60" i="40"/>
  <c r="F60" i="40" s="1"/>
  <c r="B57" i="40"/>
  <c r="F57" i="40" s="1"/>
  <c r="B51" i="40"/>
  <c r="F51" i="40" s="1"/>
  <c r="F61" i="40"/>
  <c r="B2" i="40" s="1"/>
  <c r="B3" i="40" s="1"/>
  <c r="S22" i="84" l="1"/>
  <c r="D15" i="74" s="1"/>
  <c r="S22" i="31"/>
  <c r="F15" i="74" l="1"/>
  <c r="E15" i="74"/>
  <c r="B20" i="31"/>
  <c r="B21" i="31" s="1"/>
  <c r="D14" i="74"/>
  <c r="R22" i="84"/>
  <c r="B20" i="84"/>
  <c r="B21" i="84" s="1"/>
  <c r="R22" i="31"/>
  <c r="B6" i="74"/>
  <c r="D6" i="74" s="1"/>
  <c r="E14" i="74" l="1"/>
  <c r="F14" i="74"/>
  <c r="D16" i="74" l="1"/>
  <c r="E16" i="74" l="1"/>
  <c r="F16" i="74"/>
  <c r="B5" i="74"/>
  <c r="D5" i="74" l="1"/>
  <c r="C5" i="74"/>
  <c r="D119" i="83"/>
  <c r="D118" i="83"/>
  <c r="E118" i="83"/>
  <c r="D123" i="83"/>
  <c r="D122" i="83"/>
  <c r="E97" i="83"/>
  <c r="E96" i="83"/>
  <c r="C96" i="83"/>
  <c r="B48" i="72"/>
  <c r="E4" i="52"/>
  <c r="H13" i="80"/>
  <c r="N61" i="9"/>
  <c r="N59" i="9"/>
  <c r="N60" i="9"/>
  <c r="D54" i="83"/>
  <c r="C68" i="83"/>
  <c r="M55" i="9"/>
  <c r="D59" i="9"/>
  <c r="B51" i="72"/>
  <c r="F4" i="52"/>
  <c r="E81" i="83"/>
  <c r="E80" i="83"/>
  <c r="C80" i="83"/>
  <c r="C73" i="83"/>
  <c r="C78" i="83"/>
  <c r="C86" i="83"/>
  <c r="C93" i="83"/>
  <c r="B31" i="72"/>
  <c r="D15" i="53"/>
  <c r="H102" i="9"/>
  <c r="D7" i="53"/>
  <c r="B21" i="72"/>
  <c r="C97" i="9"/>
  <c r="D58" i="9"/>
  <c r="D56" i="9"/>
  <c r="M54" i="9"/>
  <c r="F119" i="9"/>
  <c r="F5" i="52"/>
  <c r="B53" i="72"/>
  <c r="C81" i="9"/>
  <c r="B49" i="72"/>
  <c r="D119" i="9"/>
  <c r="D5" i="52"/>
  <c r="D9" i="52"/>
  <c r="D123" i="9"/>
  <c r="H102" i="83"/>
  <c r="C105" i="83"/>
  <c r="D54" i="9"/>
  <c r="C64" i="9"/>
  <c r="C63" i="9"/>
  <c r="C67" i="9"/>
  <c r="C68" i="9"/>
  <c r="C86" i="9"/>
  <c r="C93" i="9"/>
  <c r="B20" i="72"/>
  <c r="H108" i="9"/>
  <c r="C6" i="74"/>
  <c r="B52" i="72"/>
  <c r="F118" i="9"/>
  <c r="G118" i="9"/>
  <c r="G4" i="52"/>
  <c r="C73" i="9"/>
  <c r="C78" i="9"/>
  <c r="D5" i="53"/>
  <c r="D6" i="53"/>
  <c r="B22" i="72"/>
  <c r="C85" i="9"/>
  <c r="C95" i="9"/>
  <c r="C96" i="9"/>
  <c r="E96" i="9"/>
  <c r="E97" i="9"/>
  <c r="E81" i="9"/>
  <c r="C72" i="9"/>
  <c r="C79" i="9"/>
  <c r="C80" i="9"/>
  <c r="E80" i="9"/>
  <c r="M48" i="83"/>
  <c r="B32" i="72"/>
  <c r="D14" i="53"/>
  <c r="D122" i="9"/>
  <c r="D8" i="52"/>
  <c r="D52" i="9"/>
  <c r="D53" i="9"/>
  <c r="H119" i="83"/>
  <c r="C104" i="83"/>
  <c r="H107" i="9"/>
  <c r="D13" i="53"/>
  <c r="B30" i="72"/>
  <c r="N61" i="83"/>
  <c r="N59" i="83"/>
  <c r="N60" i="83"/>
  <c r="D52" i="83"/>
  <c r="D53" i="83"/>
  <c r="E118" i="9"/>
  <c r="D118" i="9"/>
  <c r="D4" i="52"/>
  <c r="B47" i="72"/>
  <c r="G118" i="83"/>
  <c r="F118" i="83"/>
  <c r="F119" i="83"/>
  <c r="C104" i="9"/>
  <c r="H4" i="52"/>
  <c r="N58" i="83"/>
  <c r="D55" i="83"/>
  <c r="M53" i="83"/>
  <c r="N57" i="83"/>
  <c r="P57" i="83"/>
  <c r="C85" i="83"/>
  <c r="C95" i="83"/>
  <c r="C97" i="83"/>
  <c r="D58" i="83"/>
  <c r="D56" i="83"/>
  <c r="M54" i="83"/>
  <c r="H107" i="83"/>
  <c r="H108" i="83"/>
  <c r="C72" i="83"/>
  <c r="C79" i="83"/>
  <c r="C81" i="83"/>
  <c r="M48" i="9"/>
  <c r="I118" i="83"/>
  <c r="H118" i="83"/>
  <c r="H101" i="83"/>
  <c r="D45" i="83"/>
  <c r="C64" i="83"/>
  <c r="C63" i="83"/>
  <c r="C67" i="83"/>
  <c r="D59" i="83"/>
  <c r="M55" i="83"/>
  <c r="P57" i="9"/>
  <c r="H101" i="9"/>
  <c r="D45" i="9"/>
  <c r="D55" i="9"/>
  <c r="M53" i="9"/>
  <c r="N57" i="9"/>
  <c r="N58" i="9"/>
  <c r="I4" i="52"/>
  <c r="C105"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36942343-C6B7-49B3-837C-169D3A75E868}">
      <text>
        <r>
          <rPr>
            <b/>
            <sz val="9"/>
            <color indexed="81"/>
            <rFont val="宋体"/>
            <family val="3"/>
            <charset val="134"/>
          </rPr>
          <t>权重验证</t>
        </r>
        <r>
          <rPr>
            <sz val="9"/>
            <color indexed="81"/>
            <rFont val="宋体"/>
            <family val="3"/>
            <charset val="134"/>
          </rPr>
          <t xml:space="preserve">
</t>
        </r>
      </text>
    </comment>
    <comment ref="C59" authorId="1" shapeId="0" xr:uid="{ABBE3B4A-8DFC-41A8-9F7E-96EB26C475F4}">
      <text>
        <r>
          <rPr>
            <b/>
            <sz val="12"/>
            <color indexed="81"/>
            <rFont val="宋体"/>
            <family val="3"/>
            <charset val="134"/>
          </rPr>
          <t>价值时点所在月度</t>
        </r>
        <r>
          <rPr>
            <sz val="12"/>
            <color indexed="81"/>
            <rFont val="宋体"/>
            <family val="3"/>
            <charset val="134"/>
          </rPr>
          <t xml:space="preserve">
</t>
        </r>
      </text>
    </comment>
    <comment ref="B103" authorId="1" shapeId="0" xr:uid="{D1A07D1D-2F5C-4581-8998-550B06388C3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D5892C5-D416-40D1-9DFD-777F86C42A44}">
      <text>
        <r>
          <rPr>
            <b/>
            <sz val="9"/>
            <color indexed="81"/>
            <rFont val="宋体"/>
            <family val="3"/>
            <charset val="134"/>
          </rPr>
          <t>权重验证</t>
        </r>
        <r>
          <rPr>
            <sz val="9"/>
            <color indexed="81"/>
            <rFont val="宋体"/>
            <family val="3"/>
            <charset val="134"/>
          </rPr>
          <t xml:space="preserve">
</t>
        </r>
      </text>
    </comment>
    <comment ref="C58" authorId="1" shapeId="0" xr:uid="{3488B8C5-F697-4BA7-AC27-8C48B37DABF7}">
      <text>
        <r>
          <rPr>
            <b/>
            <sz val="12"/>
            <color indexed="81"/>
            <rFont val="宋体"/>
            <family val="3"/>
            <charset val="134"/>
          </rPr>
          <t>价值时点所在月度</t>
        </r>
        <r>
          <rPr>
            <sz val="12"/>
            <color indexed="81"/>
            <rFont val="宋体"/>
            <family val="3"/>
            <charset val="134"/>
          </rPr>
          <t xml:space="preserve">
</t>
        </r>
      </text>
    </comment>
    <comment ref="B102" authorId="1" shapeId="0" xr:uid="{9DC52F8F-CCB1-4564-A132-B2C6A448EBF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<sst xmlns="http://schemas.openxmlformats.org/spreadsheetml/2006/main" count="16361" uniqueCount="4089">
  <si>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</si>
  <si>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</si>
  <si>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</si>
  <si>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</si>
  <si>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</si>
  <si>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</si>
  <si>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</si>
  <si>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</si>
  <si>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</si>
  <si>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</si>
  <si>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</si>
  <si>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</si>
  <si>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</si>
  <si>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</si>
  <si>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</si>
  <si>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</si>
  <si>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</si>
  <si>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</si>
  <si>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</si>
  <si>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</si>
  <si>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</si>
  <si>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</si>
  <si>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</si>
  <si>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</si>
  <si>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</si>
  <si>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</si>
  <si>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</si>
  <si>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</si>
  <si>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</si>
  <si>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</si>
  <si>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</si>
  <si>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</si>
  <si>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</si>
  <si>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</si>
  <si>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</si>
  <si>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</si>
  <si>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</si>
  <si>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</si>
  <si>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</si>
  <si>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</si>
  <si>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</si>
  <si>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</si>
  <si>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</si>
  <si>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</si>
  <si>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</si>
  <si>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</si>
  <si>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</si>
  <si>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</si>
  <si>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</si>
  <si>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</si>
  <si>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</si>
  <si>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</si>
  <si>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</si>
  <si>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</si>
  <si>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</si>
  <si>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</si>
  <si>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</si>
  <si>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</si>
  <si>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</si>
  <si>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</si>
  <si>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</si>
  <si>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</si>
  <si>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</si>
  <si>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</si>
  <si>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</si>
  <si>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</si>
  <si>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</si>
  <si>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</si>
  <si>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</si>
  <si>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</si>
  <si>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</si>
  <si>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</si>
  <si>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</si>
  <si>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</si>
  <si>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</si>
  <si>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</si>
  <si>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</si>
  <si>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</si>
  <si>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</si>
  <si>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</si>
  <si>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</si>
  <si>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</si>
  <si>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</si>
  <si>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</si>
  <si>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</si>
  <si>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</si>
  <si>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</si>
  <si>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</si>
  <si>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</si>
  <si>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</si>
  <si>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</si>
  <si>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</si>
  <si>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</si>
  <si>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</si>
  <si>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</si>
  <si>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</si>
  <si>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</si>
  <si>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</si>
  <si>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</si>
  <si>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</si>
  <si>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</si>
  <si>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</si>
  <si>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</si>
  <si>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</si>
  <si>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</si>
  <si>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</si>
  <si>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</si>
  <si>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</si>
  <si>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</si>
  <si>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</si>
  <si>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</si>
  <si>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</si>
  <si>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</si>
  <si>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</si>
  <si>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</si>
  <si>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</si>
  <si>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</si>
  <si>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</si>
  <si>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</si>
  <si>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</si>
  <si>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</si>
  <si>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</si>
  <si>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</si>
  <si>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</si>
  <si>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</si>
  <si>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</si>
  <si>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</si>
  <si>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</si>
  <si>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</si>
  <si>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</si>
  <si>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</si>
  <si>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</si>
  <si>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</si>
  <si>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</si>
  <si>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</si>
  <si>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</si>
  <si>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</si>
  <si>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</si>
  <si>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</si>
  <si>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</si>
  <si>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</si>
  <si>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</si>
  <si>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</si>
  <si>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</si>
  <si>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</si>
  <si>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</si>
  <si>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</si>
  <si>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</si>
  <si>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</si>
  <si>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</si>
  <si>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</si>
  <si>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</si>
  <si>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</si>
  <si>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</si>
  <si>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</si>
  <si>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</si>
  <si>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</si>
  <si>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</si>
  <si>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</si>
  <si>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</si>
  <si>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</si>
  <si>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</si>
  <si>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</si>
  <si>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</si>
  <si>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</si>
  <si>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</si>
  <si>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</si>
  <si>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</si>
  <si>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</si>
  <si>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</si>
  <si>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</si>
  <si>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</si>
  <si>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</si>
  <si>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</si>
  <si>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</si>
  <si>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</si>
  <si>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</si>
  <si>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</si>
  <si>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</si>
  <si>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</si>
  <si>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</si>
  <si>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</si>
  <si>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</si>
  <si>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</si>
  <si>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</si>
  <si>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</si>
  <si>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</si>
  <si>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</si>
  <si>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</si>
  <si>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</si>
  <si>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</si>
  <si>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</si>
  <si>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</si>
  <si>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</si>
  <si>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</si>
  <si>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</si>
  <si>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</si>
  <si>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</si>
  <si>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</si>
  <si>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</si>
  <si>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</si>
  <si>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</si>
  <si>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</si>
  <si>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</si>
  <si>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</si>
  <si>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</si>
  <si>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</si>
  <si>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</si>
  <si>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</si>
  <si>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</si>
  <si>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</si>
  <si>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</si>
  <si>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</si>
  <si>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</si>
  <si>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</si>
  <si>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</si>
  <si>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</si>
  <si>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</si>
  <si>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</si>
  <si>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</si>
  <si>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</si>
  <si>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</si>
  <si>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</si>
  <si>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</si>
  <si>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</si>
  <si>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</si>
  <si>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</si>
  <si>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</si>
  <si>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</si>
  <si>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</si>
  <si>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</si>
  <si>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</si>
  <si>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</si>
  <si>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</si>
  <si>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</si>
  <si>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</si>
  <si>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</si>
  <si>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</si>
  <si>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</si>
  <si>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</si>
  <si>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</si>
  <si>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</si>
  <si>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</si>
  <si>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</si>
  <si>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</si>
  <si>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</si>
  <si>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</si>
  <si>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</si>
  <si>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</si>
  <si>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</si>
  <si>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</si>
  <si>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</si>
  <si>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</si>
  <si>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</si>
  <si>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</si>
  <si>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</si>
  <si>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</si>
  <si>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</si>
  <si>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</si>
  <si>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</si>
  <si>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</si>
  <si>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</si>
  <si>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</si>
  <si>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</si>
  <si>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</si>
  <si>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</si>
  <si>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</si>
  <si>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</si>
  <si>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</si>
  <si>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</si>
  <si>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</si>
  <si>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</si>
  <si>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</si>
  <si>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</si>
  <si>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</si>
  <si>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</si>
  <si>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</si>
  <si>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</si>
  <si>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</si>
  <si>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</si>
  <si>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</si>
  <si>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</si>
  <si>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</si>
  <si>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</si>
  <si>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</si>
  <si>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</si>
  <si>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</si>
  <si>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</si>
  <si>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</si>
  <si>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</si>
  <si>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</si>
  <si>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</si>
  <si>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</si>
  <si>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</si>
  <si>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</si>
  <si>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</si>
  <si>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</si>
  <si>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</si>
  <si>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</si>
  <si>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</si>
  <si>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</si>
  <si>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</si>
  <si>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</si>
  <si>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</si>
  <si>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</si>
  <si>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</si>
  <si>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</si>
  <si>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</si>
  <si>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</si>
  <si>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</si>
  <si>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</si>
  <si>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</si>
  <si>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</si>
  <si>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</si>
  <si>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</si>
  <si>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</si>
  <si>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</si>
  <si>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</si>
  <si>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</si>
  <si>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</si>
  <si>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</si>
  <si>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</si>
  <si>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</si>
  <si>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</si>
  <si>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</si>
  <si>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</si>
  <si>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</si>
  <si>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</si>
  <si>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</si>
  <si>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</si>
  <si>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</si>
  <si>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</si>
  <si>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</si>
  <si>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</si>
  <si>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</si>
  <si>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</si>
  <si>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</si>
  <si>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</si>
  <si>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</si>
  <si>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</si>
  <si>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</si>
  <si>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</si>
  <si>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</si>
  <si>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</si>
  <si>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</si>
  <si>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</si>
  <si>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</si>
  <si>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</si>
  <si>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</si>
  <si>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</si>
  <si>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</si>
  <si>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</si>
  <si>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</si>
  <si>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</si>
  <si>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</si>
  <si>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</si>
  <si>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</si>
  <si>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</si>
  <si>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</si>
  <si>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</si>
  <si>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</si>
  <si>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</si>
  <si>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</si>
  <si>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</si>
  <si>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</si>
  <si>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</si>
  <si>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</si>
  <si>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</si>
  <si>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</si>
  <si>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</si>
  <si>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</si>
  <si>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</si>
  <si>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</si>
  <si>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</si>
  <si>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</si>
  <si>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</si>
  <si>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</si>
  <si>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</si>
  <si>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</si>
  <si>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</si>
  <si>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</si>
  <si>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</si>
  <si>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</si>
  <si>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</si>
  <si>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</si>
  <si>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</si>
  <si>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</si>
  <si>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</si>
  <si>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</si>
  <si>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</si>
  <si>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</si>
  <si>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</si>
  <si>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</si>
  <si>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</si>
  <si>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</si>
  <si>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</si>
  <si>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</si>
  <si>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</si>
  <si>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</si>
  <si>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</si>
  <si>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</si>
  <si>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</si>
  <si>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</si>
  <si>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</si>
  <si>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</si>
  <si>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</si>
  <si>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</si>
  <si>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</si>
  <si>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</si>
  <si>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</si>
  <si>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</si>
  <si>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</si>
  <si>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</si>
  <si>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</si>
  <si>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</si>
  <si>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</si>
  <si>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</si>
  <si>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</si>
  <si>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</si>
  <si>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</si>
  <si>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</si>
  <si>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</si>
  <si>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</si>
  <si>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</si>
  <si>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</si>
  <si>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</si>
  <si>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</si>
  <si>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</si>
  <si>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</si>
  <si>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</si>
  <si>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</si>
  <si>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</si>
  <si>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</si>
  <si>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</si>
  <si>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</si>
  <si>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</si>
  <si>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</si>
  <si>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</si>
  <si>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</si>
  <si>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</si>
  <si>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</si>
  <si>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</si>
  <si>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</si>
  <si>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</si>
  <si>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</si>
  <si>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</si>
  <si>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</si>
  <si>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</si>
  <si>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</si>
  <si>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</si>
  <si>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</si>
  <si>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</si>
  <si>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</si>
  <si>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</si>
  <si>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</si>
  <si>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</si>
  <si>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</si>
  <si>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</si>
  <si>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</si>
  <si>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</si>
  <si>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</si>
  <si>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</si>
  <si>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</si>
  <si>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</si>
  <si>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</si>
  <si>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</si>
  <si>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</si>
  <si>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</si>
  <si>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</si>
  <si>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</si>
  <si>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</si>
  <si>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</si>
  <si>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</si>
  <si>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</si>
  <si>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</si>
  <si>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</si>
  <si>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</si>
  <si>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</si>
  <si>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</si>
  <si>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</si>
  <si>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</si>
  <si>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</si>
  <si>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</si>
  <si>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</si>
  <si>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</si>
  <si>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</si>
  <si>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</si>
  <si>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</si>
  <si>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</si>
  <si>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</si>
  <si>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</si>
  <si>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</si>
  <si>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</si>
  <si>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</si>
  <si>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</si>
  <si>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</si>
  <si>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</si>
  <si>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</si>
  <si>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</si>
  <si>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</si>
  <si>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</si>
  <si>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</si>
  <si>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</si>
  <si>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</si>
  <si>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</si>
  <si>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</si>
  <si>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</si>
  <si>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</si>
  <si>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</si>
  <si>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</si>
  <si>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</si>
  <si>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</si>
  <si>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</si>
  <si>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</si>
  <si>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</si>
  <si>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</si>
  <si>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</si>
  <si>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</si>
  <si>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</si>
  <si>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</si>
  <si>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</si>
  <si>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</si>
  <si>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</si>
  <si>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</si>
  <si>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</si>
  <si>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</si>
  <si>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</si>
  <si>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</si>
  <si>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</si>
  <si>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</si>
  <si>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</si>
  <si>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</si>
  <si>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</si>
  <si>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</si>
  <si>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</si>
  <si>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</si>
  <si>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</si>
  <si>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</si>
  <si>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</si>
  <si>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</si>
  <si>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</si>
  <si>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</si>
  <si>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</si>
  <si>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</si>
  <si>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</si>
  <si>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</si>
  <si>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</si>
  <si>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</si>
  <si>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</si>
  <si>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</si>
  <si>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</si>
  <si>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</si>
  <si>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</si>
  <si>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</si>
  <si>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</si>
  <si>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</si>
  <si>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</si>
  <si>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</si>
  <si>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</si>
  <si>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</si>
  <si>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</si>
  <si>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</si>
  <si>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</si>
  <si>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</si>
  <si>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</si>
  <si>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</si>
  <si>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</si>
  <si>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</si>
  <si>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</si>
  <si>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</si>
  <si>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</si>
  <si>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</si>
  <si>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</si>
  <si>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</si>
  <si>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</si>
  <si>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</si>
  <si>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</si>
  <si>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</si>
  <si>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</si>
  <si>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</si>
  <si>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</si>
  <si>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</si>
  <si>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</si>
  <si>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</si>
  <si>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</si>
  <si>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</si>
  <si>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</si>
  <si>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</si>
  <si>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</si>
  <si>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</si>
  <si>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</si>
  <si>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</si>
  <si>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</si>
  <si>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</si>
  <si>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</si>
  <si>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</si>
  <si>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</si>
  <si>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</si>
  <si>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</si>
  <si>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</si>
  <si>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</si>
  <si>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</si>
  <si>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</si>
  <si>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</si>
  <si>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</si>
  <si>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</si>
  <si>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</si>
  <si>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</si>
  <si>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</si>
  <si>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</si>
  <si>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</si>
  <si>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</si>
  <si>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</si>
  <si>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</si>
  <si>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</si>
  <si>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</si>
  <si>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</si>
  <si>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</si>
  <si>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</si>
  <si>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</si>
  <si>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</si>
  <si>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</si>
  <si>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</si>
  <si>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</si>
  <si>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</si>
  <si>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</si>
  <si>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</si>
  <si>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</si>
  <si>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</si>
  <si>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</si>
  <si>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</si>
  <si>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</si>
  <si>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</si>
  <si>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</si>
  <si>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</si>
  <si>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</si>
  <si>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</si>
  <si>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</si>
  <si>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</si>
  <si>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</si>
  <si>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</si>
  <si>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</si>
  <si>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</si>
  <si>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</si>
  <si>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</si>
  <si>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</si>
  <si>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</si>
  <si>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</si>
  <si>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</si>
  <si>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</si>
  <si>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</si>
  <si>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</si>
  <si>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</si>
  <si>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</si>
  <si>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</si>
  <si>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</si>
  <si>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</si>
  <si>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</si>
  <si>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</si>
  <si>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</si>
  <si>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</si>
  <si>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</si>
  <si>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</si>
  <si>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</si>
  <si>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</si>
  <si>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</si>
  <si>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</si>
  <si>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</si>
  <si>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</si>
  <si>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</si>
  <si>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</si>
  <si>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</si>
  <si>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</si>
  <si>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</si>
  <si>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</si>
  <si>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</si>
  <si>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</si>
  <si>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</si>
  <si>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</si>
  <si>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</si>
  <si>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</si>
  <si>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</si>
  <si>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</si>
  <si>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</si>
  <si>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</si>
  <si>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</si>
  <si>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</si>
  <si>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</si>
  <si>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</si>
  <si>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</si>
  <si>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</si>
  <si>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</si>
  <si>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</si>
  <si>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</si>
  <si>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</si>
  <si>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</si>
  <si>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</si>
  <si>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</si>
  <si>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</si>
  <si>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</si>
  <si>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</si>
  <si>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</si>
  <si>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</si>
  <si>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</si>
  <si>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</si>
  <si>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</si>
  <si>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</si>
  <si>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</si>
  <si>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</si>
  <si>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</si>
  <si>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</si>
  <si>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</si>
  <si>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</si>
  <si>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</si>
  <si>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</si>
  <si>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</si>
  <si>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</si>
  <si>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</si>
  <si>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</si>
  <si>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</si>
  <si>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</si>
  <si>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</si>
  <si>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</si>
  <si>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</si>
  <si>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</si>
  <si>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</si>
  <si>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</si>
  <si>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</si>
  <si>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</si>
  <si>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</si>
  <si>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</si>
  <si>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</si>
  <si>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</si>
  <si>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</si>
  <si>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</si>
  <si>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</si>
  <si>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</si>
  <si>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</si>
  <si>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</si>
  <si>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</si>
  <si>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</si>
  <si>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</si>
  <si>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</si>
  <si>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</si>
  <si>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</si>
  <si>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</si>
  <si>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</si>
  <si>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</si>
  <si>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</si>
  <si>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</si>
  <si>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</si>
  <si>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</si>
  <si>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</si>
  <si>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</si>
  <si>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</si>
  <si>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</si>
  <si>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</si>
  <si>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</si>
  <si>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</si>
  <si>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</si>
  <si>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</si>
  <si>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</si>
  <si>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</si>
  <si>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</si>
  <si>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</si>
  <si>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</si>
  <si>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</si>
  <si>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</si>
  <si>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</si>
  <si>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</si>
  <si>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</si>
  <si>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</si>
  <si>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</si>
  <si>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</si>
  <si>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</si>
  <si>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</si>
  <si>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</si>
  <si>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</si>
  <si>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</si>
  <si>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</si>
  <si>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</si>
  <si>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</si>
  <si>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</si>
  <si>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</si>
  <si>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</si>
  <si>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</si>
  <si>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</si>
  <si>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</si>
  <si>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</si>
  <si>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</si>
  <si>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</si>
  <si>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</si>
  <si>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</si>
  <si>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</si>
  <si>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</si>
  <si>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</si>
  <si>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</si>
  <si>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</si>
  <si>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</si>
  <si>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</si>
  <si>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</si>
  <si>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</si>
  <si>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</si>
  <si>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</si>
  <si>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</si>
  <si>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</si>
  <si>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</si>
  <si>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</si>
  <si>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</si>
  <si>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</si>
  <si>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</si>
  <si>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</si>
  <si>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</si>
  <si>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</si>
  <si>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</si>
  <si>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</si>
  <si>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</si>
  <si>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</si>
  <si>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</si>
  <si>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</si>
  <si>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</si>
  <si>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</si>
  <si>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</si>
  <si>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</si>
  <si>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</si>
  <si>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</si>
  <si>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</si>
  <si>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</si>
  <si>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</si>
  <si>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</si>
  <si>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</si>
  <si>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</si>
  <si>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</si>
  <si>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</si>
  <si>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</si>
  <si>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</si>
  <si>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</si>
  <si>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</si>
  <si>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</si>
  <si>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</si>
  <si>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</si>
  <si>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</si>
  <si>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</si>
  <si>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</si>
  <si>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</si>
  <si>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</si>
  <si>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</si>
  <si>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</si>
  <si>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</si>
  <si>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</si>
  <si>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</si>
  <si>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</si>
  <si>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</si>
  <si>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</si>
  <si>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</si>
  <si>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</si>
  <si>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</si>
  <si>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</si>
  <si>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</si>
  <si>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</si>
  <si>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</si>
  <si>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</si>
  <si>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</si>
  <si>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</si>
  <si>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</si>
  <si>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</si>
  <si>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</si>
  <si>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</si>
  <si>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</si>
  <si>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</si>
  <si>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</si>
  <si>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</si>
  <si>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</si>
  <si>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</si>
  <si>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</si>
  <si>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</si>
  <si>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</si>
  <si>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</si>
  <si>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</si>
  <si>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</si>
  <si>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</si>
  <si>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</si>
  <si>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</si>
  <si>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</si>
  <si>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</si>
  <si>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</si>
  <si>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</si>
  <si>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</si>
  <si>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</si>
  <si>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</si>
  <si>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</si>
  <si>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</si>
  <si>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</si>
  <si>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</si>
  <si>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</si>
  <si>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</si>
  <si>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</si>
  <si>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</si>
  <si>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</si>
  <si>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</si>
  <si>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</si>
  <si>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</si>
  <si>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</si>
  <si>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</si>
  <si>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</si>
  <si>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</si>
  <si>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</si>
  <si>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</si>
  <si>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</si>
  <si>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</si>
  <si>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</si>
  <si>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</si>
  <si>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</si>
  <si>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</si>
  <si>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</si>
  <si>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</si>
  <si>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</si>
  <si>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</si>
  <si>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</si>
  <si>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</si>
  <si>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</si>
  <si>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</si>
  <si>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</si>
  <si>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</si>
  <si>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</si>
  <si>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</si>
  <si>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</si>
  <si>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</si>
  <si>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</si>
  <si>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</si>
  <si>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</si>
  <si>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</si>
  <si>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</si>
  <si>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</si>
  <si>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</si>
  <si>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</si>
  <si>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</si>
  <si>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</si>
  <si>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</si>
  <si>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</si>
  <si>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</si>
  <si>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</si>
  <si>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</si>
  <si>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</si>
  <si>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</si>
  <si>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</si>
  <si>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</si>
  <si>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</si>
  <si>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</si>
  <si>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</si>
  <si>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</si>
  <si>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</si>
  <si>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</si>
  <si>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</si>
  <si>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</si>
  <si>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</si>
  <si>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</si>
  <si>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</si>
  <si>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</si>
  <si>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</si>
  <si>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</si>
  <si>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</si>
  <si>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</si>
  <si>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</si>
  <si>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</si>
  <si>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</si>
  <si>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</si>
  <si>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</si>
  <si>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</si>
  <si>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</si>
  <si>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</si>
  <si>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</si>
  <si>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</si>
  <si>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</si>
  <si>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</si>
  <si>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</si>
  <si>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</si>
  <si>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</si>
  <si>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</si>
  <si>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</si>
  <si>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</si>
  <si>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</si>
  <si>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</si>
  <si>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</si>
  <si>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</si>
  <si>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</si>
  <si>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</si>
  <si>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</si>
  <si>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</si>
  <si>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</si>
  <si>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</si>
  <si>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</si>
  <si>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</si>
  <si>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</si>
  <si>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</si>
  <si>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</si>
  <si>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</si>
  <si>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</si>
  <si>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</si>
  <si>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</si>
  <si>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</si>
  <si>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</si>
  <si>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</si>
  <si>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</si>
  <si>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</si>
  <si>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</si>
  <si>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</si>
  <si>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</si>
  <si>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</si>
  <si>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</si>
  <si>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</si>
  <si>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</si>
  <si>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</si>
  <si>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</si>
  <si>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</si>
  <si>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</si>
  <si>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</si>
  <si>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</si>
  <si>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</si>
  <si>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</si>
  <si>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</si>
  <si>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</si>
  <si>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</si>
  <si>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</si>
  <si>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</si>
  <si>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</si>
  <si>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</si>
  <si>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</si>
  <si>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</si>
  <si>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</si>
  <si>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</si>
  <si>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</si>
  <si>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</si>
  <si>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</si>
  <si>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</si>
  <si>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</si>
  <si>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</si>
  <si>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</si>
  <si>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</si>
  <si>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</si>
  <si>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</si>
  <si>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</si>
  <si>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</si>
  <si>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</si>
  <si>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</si>
  <si>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</si>
  <si>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</si>
  <si>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</si>
  <si>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</si>
  <si>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</si>
  <si>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</si>
  <si>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</si>
  <si>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</si>
  <si>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</si>
  <si>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</si>
  <si>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</si>
  <si>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</si>
  <si>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</si>
  <si>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</si>
  <si>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</si>
  <si>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</si>
  <si>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</si>
  <si>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</si>
  <si>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</si>
  <si>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</si>
  <si>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</si>
  <si>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</si>
  <si>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</si>
  <si>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</si>
  <si>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</si>
  <si>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</si>
  <si>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</si>
  <si>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</si>
  <si>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</si>
  <si>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</si>
  <si>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</si>
  <si>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</si>
  <si>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</si>
  <si>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</si>
  <si>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</si>
  <si>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</si>
  <si>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</si>
  <si>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</si>
  <si>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</si>
  <si>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</si>
  <si>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</si>
  <si>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</si>
  <si>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</si>
  <si>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</si>
  <si>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</si>
  <si>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</si>
  <si>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</si>
  <si>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</si>
  <si>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</si>
  <si>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</si>
  <si>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</si>
  <si>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</si>
  <si>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</si>
  <si>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</si>
  <si>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</si>
  <si>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</si>
  <si>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</si>
  <si>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</si>
  <si>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</si>
  <si>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</si>
  <si>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</si>
  <si>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</si>
  <si>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</si>
  <si>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</si>
  <si>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</si>
  <si>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</si>
  <si>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</si>
  <si>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</si>
  <si>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</si>
  <si>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</si>
  <si>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</si>
  <si>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</si>
  <si>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</si>
  <si>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</si>
  <si>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</si>
  <si>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</si>
  <si>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</si>
  <si>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</si>
  <si>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</si>
  <si>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</si>
  <si>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</si>
  <si>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</si>
  <si>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</si>
  <si>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</si>
  <si>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</si>
  <si>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</si>
  <si>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</si>
  <si>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</si>
  <si>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</si>
  <si>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</si>
  <si>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</si>
  <si>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</si>
  <si>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</si>
  <si>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</si>
  <si>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</si>
  <si>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</si>
  <si>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</si>
  <si>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</si>
  <si>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</si>
  <si>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</si>
  <si>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</si>
  <si>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</si>
  <si>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</si>
  <si>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</si>
  <si>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</si>
  <si>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</si>
  <si>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</si>
  <si>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</si>
  <si>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</si>
  <si>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</si>
  <si>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</si>
  <si>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</si>
  <si>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</si>
  <si>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</si>
  <si>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</si>
  <si>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</si>
  <si>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</si>
  <si>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</si>
  <si>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</si>
  <si>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</si>
  <si>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</si>
  <si>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</si>
  <si>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</si>
  <si>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</si>
  <si>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</si>
  <si>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</si>
  <si>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</si>
  <si>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</si>
  <si>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</si>
  <si>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</si>
  <si>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</si>
  <si>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</si>
  <si>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</si>
  <si>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</si>
  <si>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</si>
  <si>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</si>
  <si>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</si>
  <si>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</si>
  <si>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</si>
  <si>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</si>
  <si>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</si>
  <si>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</si>
  <si>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</si>
  <si>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</si>
  <si>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</si>
  <si>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</si>
  <si>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</si>
  <si>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</si>
  <si>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</si>
  <si>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</si>
  <si>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</si>
  <si>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</si>
  <si>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</si>
  <si>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</si>
  <si>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</si>
  <si>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</si>
  <si>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</si>
  <si>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</si>
  <si>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</si>
  <si>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</si>
  <si>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</si>
  <si>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</si>
  <si>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</si>
  <si>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</si>
  <si>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</si>
  <si>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</si>
  <si>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</si>
  <si>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</si>
  <si>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</si>
  <si>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</si>
  <si>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</si>
  <si>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</si>
  <si>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</si>
  <si>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</si>
  <si>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</si>
  <si>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</si>
  <si>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</si>
  <si>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</si>
  <si>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</si>
  <si>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</si>
  <si>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</si>
  <si>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</si>
  <si>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</si>
  <si>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</si>
  <si>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</si>
  <si>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</si>
  <si>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</si>
  <si>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</si>
  <si>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</si>
  <si>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</si>
  <si>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</si>
  <si>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</si>
  <si>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</si>
  <si>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</si>
  <si>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</si>
  <si>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</si>
  <si>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</si>
  <si>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</si>
  <si>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</si>
  <si>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</si>
  <si>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</si>
  <si>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</si>
  <si>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</si>
  <si>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</si>
  <si>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</si>
  <si>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</si>
  <si>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</si>
  <si>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</si>
  <si>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</si>
  <si>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</si>
  <si>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</si>
  <si>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</si>
  <si>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</si>
  <si>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</si>
  <si>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</si>
  <si>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</si>
  <si>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</si>
  <si>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</si>
  <si>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</si>
  <si>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</si>
  <si>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</si>
  <si>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</si>
  <si>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</si>
  <si>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</si>
  <si>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</si>
  <si>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</si>
  <si>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</si>
  <si>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</si>
  <si>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</si>
  <si>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</si>
  <si>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</si>
  <si>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</si>
  <si>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</si>
  <si>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</si>
  <si>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</si>
  <si>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</si>
  <si>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</si>
  <si>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</si>
  <si>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</si>
  <si>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</si>
  <si>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</si>
  <si>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</si>
  <si>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</si>
  <si>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</si>
  <si>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</si>
  <si>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</si>
  <si>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</si>
  <si>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</si>
  <si>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</si>
  <si>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</si>
  <si>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</si>
  <si>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</si>
  <si>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</si>
  <si>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</si>
  <si>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</si>
  <si>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</si>
  <si>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</si>
  <si>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</si>
  <si>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</si>
  <si>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</si>
  <si>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</si>
  <si>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</si>
  <si>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</si>
  <si>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</si>
  <si>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</si>
  <si>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</si>
  <si>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</si>
  <si>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</si>
  <si>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</si>
  <si>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</si>
  <si>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</si>
  <si>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</si>
  <si>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</si>
  <si>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</si>
  <si>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</si>
  <si>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</si>
  <si>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</si>
  <si>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</si>
  <si>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</si>
  <si>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</si>
  <si>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</si>
  <si>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</si>
  <si>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</si>
  <si>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</si>
  <si>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</si>
  <si>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</si>
  <si>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</si>
  <si>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</si>
  <si>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</si>
  <si>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</si>
  <si>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</si>
  <si>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</si>
  <si>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</si>
  <si>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</si>
  <si>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</si>
  <si>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</si>
  <si>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</si>
  <si>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</si>
  <si>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</si>
  <si>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</si>
  <si>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</si>
  <si>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</si>
  <si>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</si>
  <si>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</si>
  <si>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</si>
  <si>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</si>
  <si>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</si>
  <si>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</si>
  <si>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</si>
  <si>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</si>
  <si>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</si>
  <si>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</si>
  <si>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</si>
  <si>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</si>
  <si>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</si>
  <si>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</si>
  <si>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</si>
  <si>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</si>
  <si>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</si>
  <si>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</si>
  <si>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</si>
  <si>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</si>
  <si>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</si>
  <si>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</si>
  <si>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</si>
  <si>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</si>
  <si>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</si>
  <si>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</si>
  <si>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</si>
  <si>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</si>
  <si>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</si>
  <si>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</si>
  <si>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</si>
  <si>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</si>
  <si>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</si>
  <si>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</si>
  <si>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</si>
  <si>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</si>
  <si>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</si>
  <si>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</si>
  <si>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</si>
  <si>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</si>
  <si>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</si>
  <si>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</si>
  <si>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</si>
  <si>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</si>
  <si>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</si>
  <si>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</si>
  <si>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</si>
  <si>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</si>
  <si>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</si>
  <si>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</si>
  <si>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</si>
  <si>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</si>
  <si>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</si>
  <si>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</si>
  <si>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</si>
  <si>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</si>
  <si>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</si>
  <si>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</si>
  <si>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</si>
  <si>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</si>
  <si>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</si>
  <si>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</si>
  <si>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</si>
  <si>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</si>
  <si>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</si>
  <si>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</si>
  <si>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</si>
  <si>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</si>
  <si>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</si>
  <si>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</si>
  <si>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</si>
  <si>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</si>
  <si>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</si>
  <si>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</si>
  <si>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</si>
  <si>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</si>
  <si>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</si>
  <si>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</si>
  <si>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</si>
  <si>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</si>
  <si>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</si>
  <si>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</si>
  <si>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</si>
  <si>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</si>
  <si>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</si>
  <si>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</si>
  <si>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</si>
  <si>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</si>
  <si>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</si>
  <si>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</si>
  <si>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</si>
  <si>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</si>
  <si>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</si>
  <si>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</si>
  <si>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</si>
  <si>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</si>
  <si>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</si>
  <si>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</si>
  <si>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</si>
  <si>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</si>
  <si>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</si>
  <si>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</si>
  <si>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</si>
  <si>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</si>
  <si>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</si>
  <si>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</si>
  <si>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</si>
  <si>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</si>
  <si>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</si>
  <si>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</si>
  <si>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</si>
  <si>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</si>
  <si>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</si>
  <si>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</si>
  <si>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</si>
  <si>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</si>
  <si>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</si>
  <si>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</si>
  <si>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</si>
  <si>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</si>
  <si>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</si>
  <si>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</si>
  <si>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</si>
  <si>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</si>
  <si>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</si>
  <si>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</si>
  <si>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</si>
  <si>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</si>
  <si>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</si>
  <si>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</si>
  <si>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</si>
  <si>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</si>
  <si>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</si>
  <si>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</si>
  <si>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</si>
  <si>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</si>
  <si>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</si>
  <si>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</si>
  <si>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</si>
  <si>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</si>
  <si>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</si>
  <si>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</si>
  <si>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</si>
  <si>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</si>
  <si>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</si>
  <si>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</si>
  <si>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</si>
  <si>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</si>
  <si>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</si>
  <si>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</si>
  <si>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</si>
  <si>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</si>
  <si>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</si>
  <si>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</si>
  <si>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</si>
  <si>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</si>
  <si>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</si>
  <si>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</si>
  <si>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</si>
  <si>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</si>
  <si>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</si>
  <si>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</si>
  <si>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</si>
  <si>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</si>
  <si>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</si>
  <si>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</si>
  <si>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</si>
  <si>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</si>
  <si>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</si>
  <si>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</si>
  <si>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</si>
  <si>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</si>
  <si>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</si>
  <si>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</si>
  <si>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</si>
  <si>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</si>
  <si>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</si>
  <si>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</si>
  <si>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</si>
  <si>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</si>
  <si>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</si>
  <si>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</si>
  <si>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</si>
  <si>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</si>
  <si>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</si>
  <si>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</si>
  <si>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</si>
  <si>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</si>
  <si>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</si>
  <si>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</si>
  <si>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</si>
  <si>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</si>
  <si>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</si>
  <si>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</si>
  <si>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</si>
  <si>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</si>
  <si>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</si>
  <si>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</si>
  <si>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</si>
  <si>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</si>
  <si>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</si>
  <si>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</si>
  <si>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</si>
  <si>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</si>
  <si>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</si>
  <si>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</si>
  <si>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</si>
  <si>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</si>
  <si>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</si>
  <si>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</si>
  <si>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</si>
  <si>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</si>
  <si>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</si>
  <si>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</si>
  <si>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</si>
  <si>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</si>
  <si>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</si>
  <si>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</si>
  <si>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</si>
  <si>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</si>
  <si>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</si>
  <si>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</si>
  <si>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</si>
  <si>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</si>
  <si>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</si>
  <si>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</si>
  <si>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</si>
  <si>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</si>
  <si>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</si>
  <si>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</si>
  <si>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</si>
  <si>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</si>
  <si>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</si>
  <si>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</si>
  <si>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</si>
  <si>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</si>
  <si>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</si>
  <si>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</si>
  <si>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</si>
  <si>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</si>
  <si>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</si>
  <si>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</si>
  <si>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</si>
  <si>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</si>
  <si>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</si>
  <si>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</si>
  <si>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</si>
  <si>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</si>
  <si>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</si>
  <si>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</si>
  <si>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</si>
  <si>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</si>
  <si>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</si>
  <si>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</si>
  <si>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</si>
  <si>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</si>
  <si>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</si>
  <si>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</si>
  <si>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</si>
  <si>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</si>
  <si>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</si>
  <si>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</si>
  <si>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</si>
  <si>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</si>
  <si>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</si>
  <si>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</si>
  <si>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</si>
  <si>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</si>
  <si>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</si>
  <si>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</si>
  <si>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</si>
  <si>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</si>
  <si>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</si>
  <si>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</si>
  <si>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</si>
  <si>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</si>
  <si>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</si>
  <si>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</si>
  <si>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</si>
  <si>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</si>
  <si>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</si>
  <si>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</si>
  <si>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</si>
  <si>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</si>
  <si>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</si>
  <si>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</si>
  <si>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</si>
  <si>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</si>
  <si>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</si>
  <si>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</si>
  <si>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</si>
  <si>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</si>
  <si>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</si>
  <si>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</si>
  <si>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</si>
  <si>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</si>
  <si>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</si>
  <si>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</si>
  <si>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</si>
  <si>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</si>
  <si>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</si>
  <si>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</si>
  <si>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</si>
  <si>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</si>
  <si>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</si>
  <si>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</si>
  <si>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</si>
  <si>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</si>
  <si>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</si>
  <si>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</si>
  <si>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</si>
  <si>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</si>
  <si>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</si>
  <si>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</si>
  <si>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</si>
  <si>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</si>
  <si>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</si>
  <si>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</si>
  <si>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</si>
  <si>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</si>
  <si>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</si>
  <si>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</si>
  <si>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</si>
  <si>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</si>
  <si>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</si>
  <si>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</si>
  <si>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</si>
  <si>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</si>
  <si>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</si>
  <si>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</si>
  <si>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</si>
  <si>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</si>
  <si>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</si>
  <si>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</si>
  <si>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</si>
  <si>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</si>
  <si>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</si>
  <si>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</si>
  <si>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</si>
  <si>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</si>
  <si>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</si>
  <si>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</si>
  <si>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</si>
  <si>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</si>
  <si>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</si>
  <si>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</si>
  <si>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</si>
  <si>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</si>
  <si>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</si>
  <si>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</si>
  <si>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</si>
  <si>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</si>
  <si>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</si>
  <si>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</si>
  <si>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</si>
  <si>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</si>
  <si>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</si>
  <si>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</si>
  <si>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</si>
  <si>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</si>
  <si>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</si>
  <si>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</si>
  <si>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</si>
  <si>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</si>
  <si>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</si>
  <si>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</si>
  <si>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</si>
  <si>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</si>
  <si>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</si>
  <si>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</si>
  <si>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</si>
  <si>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</si>
  <si>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</si>
  <si>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</si>
  <si>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</si>
  <si>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</si>
  <si>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</si>
  <si>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</si>
  <si>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</si>
  <si>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</si>
  <si>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</si>
  <si>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</si>
  <si>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</si>
  <si>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</si>
  <si>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</si>
  <si>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</si>
  <si>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</si>
  <si>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</si>
  <si>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</si>
  <si>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</si>
  <si>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</si>
  <si>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</si>
  <si>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</si>
  <si>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</si>
  <si>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</si>
  <si>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</si>
  <si>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</si>
  <si>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</si>
  <si>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</si>
  <si>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</si>
  <si>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</si>
  <si>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</si>
  <si>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</si>
  <si>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</si>
  <si>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</si>
  <si>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</si>
  <si>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</si>
  <si>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</si>
  <si>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</si>
  <si>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</si>
  <si>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</si>
  <si>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</si>
  <si>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</si>
  <si>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</si>
  <si>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</si>
  <si>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</si>
  <si>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</si>
  <si>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</si>
  <si>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</si>
  <si>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</si>
  <si>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</si>
  <si>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</si>
  <si>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</si>
  <si>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</si>
  <si>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</si>
  <si>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</si>
  <si>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</si>
  <si>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</si>
  <si>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</si>
  <si>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</si>
  <si>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</si>
  <si>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</si>
  <si>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</si>
  <si>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</si>
  <si>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</si>
  <si>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</si>
  <si>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</si>
  <si>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</si>
  <si>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</si>
  <si>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</si>
  <si>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</si>
  <si>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</si>
  <si>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</si>
  <si>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</si>
  <si>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</si>
  <si>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</si>
  <si>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</si>
  <si>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</si>
  <si>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</si>
  <si>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</si>
  <si>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</si>
  <si>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</si>
  <si>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</si>
  <si>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</si>
  <si>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</si>
  <si>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</si>
  <si>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</si>
  <si>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</si>
  <si>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</si>
  <si>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</si>
  <si>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</si>
  <si>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</si>
  <si>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</si>
  <si>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</si>
  <si>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</si>
  <si>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</si>
  <si>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</si>
  <si>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</si>
  <si>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</si>
  <si>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</si>
  <si>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</si>
  <si>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</si>
  <si>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</si>
  <si>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</si>
  <si>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</si>
  <si>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</si>
  <si>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</si>
  <si>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</si>
  <si>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</si>
  <si>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</si>
  <si>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</si>
  <si>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</si>
  <si>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</si>
  <si>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</si>
  <si>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</si>
  <si>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</si>
  <si>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</si>
  <si>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</si>
  <si>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</si>
  <si>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</si>
  <si>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</si>
  <si>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</si>
  <si>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</si>
  <si>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</si>
  <si>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</si>
  <si>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</si>
  <si>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</si>
  <si>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</si>
  <si>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</si>
  <si>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</si>
  <si>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</si>
  <si>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</si>
  <si>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</si>
  <si>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</si>
  <si>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</si>
  <si>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</si>
  <si>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</si>
  <si>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</si>
  <si>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</si>
  <si>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</si>
  <si>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</si>
  <si>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</si>
  <si>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</si>
  <si>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</si>
  <si>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</si>
  <si>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</si>
  <si>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</si>
  <si>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</si>
  <si>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</si>
  <si>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</si>
  <si>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</si>
  <si>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</si>
  <si>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</si>
  <si>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</si>
  <si>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</si>
  <si>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</si>
  <si>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</si>
  <si>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</si>
  <si>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</si>
  <si>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</si>
  <si>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</si>
  <si>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</si>
  <si>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</si>
  <si>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</si>
  <si>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</si>
  <si>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</si>
  <si>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</si>
  <si>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</si>
  <si>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</si>
  <si>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</si>
  <si>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</si>
  <si>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</si>
  <si>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</si>
  <si>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</si>
  <si>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</si>
  <si>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</si>
  <si>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</si>
  <si>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</si>
  <si>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</si>
  <si>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</si>
  <si>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</si>
  <si>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</si>
  <si>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</si>
  <si>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</si>
  <si>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</si>
  <si>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</si>
  <si>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</si>
  <si>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</si>
  <si>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</si>
  <si>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</si>
  <si>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</si>
  <si>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</si>
  <si>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</si>
  <si>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</si>
  <si>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</si>
  <si>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</si>
  <si>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</si>
  <si>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</si>
  <si>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</si>
  <si>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</si>
  <si>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</si>
  <si>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</si>
  <si>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</si>
  <si>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</si>
  <si>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</si>
  <si>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</si>
  <si>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</si>
  <si>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</si>
  <si>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</si>
  <si>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</si>
  <si>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</si>
  <si>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</si>
  <si>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</si>
  <si>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</si>
  <si>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</si>
  <si>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</si>
  <si>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</si>
  <si>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</si>
  <si>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</si>
  <si>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</si>
  <si>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</si>
  <si>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</si>
  <si>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</si>
  <si>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</si>
  <si>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</si>
  <si>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</si>
  <si>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</si>
  <si>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</si>
  <si>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</si>
  <si>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</si>
  <si>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</si>
  <si>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</si>
  <si>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</si>
  <si>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</si>
  <si>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</si>
  <si>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</si>
  <si>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</si>
  <si>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</si>
  <si>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</si>
  <si>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</si>
  <si>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</si>
  <si>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</si>
  <si>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</si>
  <si>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</si>
  <si>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</si>
  <si>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</si>
  <si>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</si>
  <si>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</si>
  <si>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</si>
  <si>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</si>
  <si>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</si>
  <si>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</si>
  <si>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</si>
  <si>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</si>
  <si>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</si>
  <si>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</si>
  <si>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</si>
  <si>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</si>
  <si>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</si>
  <si>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</si>
  <si>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</si>
  <si>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</si>
  <si>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</si>
  <si>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</si>
  <si>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</si>
  <si>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</si>
  <si>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</si>
  <si>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</si>
  <si>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</si>
  <si>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</si>
  <si>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</si>
  <si>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</si>
  <si>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</si>
  <si>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</si>
  <si>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</si>
  <si>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</si>
  <si>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</si>
  <si>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</si>
  <si>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</si>
  <si>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</si>
  <si>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</si>
  <si>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</si>
  <si>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</si>
  <si>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</si>
  <si>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</si>
  <si>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</si>
  <si>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</si>
  <si>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</si>
  <si>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</si>
  <si>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</si>
  <si>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</si>
  <si>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</si>
  <si>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</si>
  <si>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</si>
  <si>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</si>
  <si>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</si>
  <si>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</si>
  <si>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</si>
  <si>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</si>
  <si>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</si>
  <si>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</si>
  <si>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</si>
  <si>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</si>
  <si>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</si>
  <si>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</si>
  <si>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</si>
  <si>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</si>
  <si>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</si>
  <si>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</si>
  <si>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</si>
  <si>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</si>
  <si>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</si>
  <si>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</si>
  <si>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</si>
  <si>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</si>
  <si>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</si>
  <si>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</si>
  <si>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</si>
  <si>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</si>
  <si>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</si>
  <si>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</si>
  <si>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</si>
  <si>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</si>
  <si>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</si>
  <si>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</si>
  <si>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</si>
  <si>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</si>
  <si>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</si>
  <si>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</si>
  <si>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</si>
  <si>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</si>
  <si>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</si>
  <si>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</si>
  <si>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</si>
  <si>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</si>
  <si>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</si>
  <si>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</si>
  <si>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</si>
  <si>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</si>
  <si>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</si>
  <si>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</si>
  <si>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</si>
  <si>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</si>
  <si>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</si>
  <si>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</si>
  <si>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</si>
  <si>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</si>
  <si>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</si>
  <si>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</si>
  <si>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</si>
  <si>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</si>
  <si>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</si>
  <si>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</si>
  <si>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</si>
  <si>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</si>
  <si>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</si>
  <si>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</si>
  <si>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</si>
  <si>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</si>
  <si>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</si>
  <si>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</si>
  <si>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</si>
  <si>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</si>
  <si>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</si>
  <si>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</si>
  <si>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</si>
  <si>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</si>
  <si>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</si>
  <si>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</si>
  <si>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</si>
  <si>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</si>
  <si>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</si>
  <si>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</si>
  <si>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</si>
  <si>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</si>
  <si>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</si>
  <si>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</si>
  <si>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</si>
  <si>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</si>
  <si>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</si>
  <si>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</si>
  <si>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</si>
  <si>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</si>
  <si>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</si>
  <si>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</si>
  <si>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</si>
  <si>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</si>
  <si>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</si>
  <si>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</si>
  <si>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</si>
  <si>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</si>
  <si>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</si>
  <si>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</si>
  <si>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</si>
  <si>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</si>
  <si>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</si>
  <si>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</si>
  <si>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</si>
  <si>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</si>
  <si>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</si>
  <si>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</si>
  <si>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</si>
  <si>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</si>
  <si>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</si>
  <si>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</si>
  <si>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</si>
  <si>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</si>
  <si>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</si>
  <si>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</si>
  <si>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</si>
  <si>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</si>
  <si>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</si>
  <si>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</si>
  <si>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</si>
  <si>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</si>
  <si>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</si>
  <si>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</si>
  <si>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</si>
  <si>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</si>
  <si>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</si>
  <si>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</si>
  <si>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</si>
  <si>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</si>
  <si>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</si>
  <si>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</si>
  <si>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</si>
  <si>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</si>
  <si>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</si>
  <si>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</si>
  <si>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</si>
  <si>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</si>
  <si>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</si>
  <si>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</si>
  <si>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</si>
  <si>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</si>
  <si>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</si>
  <si>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</si>
  <si>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</si>
  <si>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</si>
  <si>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</si>
  <si>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</si>
  <si>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</si>
  <si>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</si>
  <si>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</si>
  <si>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</si>
  <si>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</si>
  <si>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</si>
  <si>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</si>
  <si>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</si>
  <si>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</si>
  <si>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</si>
  <si>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</si>
  <si>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</si>
  <si>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</si>
  <si>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</si>
  <si>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</si>
  <si>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</si>
  <si>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</si>
  <si>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</si>
  <si>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</si>
  <si>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</si>
  <si>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</si>
  <si>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</si>
  <si>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</si>
  <si>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</si>
  <si>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</si>
  <si>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</si>
  <si>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</si>
  <si>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</si>
  <si>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</si>
  <si>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</si>
  <si>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</si>
  <si>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</si>
  <si>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</si>
  <si>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</si>
  <si>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</si>
  <si>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</si>
  <si>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</si>
  <si>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</si>
  <si>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</si>
  <si>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</si>
  <si>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</si>
  <si>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</si>
  <si>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</si>
  <si>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</si>
  <si>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</si>
  <si>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</si>
  <si>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</si>
  <si>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</si>
  <si>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</si>
  <si>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</si>
  <si>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</si>
  <si>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</si>
  <si>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</si>
  <si>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</si>
  <si>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</si>
  <si>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</si>
  <si>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</si>
  <si>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</si>
  <si>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</si>
  <si>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</si>
  <si>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</si>
  <si>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</si>
  <si>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</si>
  <si>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</si>
  <si>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</si>
  <si>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</si>
  <si>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</si>
  <si>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</si>
  <si>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</si>
  <si>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</si>
  <si>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</si>
  <si>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</si>
  <si>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</si>
  <si>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</si>
  <si>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</si>
  <si>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</si>
  <si>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</si>
  <si>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</si>
  <si>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</si>
  <si>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</si>
  <si>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</si>
  <si>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</si>
  <si>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</si>
  <si>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</si>
  <si>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</si>
  <si>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</si>
  <si>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</si>
  <si>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</si>
  <si>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</si>
  <si>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</si>
  <si>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</si>
  <si>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</si>
  <si>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</si>
  <si>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</si>
  <si>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</si>
  <si>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</si>
  <si>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</si>
  <si>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</si>
  <si>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</si>
  <si>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</si>
  <si>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</si>
  <si>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</si>
  <si>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</si>
  <si>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</si>
  <si>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</si>
  <si>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</si>
  <si>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</si>
  <si>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</si>
  <si>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</si>
  <si>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</si>
  <si>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</si>
  <si>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</si>
  <si>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</si>
  <si>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</si>
  <si>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</si>
  <si>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</si>
  <si>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</si>
  <si>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</si>
  <si>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</si>
  <si>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</si>
  <si>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</si>
  <si>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</si>
  <si>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</si>
  <si>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</si>
  <si>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</si>
  <si>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</si>
  <si>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</si>
  <si>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</si>
  <si>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</si>
  <si>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</si>
  <si>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</si>
  <si>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</si>
  <si>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</si>
  <si>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</si>
  <si>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</si>
  <si>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</si>
  <si>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</si>
  <si>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</si>
  <si>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</si>
  <si>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</si>
  <si>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</si>
  <si>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</si>
  <si>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</si>
  <si>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</si>
  <si>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</si>
  <si>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</si>
  <si>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</si>
  <si>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</si>
  <si>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</si>
  <si>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</si>
  <si>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</si>
  <si>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</si>
  <si>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</si>
  <si>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</si>
  <si>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</si>
  <si>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</si>
  <si>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</si>
  <si>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</si>
  <si>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</si>
  <si>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</si>
  <si>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</si>
  <si>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</si>
  <si>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</si>
  <si>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</si>
  <si>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</si>
  <si>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</si>
  <si>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</si>
  <si>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</si>
  <si>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</si>
  <si>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</si>
  <si>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</si>
  <si>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</si>
  <si>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</si>
  <si>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</si>
  <si>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</si>
  <si>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</si>
  <si>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</si>
  <si>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</si>
  <si>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</si>
  <si>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</si>
  <si>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</si>
  <si>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</si>
  <si>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</si>
  <si>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</si>
  <si>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</si>
  <si>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</si>
  <si>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</si>
  <si>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</si>
  <si>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</si>
  <si>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</si>
  <si>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</si>
  <si>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</si>
  <si>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</si>
  <si>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</si>
  <si>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</si>
  <si>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</si>
  <si>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</si>
  <si>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</si>
  <si>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</si>
  <si>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</si>
  <si>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</si>
  <si>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</si>
  <si>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</si>
  <si>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</si>
  <si>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</si>
  <si>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</si>
  <si>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</si>
  <si>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</si>
  <si>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</si>
  <si>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</si>
  <si>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</si>
  <si>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</si>
  <si>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</si>
  <si>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</si>
  <si>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</si>
  <si>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</si>
  <si>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</si>
  <si>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</si>
  <si>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</si>
  <si>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</si>
  <si>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</si>
  <si>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</si>
  <si>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</si>
  <si>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</si>
  <si>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</si>
  <si>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</si>
  <si>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</si>
  <si>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</si>
  <si>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</si>
  <si>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</si>
  <si>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</si>
  <si>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</si>
  <si>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</si>
  <si>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</si>
  <si>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</si>
  <si>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</si>
  <si>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</si>
  <si>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</si>
  <si>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</si>
  <si>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</si>
  <si>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</si>
  <si>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</si>
  <si>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</si>
  <si>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</si>
  <si>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</si>
  <si>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</si>
  <si>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</si>
  <si>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</si>
  <si>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</si>
  <si>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</si>
  <si>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</si>
  <si>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</si>
  <si>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</si>
  <si>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</si>
  <si>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</si>
  <si>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</si>
  <si>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</si>
  <si>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</si>
  <si>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</si>
  <si>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</si>
  <si>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</si>
  <si>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</si>
  <si>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</si>
  <si>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</si>
  <si>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</si>
  <si>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</si>
  <si>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</si>
  <si>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</si>
  <si>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</si>
  <si>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</si>
  <si>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</si>
  <si>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</si>
  <si>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</si>
  <si>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</si>
  <si>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</si>
  <si>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</si>
  <si>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</si>
  <si>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</si>
  <si>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</si>
  <si>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</si>
  <si>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</si>
  <si>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</si>
  <si>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</si>
  <si>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</si>
  <si>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</si>
  <si>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</si>
  <si>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</si>
  <si>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</si>
  <si>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</si>
  <si>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</si>
  <si>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</si>
  <si>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</si>
  <si>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</si>
  <si>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</si>
  <si>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</si>
  <si>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</si>
  <si>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</si>
  <si>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</si>
  <si>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</si>
  <si>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</si>
  <si>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</si>
  <si>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</si>
  <si>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</si>
  <si>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</si>
  <si>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</si>
  <si>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</si>
  <si>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</si>
  <si>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</si>
  <si>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</si>
  <si>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</si>
  <si>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</si>
  <si>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</si>
  <si>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</si>
  <si>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</si>
  <si>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</si>
  <si>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</si>
  <si>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</si>
  <si>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</si>
  <si>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</si>
  <si>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</si>
  <si>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</si>
  <si>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</si>
  <si>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</si>
  <si>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</si>
  <si>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</si>
  <si>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</si>
  <si>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</si>
  <si>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</si>
  <si>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</si>
  <si>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</si>
  <si>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</si>
  <si>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</si>
  <si>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</si>
  <si>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</si>
  <si>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</si>
  <si>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</si>
  <si>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</si>
  <si>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</si>
  <si>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</si>
  <si>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</si>
  <si>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</si>
  <si>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</si>
  <si>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</si>
  <si>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</si>
  <si>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</si>
  <si>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</si>
  <si>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</si>
  <si>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</si>
  <si>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</si>
  <si>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</si>
  <si>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</si>
  <si>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</si>
  <si>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</si>
  <si>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</si>
  <si>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</si>
  <si>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</si>
  <si>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</si>
  <si>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</si>
  <si>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</si>
  <si>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</si>
  <si>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</si>
  <si>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</si>
  <si>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</si>
  <si>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</si>
  <si>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</si>
  <si>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</si>
  <si>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</si>
  <si>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</si>
  <si>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</si>
  <si>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</si>
  <si>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</si>
  <si>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</si>
  <si>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</si>
  <si>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</si>
  <si>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</si>
  <si>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</si>
  <si>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</si>
  <si>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</si>
  <si>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</si>
  <si>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</si>
  <si>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</si>
  <si>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</si>
  <si>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</si>
  <si>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</si>
  <si>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</si>
  <si>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</si>
  <si>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</si>
  <si>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</si>
  <si>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</si>
  <si>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</si>
  <si>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</si>
  <si>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</si>
  <si>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</si>
  <si>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</si>
  <si>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</si>
  <si>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</si>
  <si>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</si>
  <si>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</si>
  <si>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</si>
  <si>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</si>
  <si>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</si>
  <si>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</si>
  <si>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</si>
  <si>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</si>
  <si>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</si>
  <si>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</si>
  <si>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</si>
  <si>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</si>
  <si>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</si>
  <si>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</si>
  <si>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</si>
  <si>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</si>
  <si>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</si>
  <si>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</si>
  <si>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</si>
  <si>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</si>
  <si>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</si>
  <si>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</si>
  <si>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</si>
  <si>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</si>
  <si>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</si>
  <si>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</si>
  <si>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</si>
  <si>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</si>
  <si>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</si>
  <si>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</si>
  <si>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</si>
  <si>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</si>
  <si>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</si>
  <si>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</si>
  <si>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</si>
  <si>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</si>
  <si>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</si>
  <si>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</si>
  <si>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</si>
  <si>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</si>
  <si>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</si>
  <si>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</si>
  <si>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</si>
  <si>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</si>
  <si>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</si>
  <si>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</si>
  <si>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</si>
  <si>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</si>
  <si>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</si>
  <si>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</si>
  <si>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</si>
  <si>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</si>
  <si>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</si>
  <si>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</si>
  <si>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</si>
  <si>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</si>
  <si>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</si>
  <si>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</si>
  <si>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</si>
  <si>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</si>
  <si>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</si>
  <si>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</si>
  <si>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</si>
  <si>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</si>
  <si>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</si>
  <si>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</si>
  <si>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</si>
  <si>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</si>
  <si>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</si>
  <si>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</si>
  <si>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</si>
  <si>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</si>
  <si>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</si>
  <si>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</si>
  <si>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</si>
  <si>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</si>
  <si>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</si>
  <si>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</si>
  <si>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</si>
  <si>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</si>
  <si>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</si>
  <si>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</si>
  <si>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</si>
  <si>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</si>
  <si>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</si>
  <si>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</si>
  <si>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</si>
  <si>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</si>
  <si>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</si>
  <si>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</si>
  <si>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</si>
  <si>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</si>
  <si>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</si>
  <si>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</si>
  <si>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</si>
  <si>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</si>
  <si>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</si>
  <si>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</si>
  <si>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</si>
  <si>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</si>
  <si>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</si>
  <si>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</si>
  <si>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</si>
  <si>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</si>
  <si>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</si>
  <si>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</si>
  <si>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</si>
  <si>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</si>
  <si>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</si>
  <si>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</si>
  <si>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</si>
  <si>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</si>
  <si>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</si>
  <si>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</si>
  <si>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</si>
  <si>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</si>
  <si>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</si>
  <si>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</si>
  <si>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</si>
  <si>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</si>
  <si>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</si>
  <si>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</si>
  <si>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</si>
  <si>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</si>
  <si>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</si>
  <si>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</si>
  <si>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</si>
  <si>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</si>
  <si>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</si>
  <si>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</si>
  <si>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</si>
  <si>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</si>
  <si>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</si>
  <si>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</si>
  <si>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</si>
  <si>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</si>
  <si>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</si>
  <si>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</si>
  <si>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</si>
  <si>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</si>
  <si>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</si>
  <si>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</si>
  <si>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</si>
  <si>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</si>
  <si>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</si>
  <si>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</si>
  <si>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</si>
  <si>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</si>
  <si>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</si>
  <si>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</si>
  <si>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</si>
  <si>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</si>
  <si>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</si>
  <si>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</si>
  <si>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</si>
  <si>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</si>
  <si>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</si>
  <si>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</si>
  <si>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</si>
  <si>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</si>
  <si>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</si>
  <si>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</si>
  <si>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</si>
  <si>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</si>
  <si>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</si>
  <si>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</si>
  <si>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</si>
  <si>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</si>
  <si>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</si>
  <si>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</si>
  <si>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</si>
  <si>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</si>
  <si>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</si>
  <si>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</si>
  <si>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</si>
  <si>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</si>
  <si>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</si>
  <si>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</si>
  <si>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</si>
  <si>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</si>
  <si>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</si>
  <si>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</si>
  <si>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</si>
  <si>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</si>
  <si>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</si>
  <si>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</si>
  <si>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</si>
  <si>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</si>
  <si>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</si>
  <si>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</si>
  <si>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</si>
  <si>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</si>
  <si>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</si>
  <si>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</si>
  <si>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</si>
  <si>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</si>
  <si>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</si>
  <si>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</si>
  <si>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</si>
  <si>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</si>
  <si>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</si>
  <si>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</si>
  <si>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</si>
  <si>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</si>
  <si>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</si>
  <si>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</si>
  <si>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</si>
  <si>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</si>
  <si>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</si>
  <si>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</si>
  <si>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</si>
  <si>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</si>
  <si>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</si>
  <si>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</si>
  <si>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</si>
  <si>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</si>
  <si>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</si>
  <si>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</si>
  <si>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</si>
  <si>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</si>
  <si>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</si>
  <si>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</si>
  <si>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</si>
  <si>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</si>
  <si>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</si>
  <si>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</si>
  <si>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</si>
  <si>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</si>
  <si>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</si>
  <si>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</si>
  <si>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</si>
  <si>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</si>
  <si>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</si>
  <si>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</si>
  <si>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</si>
  <si>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</si>
  <si>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</si>
  <si>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</si>
  <si>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</si>
  <si>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</si>
  <si>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</si>
  <si>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</si>
  <si>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</si>
  <si>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</si>
  <si>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</si>
  <si>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</si>
  <si>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</si>
  <si>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</si>
  <si>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</si>
  <si>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</si>
  <si>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</si>
  <si>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</si>
  <si>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</si>
  <si>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</si>
  <si>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</si>
  <si>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</si>
  <si>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</si>
  <si>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</si>
  <si>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</si>
  <si>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</si>
  <si>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</si>
  <si>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</si>
  <si>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</si>
  <si>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</si>
  <si>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</si>
  <si>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</si>
  <si>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</si>
  <si>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</si>
  <si>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</si>
  <si>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</si>
  <si>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</si>
  <si>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</si>
  <si>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</si>
  <si>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</si>
  <si>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</si>
  <si>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</si>
  <si>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</si>
  <si>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</si>
  <si>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</si>
  <si>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</si>
  <si>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</si>
  <si>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</si>
  <si>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</si>
  <si>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</si>
  <si>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</si>
  <si>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</si>
  <si>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</si>
  <si>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</si>
  <si>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</si>
  <si>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</si>
  <si>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</si>
  <si>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</si>
  <si>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</si>
  <si>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</si>
  <si>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</si>
  <si>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</si>
  <si>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</si>
  <si>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</si>
  <si>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</si>
  <si>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</si>
  <si>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</si>
  <si>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</si>
  <si>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</si>
  <si>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</si>
  <si>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</si>
  <si>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</si>
  <si>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</si>
  <si>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</si>
  <si>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</si>
  <si>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</si>
  <si>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</si>
  <si>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</si>
  <si>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</si>
  <si>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</si>
  <si>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</si>
  <si>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</si>
  <si>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</si>
  <si>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</si>
  <si>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</si>
  <si>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</si>
  <si>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</si>
  <si>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</si>
  <si>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</si>
  <si>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</si>
  <si>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</si>
  <si>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</si>
  <si>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</si>
  <si>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</si>
  <si>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</si>
  <si>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</si>
  <si>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</si>
  <si>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</si>
  <si>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</si>
  <si>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</si>
  <si>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</si>
  <si>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</si>
  <si>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</si>
  <si>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</si>
  <si>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</si>
  <si>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</si>
  <si>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</si>
  <si>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</si>
  <si>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</si>
  <si>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</si>
  <si>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</si>
  <si>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</si>
  <si>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</si>
  <si>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</si>
  <si>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</si>
  <si>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</si>
  <si>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</si>
  <si>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</si>
  <si>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</si>
  <si>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</si>
  <si>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</si>
  <si>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</si>
  <si>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</si>
  <si>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</si>
  <si>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</si>
  <si>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</si>
  <si>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</si>
  <si>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</si>
  <si>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</si>
  <si>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</si>
  <si>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</si>
  <si>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</si>
  <si>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</si>
  <si>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</si>
  <si>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</si>
  <si>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</si>
  <si>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</si>
  <si>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</si>
  <si>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</si>
  <si>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</si>
  <si>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</si>
  <si>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</si>
  <si>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</si>
  <si>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</si>
  <si>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</si>
  <si>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</si>
  <si>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</si>
  <si>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</si>
  <si>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</si>
  <si>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</si>
  <si>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</si>
  <si>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</si>
  <si>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</si>
  <si>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</si>
  <si>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</si>
  <si>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</si>
  <si>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</si>
  <si>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</si>
  <si>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</si>
  <si>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</si>
  <si>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</si>
  <si>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</si>
  <si>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</si>
  <si>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</si>
  <si>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</si>
  <si>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</si>
  <si>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</si>
  <si>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</si>
  <si>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</si>
  <si>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</si>
  <si>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</si>
  <si>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</si>
  <si>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</si>
  <si>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</si>
  <si>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</si>
  <si>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</si>
  <si>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</si>
  <si>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</si>
  <si>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</si>
  <si>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</si>
  <si>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</si>
  <si>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</si>
  <si>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</si>
  <si>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</si>
  <si>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</si>
  <si>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</si>
  <si>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</si>
  <si>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</si>
  <si>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</si>
  <si>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</si>
  <si>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</si>
  <si>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</si>
  <si>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</si>
  <si>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</si>
  <si>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</si>
  <si>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</si>
  <si>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</si>
  <si>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</si>
  <si>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</si>
  <si>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</si>
  <si>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</si>
  <si>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</si>
  <si>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</si>
  <si>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</si>
  <si>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</si>
  <si>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</si>
  <si>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</si>
  <si>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</si>
  <si>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</si>
  <si>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</si>
  <si>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</si>
  <si>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</si>
  <si>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</si>
  <si>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</si>
  <si>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</si>
  <si>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</si>
  <si>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</si>
  <si>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</si>
  <si>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</si>
  <si>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</si>
  <si>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</si>
  <si>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</si>
  <si>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</si>
  <si>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</si>
  <si>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</si>
  <si>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</si>
  <si>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</si>
  <si>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</si>
  <si>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</si>
  <si>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</si>
  <si>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</si>
  <si>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</si>
  <si>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</si>
  <si>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</si>
  <si>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</si>
  <si>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</si>
  <si>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</si>
  <si>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</si>
  <si>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</si>
  <si>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</si>
  <si>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</si>
  <si>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</si>
  <si>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</si>
  <si>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</si>
  <si>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</si>
  <si>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</si>
  <si>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</si>
  <si>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</si>
  <si>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</si>
  <si>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</si>
  <si>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</si>
  <si>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</si>
  <si>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</si>
  <si>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</si>
  <si>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</si>
  <si>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</si>
  <si>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</si>
  <si>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</si>
  <si>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</si>
  <si>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</si>
  <si>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</si>
  <si>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</si>
  <si>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</si>
  <si>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</si>
  <si>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</si>
  <si>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</si>
  <si>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</si>
  <si>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</si>
  <si>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</si>
  <si>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</si>
  <si>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</si>
  <si>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</si>
  <si>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</si>
  <si>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</si>
  <si>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</si>
  <si>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</si>
  <si>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</si>
  <si>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</si>
  <si>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</si>
  <si>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</si>
  <si>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</si>
  <si>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</si>
  <si>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</si>
  <si>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</si>
  <si>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</si>
  <si>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</si>
  <si>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</si>
  <si>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</si>
  <si>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</si>
  <si>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</si>
  <si>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</si>
  <si>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</si>
  <si>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</si>
  <si>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</si>
  <si>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</si>
  <si>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</si>
  <si>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</si>
  <si>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</si>
  <si>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</si>
  <si>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</si>
  <si>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</si>
  <si>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</si>
  <si>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</si>
  <si>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</si>
  <si>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</si>
  <si>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</si>
  <si>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</si>
  <si>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</si>
  <si>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</si>
  <si>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</si>
  <si>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</si>
  <si>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</si>
  <si>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</si>
  <si>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</si>
  <si>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</si>
  <si>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</si>
  <si>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</si>
  <si>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</si>
  <si>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</si>
  <si>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</si>
  <si>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</si>
  <si>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</si>
  <si>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</si>
  <si>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</si>
  <si>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</si>
  <si>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</si>
  <si>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</si>
  <si>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</si>
  <si>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</si>
  <si>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</si>
  <si>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</si>
  <si>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</si>
  <si>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</si>
  <si>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</si>
  <si>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</si>
  <si>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</si>
  <si>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</si>
  <si>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</si>
  <si>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</si>
  <si>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</si>
  <si>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</si>
  <si>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</si>
  <si>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</si>
  <si>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</si>
  <si>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</si>
  <si>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</si>
  <si>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</si>
  <si>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</si>
  <si>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</si>
  <si>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</si>
  <si>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</si>
  <si>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</si>
  <si>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</si>
  <si>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</si>
  <si>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</si>
  <si>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</si>
  <si>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</si>
  <si>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</si>
  <si>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</si>
  <si>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</si>
  <si>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</si>
  <si>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</si>
  <si>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</si>
  <si>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</si>
  <si>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</si>
  <si>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</si>
  <si>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</si>
  <si>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</si>
  <si>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</si>
  <si>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</si>
  <si>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</si>
  <si>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</si>
  <si>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</si>
  <si>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</si>
  <si>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</si>
  <si>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</si>
  <si>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</si>
  <si>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</si>
  <si>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</si>
  <si>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</si>
  <si>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</si>
  <si>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</si>
  <si>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</si>
  <si>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</si>
  <si>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</si>
  <si>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</si>
  <si>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</si>
  <si>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</si>
  <si>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</si>
  <si>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</si>
  <si>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</si>
  <si>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</si>
  <si>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</si>
  <si>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</si>
  <si>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</si>
  <si>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</si>
  <si>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</si>
  <si>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</si>
  <si>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</si>
  <si>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</si>
  <si>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</si>
  <si>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</si>
  <si>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</si>
  <si>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</si>
  <si>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</si>
  <si>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</si>
  <si>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</si>
  <si>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</si>
  <si>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</si>
  <si>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</si>
  <si>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</si>
  <si>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</si>
  <si>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</si>
  <si>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</si>
  <si>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</si>
  <si>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</si>
  <si>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</si>
  <si>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</si>
  <si>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</si>
  <si>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</si>
  <si>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</si>
  <si>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</si>
  <si>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</si>
  <si>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</si>
  <si>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</si>
  <si>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</si>
  <si>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</si>
  <si>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</si>
  <si>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</si>
  <si>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</si>
  <si>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</si>
  <si>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</si>
  <si>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</si>
  <si>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</si>
  <si>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</si>
  <si>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</si>
  <si>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</si>
  <si>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</si>
  <si>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</si>
  <si>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</si>
  <si>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</si>
  <si>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</si>
  <si>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</si>
  <si>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</si>
  <si>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</si>
  <si>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</si>
  <si>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</si>
  <si>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</si>
  <si>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</si>
  <si>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</si>
  <si>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</si>
  <si>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</si>
  <si>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</si>
  <si>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</si>
  <si>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</si>
  <si>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</si>
  <si>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</si>
  <si>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</si>
  <si>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</si>
  <si>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</si>
  <si>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</si>
  <si>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</si>
  <si>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</si>
  <si>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</si>
  <si>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</si>
  <si>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</si>
  <si>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</si>
  <si>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</si>
  <si>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</si>
  <si>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</si>
  <si>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</si>
  <si>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</si>
  <si>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</si>
  <si>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</si>
  <si>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</si>
  <si>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</si>
  <si>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</si>
  <si>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</si>
  <si>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</si>
  <si>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</si>
  <si>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</si>
  <si>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</si>
  <si>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</si>
  <si>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</si>
  <si>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</si>
  <si>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</si>
  <si>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</si>
  <si>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</si>
  <si>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</si>
  <si>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</si>
  <si>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</si>
  <si>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</si>
  <si>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</si>
  <si>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</si>
  <si>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</si>
  <si>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</si>
  <si>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</si>
  <si>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</si>
  <si>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</si>
  <si>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</si>
  <si>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</si>
  <si>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</si>
  <si>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</si>
  <si>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</si>
  <si>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</si>
  <si>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</si>
  <si>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</si>
  <si>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</si>
  <si>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</si>
  <si>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</si>
  <si>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</si>
  <si>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</si>
  <si>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</si>
  <si>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</si>
  <si>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</si>
  <si>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</si>
  <si>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</si>
  <si>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</si>
  <si>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</si>
  <si>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</si>
  <si>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</si>
  <si>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</si>
  <si>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</si>
  <si>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</si>
  <si>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</si>
  <si>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</si>
  <si>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</si>
  <si>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</si>
  <si>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</si>
  <si>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</si>
  <si>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</si>
  <si>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</si>
  <si>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</si>
  <si>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</si>
  <si>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</si>
  <si>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</si>
  <si>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</si>
  <si>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</si>
  <si>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</si>
  <si>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</si>
  <si>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</si>
  <si>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</si>
  <si>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</si>
  <si>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</si>
  <si>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</si>
  <si>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</si>
  <si>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</si>
  <si>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</si>
  <si>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</si>
  <si>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</si>
  <si>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</si>
  <si>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</si>
  <si>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</si>
  <si>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</si>
  <si>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</si>
  <si>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</si>
  <si>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</si>
  <si>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</si>
  <si>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</si>
  <si>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</si>
  <si>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</si>
  <si>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</si>
  <si>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</si>
  <si>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</si>
  <si>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</si>
  <si>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</si>
  <si>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</si>
  <si>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</si>
  <si>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</si>
  <si>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</si>
  <si>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</si>
  <si>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</si>
  <si>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</si>
  <si>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</si>
  <si>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</si>
  <si>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</si>
  <si>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</si>
  <si>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</si>
  <si>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</si>
  <si>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</si>
  <si>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</si>
  <si>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</si>
  <si>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</si>
  <si>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</si>
  <si>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</si>
  <si>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</si>
  <si>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</si>
  <si>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</si>
  <si>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</si>
  <si>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</si>
  <si>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</si>
  <si>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</si>
  <si>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核定资产</t>
  </si>
  <si>
    <t>房地产市场价值</t>
  </si>
  <si>
    <t>北京市</t>
  </si>
  <si>
    <t>企业</t>
  </si>
  <si>
    <t>3号楼</t>
  </si>
  <si>
    <t>序号</t>
  </si>
  <si>
    <t>楼层</t>
  </si>
  <si>
    <t>房号</t>
  </si>
  <si>
    <t>面积</t>
  </si>
  <si>
    <t>类别</t>
  </si>
  <si>
    <t>总价</t>
  </si>
  <si>
    <t>单价</t>
  </si>
  <si>
    <t>均为2017年建成</t>
  </si>
  <si>
    <t>1-2层</t>
  </si>
  <si>
    <t>跃层</t>
  </si>
  <si>
    <t>本项目</t>
  </si>
  <si>
    <t>中指售价</t>
  </si>
  <si>
    <t>商住</t>
  </si>
  <si>
    <t>14.5万/个</t>
    <phoneticPr fontId="134" type="noConversion"/>
  </si>
  <si>
    <t>1层</t>
  </si>
  <si>
    <t>小计</t>
  </si>
  <si>
    <t>层数</t>
  </si>
  <si>
    <t>建筑面积</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</si>
  <si>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</si>
  <si>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</si>
  <si>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</si>
  <si>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</si>
  <si>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</si>
  <si>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</si>
  <si>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</si>
  <si>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</si>
  <si>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</si>
  <si>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</si>
  <si>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</si>
  <si>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</si>
  <si>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</si>
  <si>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</si>
  <si>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</si>
  <si>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</si>
  <si>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</si>
  <si>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</si>
  <si>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</si>
  <si>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</si>
  <si>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</si>
  <si>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</si>
  <si>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</si>
  <si>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</si>
  <si>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</si>
  <si>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</si>
  <si>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</si>
  <si>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</si>
  <si>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</si>
  <si>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</si>
  <si>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</si>
  <si>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</si>
  <si>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</si>
  <si>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</si>
  <si>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</si>
  <si>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</si>
  <si>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</si>
  <si>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</si>
  <si>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</si>
  <si>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</si>
  <si>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</si>
  <si>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</si>
  <si>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</si>
  <si>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</si>
  <si>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</si>
  <si>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</si>
  <si>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</si>
  <si>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</si>
  <si>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</si>
  <si>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</si>
  <si>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</si>
  <si>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</si>
  <si>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</si>
  <si>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</si>
  <si>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</si>
  <si>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</si>
  <si>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</si>
  <si>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</si>
  <si>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</si>
  <si>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</si>
  <si>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</si>
  <si>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</si>
  <si>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</si>
  <si>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</si>
  <si>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</si>
  <si>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</si>
  <si>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</si>
  <si>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</si>
  <si>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</si>
  <si>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</si>
  <si>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</si>
  <si>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</si>
  <si>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</si>
  <si>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</si>
  <si>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</si>
  <si>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</si>
  <si>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</si>
  <si>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</si>
  <si>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</si>
  <si>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</si>
  <si>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</si>
  <si>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</si>
  <si>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</si>
  <si>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</si>
  <si>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</si>
  <si>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</si>
  <si>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</si>
  <si>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</si>
  <si>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</si>
  <si>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</si>
  <si>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</si>
  <si>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</si>
  <si>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</si>
  <si>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</si>
  <si>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</si>
  <si>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</si>
  <si>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</si>
  <si>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</si>
  <si>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</si>
  <si>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</si>
  <si>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</si>
  <si>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</si>
  <si>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</si>
  <si>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</si>
  <si>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</si>
  <si>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</si>
  <si>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</si>
  <si>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</si>
  <si>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</si>
  <si>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</si>
  <si>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</si>
  <si>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</si>
  <si>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</si>
  <si>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</si>
  <si>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</si>
  <si>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</si>
  <si>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</si>
  <si>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</si>
  <si>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</si>
  <si>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</si>
  <si>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</si>
  <si>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</si>
  <si>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</si>
  <si>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</si>
  <si>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</si>
  <si>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</si>
  <si>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</si>
  <si>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</si>
  <si>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</si>
  <si>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</si>
  <si>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</si>
  <si>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</si>
  <si>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</si>
  <si>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</si>
  <si>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</si>
  <si>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</si>
  <si>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</si>
  <si>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</si>
  <si>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</si>
  <si>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</si>
  <si>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</si>
  <si>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</si>
  <si>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</si>
  <si>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</si>
  <si>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</si>
  <si>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</si>
  <si>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</si>
  <si>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</si>
  <si>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</si>
  <si>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</si>
  <si>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</si>
  <si>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</si>
  <si>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</si>
  <si>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</si>
  <si>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</si>
  <si>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</si>
  <si>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</si>
  <si>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</si>
  <si>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</si>
  <si>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</si>
  <si>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</si>
  <si>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</si>
  <si>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</si>
  <si>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</si>
  <si>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</si>
  <si>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</si>
  <si>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</si>
  <si>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</si>
  <si>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</si>
  <si>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</si>
  <si>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</si>
  <si>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</si>
  <si>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</si>
  <si>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</si>
  <si>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</si>
  <si>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</si>
  <si>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</si>
  <si>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</si>
  <si>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</si>
  <si>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</si>
  <si>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</si>
  <si>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</si>
  <si>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</si>
  <si>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</si>
  <si>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</si>
  <si>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</si>
  <si>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</si>
  <si>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</si>
  <si>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</si>
  <si>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</si>
  <si>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</si>
  <si>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</si>
  <si>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</si>
  <si>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</si>
  <si>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</si>
  <si>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</si>
  <si>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</si>
  <si>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</si>
  <si>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</si>
  <si>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</si>
  <si>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</si>
  <si>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</si>
  <si>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</si>
  <si>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</si>
  <si>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</si>
  <si>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</si>
  <si>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</si>
  <si>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</si>
  <si>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</si>
  <si>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</si>
  <si>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</si>
  <si>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</si>
  <si>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</si>
  <si>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</si>
  <si>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</si>
  <si>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</si>
  <si>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</si>
  <si>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</si>
  <si>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</si>
  <si>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</si>
  <si>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</si>
  <si>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</si>
  <si>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</si>
  <si>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</si>
  <si>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</si>
  <si>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</si>
  <si>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</si>
  <si>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</si>
  <si>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</si>
  <si>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</si>
  <si>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</si>
  <si>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</si>
  <si>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</si>
  <si>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</si>
  <si>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</si>
  <si>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</si>
  <si>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</si>
  <si>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</si>
  <si>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</si>
  <si>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</si>
  <si>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</si>
  <si>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</si>
  <si>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</si>
  <si>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</si>
  <si>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</si>
  <si>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</si>
  <si>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</si>
  <si>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</si>
  <si>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</si>
  <si>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</si>
  <si>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</si>
  <si>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</si>
  <si>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</si>
  <si>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</si>
  <si>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</si>
  <si>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</si>
  <si>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</si>
  <si>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</si>
  <si>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</si>
  <si>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</si>
  <si>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</si>
  <si>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</si>
  <si>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</si>
  <si>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</si>
  <si>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</si>
  <si>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</si>
  <si>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</si>
  <si>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</si>
  <si>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</si>
  <si>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</si>
  <si>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</si>
  <si>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</si>
  <si>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</si>
  <si>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</si>
  <si>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</si>
  <si>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</si>
  <si>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</si>
  <si>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</si>
  <si>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</si>
  <si>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</si>
  <si>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</si>
  <si>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</si>
  <si>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</si>
  <si>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</si>
  <si>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</si>
  <si>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</si>
  <si>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</si>
  <si>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</si>
  <si>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</si>
  <si>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</si>
  <si>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</si>
  <si>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</si>
  <si>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</si>
  <si>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</si>
  <si>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</si>
  <si>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</si>
  <si>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</si>
  <si>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</si>
  <si>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</si>
  <si>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</si>
  <si>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</si>
  <si>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</si>
  <si>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</si>
  <si>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</si>
  <si>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</si>
  <si>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</si>
  <si>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</si>
  <si>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</si>
  <si>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</si>
  <si>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</si>
  <si>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</si>
  <si>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</si>
  <si>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</si>
  <si>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</si>
  <si>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</si>
  <si>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</si>
  <si>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</si>
  <si>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</si>
  <si>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</si>
  <si>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</si>
  <si>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</si>
  <si>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</si>
  <si>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</si>
  <si>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</si>
  <si>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</si>
  <si>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</si>
  <si>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</si>
  <si>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</si>
  <si>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</si>
  <si>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</si>
  <si>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</si>
  <si>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</si>
  <si>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</si>
  <si>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</si>
  <si>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</si>
  <si>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</si>
  <si>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</si>
  <si>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</si>
  <si>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</si>
  <si>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</si>
  <si>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</si>
  <si>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</si>
  <si>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</si>
  <si>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</si>
  <si>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</si>
  <si>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</si>
  <si>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</si>
  <si>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</si>
  <si>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</si>
  <si>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</si>
  <si>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</si>
  <si>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</si>
  <si>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</si>
  <si>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</si>
  <si>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</si>
  <si>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</si>
  <si>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</si>
  <si>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</si>
  <si>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</si>
  <si>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</si>
  <si>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</si>
  <si>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</si>
  <si>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</si>
  <si>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</si>
  <si>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</si>
  <si>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</si>
  <si>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</si>
  <si>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</si>
  <si>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</si>
  <si>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</si>
  <si>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</si>
  <si>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</si>
  <si>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</si>
  <si>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</si>
  <si>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</si>
  <si>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</si>
  <si>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</si>
  <si>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</si>
  <si>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</si>
  <si>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</si>
  <si>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</si>
  <si>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</si>
  <si>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</si>
  <si>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</si>
  <si>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</si>
  <si>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</si>
  <si>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</si>
  <si>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</si>
  <si>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</si>
  <si>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</si>
  <si>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</si>
  <si>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</si>
  <si>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</si>
  <si>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</si>
  <si>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</si>
  <si>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</si>
  <si>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</si>
  <si>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</si>
  <si>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</si>
  <si>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</si>
  <si>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</si>
  <si>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</si>
  <si>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</si>
  <si>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</si>
  <si>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</si>
  <si>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</si>
  <si>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</si>
  <si>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</si>
  <si>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</si>
  <si>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</si>
  <si>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</si>
  <si>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1号楼</t>
  </si>
  <si>
    <t>公寓</t>
  </si>
  <si>
    <t>总14层</t>
  </si>
  <si>
    <t>112</t>
  </si>
  <si>
    <t>4号楼</t>
  </si>
  <si>
    <t>办公自用</t>
  </si>
  <si>
    <t>总24层</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</si>
  <si>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</si>
  <si>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</si>
  <si>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</si>
  <si>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</si>
  <si>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</si>
  <si>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</si>
  <si>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</si>
  <si>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</si>
  <si>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</si>
  <si>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</si>
  <si>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</si>
  <si>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</si>
  <si>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</si>
  <si>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</si>
  <si>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</si>
  <si>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</si>
  <si>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</si>
  <si>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</si>
  <si>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</si>
  <si>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</si>
  <si>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</si>
  <si>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</si>
  <si>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</si>
  <si>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</si>
  <si>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</si>
  <si>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</si>
  <si>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</si>
  <si>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</si>
  <si>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</si>
  <si>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</si>
  <si>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</si>
  <si>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</si>
  <si>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</si>
  <si>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</si>
  <si>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</si>
  <si>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</si>
  <si>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</si>
  <si>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</si>
  <si>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</si>
  <si>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</si>
  <si>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</si>
  <si>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</si>
  <si>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</si>
  <si>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</si>
  <si>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</si>
  <si>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</si>
  <si>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</si>
  <si>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</si>
  <si>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</si>
  <si>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</si>
  <si>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</si>
  <si>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</si>
  <si>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</si>
  <si>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</si>
  <si>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</si>
  <si>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</si>
  <si>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</si>
  <si>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</si>
  <si>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</si>
  <si>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</si>
  <si>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</si>
  <si>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</si>
  <si>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</si>
  <si>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</si>
  <si>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</si>
  <si>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</si>
  <si>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</si>
  <si>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</si>
  <si>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</si>
  <si>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</si>
  <si>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</si>
  <si>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</si>
  <si>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</si>
  <si>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</si>
  <si>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</si>
  <si>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</si>
  <si>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</si>
  <si>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</si>
  <si>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</si>
  <si>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</si>
  <si>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</si>
  <si>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</si>
  <si>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</si>
  <si>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</si>
  <si>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</si>
  <si>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</si>
  <si>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</si>
  <si>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</si>
  <si>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</si>
  <si>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</si>
  <si>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</si>
  <si>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</si>
  <si>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</si>
  <si>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</si>
  <si>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</si>
  <si>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</si>
  <si>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</si>
  <si>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</si>
  <si>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</si>
  <si>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</si>
  <si>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</si>
  <si>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</si>
  <si>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</si>
  <si>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</si>
  <si>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</si>
  <si>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</si>
  <si>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</si>
  <si>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</si>
  <si>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</si>
  <si>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</si>
  <si>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</si>
  <si>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</si>
  <si>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</si>
  <si>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</si>
  <si>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</si>
  <si>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</si>
  <si>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</si>
  <si>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</si>
  <si>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</si>
  <si>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</si>
  <si>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</si>
  <si>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</si>
  <si>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</si>
  <si>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</si>
  <si>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</si>
  <si>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</si>
  <si>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</si>
  <si>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</si>
  <si>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</si>
  <si>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</si>
  <si>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</si>
  <si>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</si>
  <si>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</si>
  <si>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</si>
  <si>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</si>
  <si>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</si>
  <si>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</si>
  <si>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</si>
  <si>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</si>
  <si>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</si>
  <si>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</si>
  <si>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</si>
  <si>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</si>
  <si>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</si>
  <si>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</si>
  <si>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</si>
  <si>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</si>
  <si>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</si>
  <si>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</si>
  <si>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</si>
  <si>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</si>
  <si>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</si>
  <si>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</si>
  <si>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</si>
  <si>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</si>
  <si>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</si>
  <si>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</si>
  <si>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</si>
  <si>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</si>
  <si>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</si>
  <si>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</si>
  <si>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</si>
  <si>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</si>
  <si>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</si>
  <si>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</si>
  <si>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</si>
  <si>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</si>
  <si>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</si>
  <si>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</si>
  <si>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</si>
  <si>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地上</t>
  </si>
  <si>
    <t>基准商业</t>
  </si>
  <si>
    <t>剩余商业</t>
  </si>
  <si>
    <t>基准办公</t>
  </si>
  <si>
    <t>剩余办公</t>
  </si>
  <si>
    <t>是</t>
  </si>
  <si>
    <t>成新度</t>
  </si>
  <si>
    <t>收益法 (元)</t>
  </si>
  <si>
    <t>押一</t>
  </si>
  <si>
    <t>钢混</t>
  </si>
  <si>
    <t>非生产用房</t>
  </si>
  <si>
    <t>否</t>
  </si>
  <si>
    <t>硅谷SOHO</t>
    <phoneticPr fontId="3" type="noConversion"/>
  </si>
  <si>
    <t>嘉诚中心</t>
    <phoneticPr fontId="3" type="noConversion"/>
  </si>
  <si>
    <t>一般</t>
  </si>
  <si>
    <t>一般</t>
    <phoneticPr fontId="24"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</si>
  <si>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</si>
  <si>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</si>
  <si>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phoneticPr fontId="24" type="noConversion"/>
  </si>
  <si>
    <t>正常</t>
  </si>
  <si>
    <t>多层商务楼</t>
    <phoneticPr fontId="3" type="noConversion"/>
  </si>
  <si>
    <t>高层塔楼</t>
    <phoneticPr fontId="3" type="noConversion"/>
  </si>
  <si>
    <t>精装修</t>
  </si>
  <si>
    <t>普通装修</t>
  </si>
  <si>
    <t>简单装修</t>
  </si>
  <si>
    <t>毛坯</t>
  </si>
  <si>
    <t>甲级</t>
  </si>
  <si>
    <t>专业</t>
  </si>
  <si>
    <t>六通</t>
  </si>
  <si>
    <t>现状</t>
    <phoneticPr fontId="31" type="noConversion"/>
  </si>
  <si>
    <t>办公</t>
    <phoneticPr fontId="31" type="noConversion"/>
  </si>
  <si>
    <t>公寓</t>
    <phoneticPr fontId="31" type="noConversion"/>
  </si>
  <si>
    <t>高层塔楼</t>
  </si>
  <si>
    <t>较好</t>
  </si>
  <si>
    <t>多层商务楼</t>
  </si>
  <si>
    <t>单套模式</t>
  </si>
  <si>
    <t>售价</t>
  </si>
  <si>
    <t>报价</t>
  </si>
  <si>
    <t>报价</t>
    <phoneticPr fontId="31" type="noConversion"/>
  </si>
  <si>
    <t>20-30（含）</t>
  </si>
  <si>
    <t>40-50（含）</t>
  </si>
  <si>
    <t>60-70（含）</t>
  </si>
  <si>
    <t>50-60（含）</t>
  </si>
  <si>
    <t>30-40（含）</t>
  </si>
  <si>
    <t>10-20（含）</t>
  </si>
  <si>
    <t>建筑面积</t>
    <phoneticPr fontId="134" type="noConversion"/>
  </si>
  <si>
    <t>现房</t>
  </si>
  <si>
    <t>项目局部</t>
  </si>
  <si>
    <t>比较法-办公</t>
  </si>
  <si>
    <t>现状利用</t>
    <phoneticPr fontId="3" type="noConversion"/>
  </si>
  <si>
    <r>
      <rPr>
        <sz val="10"/>
        <color theme="1"/>
        <rFont val="宋体"/>
        <family val="3"/>
        <charset val="134"/>
      </rPr>
      <t>修正系数</t>
    </r>
    <phoneticPr fontId="3" type="noConversion"/>
  </si>
  <si>
    <t>办公</t>
    <phoneticPr fontId="24" type="noConversion"/>
  </si>
  <si>
    <t>公寓</t>
    <phoneticPr fontId="24" type="noConversion"/>
  </si>
  <si>
    <t>中区</t>
    <phoneticPr fontId="24" type="noConversion"/>
  </si>
  <si>
    <t>高区</t>
    <phoneticPr fontId="24" type="noConversion"/>
  </si>
  <si>
    <t>层高</t>
    <phoneticPr fontId="3" type="noConversion"/>
  </si>
  <si>
    <t>收益法商</t>
  </si>
  <si>
    <t>收益法商</t>
    <phoneticPr fontId="16" type="noConversion"/>
  </si>
  <si>
    <t>鼓楼西街商铺</t>
  </si>
  <si>
    <t>昌平地铁口商铺</t>
  </si>
  <si>
    <t>项目位置</t>
  </si>
  <si>
    <t>单面临街</t>
  </si>
  <si>
    <t>独立商业</t>
  </si>
  <si>
    <t>普装</t>
  </si>
  <si>
    <t>精装</t>
  </si>
  <si>
    <t>好</t>
  </si>
  <si>
    <t>商业</t>
    <phoneticPr fontId="134" type="noConversion"/>
  </si>
  <si>
    <r>
      <rPr>
        <sz val="11"/>
        <color indexed="8"/>
        <rFont val="Arial"/>
        <family val="2"/>
      </rPr>
      <t>20-30</t>
    </r>
    <r>
      <rPr>
        <sz val="11"/>
        <color indexed="8"/>
        <rFont val="宋体"/>
        <family val="3"/>
        <charset val="134"/>
      </rPr>
      <t>（含）</t>
    </r>
  </si>
  <si>
    <t>办公底商</t>
  </si>
  <si>
    <t>不可餐饮</t>
  </si>
  <si>
    <t>超高层高</t>
  </si>
  <si>
    <t>报价</t>
    <phoneticPr fontId="3" type="noConversion"/>
  </si>
  <si>
    <t>多面临街</t>
  </si>
  <si>
    <t>双面临街</t>
  </si>
  <si>
    <t>不临街</t>
  </si>
  <si>
    <t>较差</t>
  </si>
  <si>
    <t>差</t>
  </si>
  <si>
    <r>
      <rPr>
        <sz val="11"/>
        <color indexed="8"/>
        <rFont val="Arial"/>
        <family val="2"/>
      </rPr>
      <t>1-2</t>
    </r>
    <r>
      <rPr>
        <sz val="11"/>
        <color indexed="8"/>
        <rFont val="宋体"/>
        <family val="3"/>
        <charset val="134"/>
      </rPr>
      <t>层</t>
    </r>
  </si>
  <si>
    <t>住宅底商</t>
  </si>
  <si>
    <t>标准层高</t>
  </si>
  <si>
    <t>五通</t>
  </si>
  <si>
    <t>可餐饮</t>
  </si>
  <si>
    <t>比较法-商业</t>
  </si>
  <si>
    <t>层高</t>
    <phoneticPr fontId="134" type="noConversion"/>
  </si>
  <si>
    <t>硅谷SOHO办公</t>
    <phoneticPr fontId="134" type="noConversion"/>
  </si>
  <si>
    <t>硅谷SOHO商业</t>
    <phoneticPr fontId="134" type="noConversion"/>
  </si>
  <si>
    <t>玖瀛府</t>
    <phoneticPr fontId="134" type="noConversion"/>
  </si>
  <si>
    <t>中关村兴业创业园</t>
    <phoneticPr fontId="3" type="noConversion"/>
  </si>
  <si>
    <t>中国气象科技园</t>
    <phoneticPr fontId="3" type="noConversion"/>
  </si>
  <si>
    <t>租金</t>
  </si>
  <si>
    <t>中关村昌平园科技大厦</t>
    <phoneticPr fontId="3" type="noConversion"/>
  </si>
  <si>
    <t>乐华仕健康产业园</t>
    <phoneticPr fontId="3" type="noConversion"/>
  </si>
  <si>
    <t>鼓楼北街商铺</t>
    <phoneticPr fontId="134" type="noConversion"/>
  </si>
  <si>
    <t>昌平北环路商铺</t>
    <phoneticPr fontId="134" type="noConversion"/>
  </si>
  <si>
    <t>鼓楼南街商铺</t>
    <phoneticPr fontId="134" type="noConversion"/>
  </si>
  <si>
    <t>较好</t>
    <phoneticPr fontId="24" type="noConversion"/>
  </si>
  <si>
    <t>工业立项办公</t>
  </si>
  <si>
    <t>工业立项办公</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</si>
</sst>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10"/>
      <color rgb="FFFF0000"/>
      <name val="宋体"/>
      <family val="3"/>
      <charset val="134"/>
      <scheme val="minor"/>
    </font>
    <font>
      <sz val="1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83" fontId="61" fillId="0" borderId="1" xfId="0" applyNumberFormat="1" applyFont="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10" applyFont="1" applyAlignment="1">
      <alignment horizontal="left" vertical="center"/>
    </xf>
    <xf numFmtId="0" fontId="107" fillId="0" borderId="13" xfId="10" applyFont="1" applyBorder="1">
      <alignment vertical="center"/>
    </xf>
    <xf numFmtId="0" fontId="107" fillId="0" borderId="1" xfId="10" applyFont="1" applyBorder="1" applyAlignment="1">
      <alignment horizontal="left" vertical="center"/>
    </xf>
    <xf numFmtId="0" fontId="107" fillId="7" borderId="1" xfId="10" applyFont="1" applyFill="1" applyBorder="1" applyAlignment="1">
      <alignment horizontal="left" vertical="center"/>
    </xf>
    <xf numFmtId="0" fontId="107" fillId="0" borderId="15" xfId="10" applyFont="1" applyBorder="1">
      <alignment vertical="center"/>
    </xf>
    <xf numFmtId="58" fontId="107" fillId="0" borderId="1" xfId="10" applyNumberFormat="1" applyFont="1" applyBorder="1" applyAlignment="1">
      <alignment horizontal="left" vertical="center"/>
    </xf>
    <xf numFmtId="57" fontId="107" fillId="0" borderId="1" xfId="10" applyNumberFormat="1" applyFont="1" applyBorder="1" applyAlignment="1">
      <alignment horizontal="left" vertical="center"/>
    </xf>
    <xf numFmtId="58" fontId="270" fillId="0" borderId="1" xfId="10" applyNumberFormat="1" applyFont="1" applyBorder="1" applyAlignment="1">
      <alignment horizontal="left" vertical="center"/>
    </xf>
    <xf numFmtId="0" fontId="270" fillId="0" borderId="1" xfId="10" applyFont="1" applyBorder="1" applyAlignment="1">
      <alignment horizontal="left" vertical="center"/>
    </xf>
    <xf numFmtId="0" fontId="107" fillId="0" borderId="13" xfId="10" applyFont="1" applyBorder="1" applyAlignment="1">
      <alignment horizontal="left" vertical="center"/>
    </xf>
    <xf numFmtId="58" fontId="107" fillId="0" borderId="13" xfId="10" applyNumberFormat="1" applyFont="1" applyBorder="1" applyAlignment="1">
      <alignment horizontal="left" vertical="center"/>
    </xf>
    <xf numFmtId="0" fontId="107" fillId="7" borderId="13" xfId="10" applyFont="1" applyFill="1" applyBorder="1" applyAlignment="1">
      <alignment horizontal="left" vertical="center"/>
    </xf>
    <xf numFmtId="0" fontId="271" fillId="0" borderId="1" xfId="10" applyFont="1" applyBorder="1" applyAlignment="1">
      <alignment horizontal="left" vertical="center"/>
    </xf>
    <xf numFmtId="0" fontId="271" fillId="0" borderId="1" xfId="10" applyFont="1" applyBorder="1" applyAlignment="1">
      <alignment horizontal="center" vertical="center"/>
    </xf>
    <xf numFmtId="0" fontId="271" fillId="0" borderId="1" xfId="10" applyFont="1" applyBorder="1" applyAlignment="1">
      <alignment horizontal="center"/>
    </xf>
    <xf numFmtId="49" fontId="271" fillId="0" borderId="1" xfId="10" applyNumberFormat="1" applyFont="1" applyBorder="1" applyAlignment="1">
      <alignment horizontal="center" vertical="center" shrinkToFit="1"/>
    </xf>
    <xf numFmtId="0" fontId="77" fillId="7" borderId="1" xfId="10" applyFont="1" applyFill="1" applyBorder="1" applyAlignment="1">
      <alignment horizontal="center" vertical="center"/>
    </xf>
    <xf numFmtId="176" fontId="77" fillId="7" borderId="1" xfId="10" applyNumberFormat="1" applyFont="1" applyFill="1" applyBorder="1" applyAlignment="1">
      <alignment horizontal="center" vertical="center"/>
    </xf>
    <xf numFmtId="0" fontId="271" fillId="0" borderId="0" xfId="10" applyFont="1" applyAlignment="1">
      <alignment horizontal="left" vertical="center"/>
    </xf>
    <xf numFmtId="0" fontId="19" fillId="7" borderId="1" xfId="10" applyFont="1" applyFill="1" applyBorder="1" applyAlignment="1">
      <alignment horizontal="center" vertical="center"/>
    </xf>
    <xf numFmtId="0" fontId="270" fillId="0" borderId="1" xfId="10" applyFont="1" applyBorder="1" applyAlignment="1">
      <alignment horizontal="center" vertical="center"/>
    </xf>
    <xf numFmtId="0" fontId="270" fillId="0" borderId="1" xfId="10" applyFont="1" applyBorder="1" applyAlignment="1">
      <alignment horizontal="center"/>
    </xf>
    <xf numFmtId="49" fontId="270" fillId="0" borderId="1" xfId="10" applyNumberFormat="1" applyFont="1" applyBorder="1" applyAlignment="1">
      <alignment horizontal="center" vertical="center" shrinkToFit="1"/>
    </xf>
    <xf numFmtId="177" fontId="99" fillId="0" borderId="1" xfId="1" applyNumberFormat="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2" fontId="0" fillId="0" borderId="0" xfId="0" applyNumberFormat="1">
      <alignment vertical="center"/>
    </xf>
    <xf numFmtId="49" fontId="47" fillId="0" borderId="1" xfId="0" applyNumberFormat="1" applyFont="1" applyBorder="1" applyProtection="1">
      <alignment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47" fillId="8" borderId="1" xfId="0" applyNumberFormat="1"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49" fontId="102"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49" fontId="99" fillId="0" borderId="1" xfId="0" applyNumberFormat="1" applyFont="1" applyBorder="1" applyProtection="1">
      <alignment vertical="center"/>
      <protection locked="0"/>
    </xf>
    <xf numFmtId="0" fontId="99" fillId="6" borderId="32" xfId="0" applyFont="1" applyFill="1" applyBorder="1" applyAlignment="1">
      <alignment horizontal="center" vertical="center"/>
    </xf>
    <xf numFmtId="0" fontId="99" fillId="6" borderId="31" xfId="0" applyFont="1" applyFill="1" applyBorder="1" applyAlignment="1">
      <alignment horizontal="center" vertical="center" wrapText="1"/>
    </xf>
    <xf numFmtId="0" fontId="99" fillId="6" borderId="59" xfId="0" applyFont="1" applyFill="1" applyBorder="1" applyAlignment="1">
      <alignment horizontal="center" vertical="center" wrapText="1"/>
    </xf>
    <xf numFmtId="0" fontId="99" fillId="6" borderId="56" xfId="0" applyFont="1" applyFill="1" applyBorder="1" applyAlignment="1">
      <alignment horizontal="center" vertical="center" wrapText="1"/>
    </xf>
    <xf numFmtId="0" fontId="99" fillId="0" borderId="113" xfId="0" applyFont="1" applyBorder="1" applyAlignment="1" applyProtection="1">
      <alignment horizontal="center" vertical="center" wrapText="1"/>
      <protection locked="0"/>
    </xf>
    <xf numFmtId="0" fontId="99" fillId="6" borderId="99" xfId="0" applyFont="1" applyFill="1" applyBorder="1" applyAlignment="1">
      <alignment horizontal="center" vertical="center" wrapText="1"/>
    </xf>
    <xf numFmtId="0" fontId="99" fillId="0" borderId="56" xfId="0" applyFont="1" applyBorder="1" applyAlignment="1" applyProtection="1">
      <alignment horizontal="center" vertical="center" wrapText="1"/>
      <protection locked="0"/>
    </xf>
    <xf numFmtId="0" fontId="99" fillId="6" borderId="113" xfId="0" applyFont="1" applyFill="1" applyBorder="1" applyAlignment="1">
      <alignment horizontal="center" vertical="center" wrapText="1"/>
    </xf>
    <xf numFmtId="0" fontId="99" fillId="10" borderId="31" xfId="0" applyFont="1" applyFill="1" applyBorder="1" applyAlignment="1" applyProtection="1">
      <alignment horizontal="center" vertical="center"/>
      <protection locked="0"/>
    </xf>
    <xf numFmtId="0" fontId="99" fillId="10" borderId="68" xfId="0" applyFont="1" applyFill="1" applyBorder="1" applyAlignment="1" applyProtection="1">
      <alignment horizontal="center" vertical="center" wrapText="1"/>
      <protection locked="0"/>
    </xf>
    <xf numFmtId="0" fontId="99" fillId="7" borderId="0" xfId="0" applyFont="1" applyFill="1" applyProtection="1">
      <alignment vertical="center"/>
      <protection locked="0"/>
    </xf>
    <xf numFmtId="0" fontId="99" fillId="7" borderId="0" xfId="0" applyFont="1" applyFill="1" applyAlignment="1" applyProtection="1">
      <alignment horizontal="center" vertical="center" wrapText="1"/>
      <protection locked="0"/>
    </xf>
    <xf numFmtId="0" fontId="102" fillId="7" borderId="0" xfId="0" applyFont="1" applyFill="1" applyProtection="1">
      <alignment vertical="center"/>
      <protection locked="0"/>
    </xf>
    <xf numFmtId="0" fontId="102" fillId="8" borderId="0" xfId="0"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77" fillId="0" borderId="41" xfId="0" applyFont="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8" borderId="1" xfId="0" applyFont="1" applyFill="1" applyBorder="1" applyAlignment="1" applyProtection="1">
      <alignment horizontal="left" vertical="center"/>
      <protection locked="0"/>
    </xf>
    <xf numFmtId="58" fontId="102" fillId="7" borderId="0" xfId="0" applyNumberFormat="1" applyFont="1" applyFill="1" applyProtection="1">
      <alignment vertical="center"/>
      <protection locked="0"/>
    </xf>
    <xf numFmtId="181" fontId="99" fillId="8" borderId="1" xfId="0" applyNumberFormat="1" applyFont="1" applyFill="1" applyBorder="1" applyAlignment="1" applyProtection="1">
      <alignment horizontal="center" vertical="center"/>
      <protection locked="0"/>
    </xf>
    <xf numFmtId="0" fontId="70" fillId="0" borderId="20"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107" fillId="0" borderId="13" xfId="10" applyFont="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2023-1-0841&#26124;&#24179;&#29590;&#28699;&#24220;\2023-1-0841-F03HDZC1&#33539;&#22260;&#21464;&#21270;1.15\&#26368;&#32456;\2023-1-0841-F03&#30789;&#35895;SOHO&#21547;&#27719;&#24635;-&#29579;&#26342;1.15&#24050;&#21464;.xlsx" TargetMode="External"/><Relationship Id="rId1" Type="http://schemas.openxmlformats.org/officeDocument/2006/relationships/externalLinkPath" Target="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024-1-0946-&#29590;&#28699;&#24220;&#20027;&#34920;.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30005;&#31639;&#34920;-2024-1-0946-&#29590;&#28699;&#24220;-&#19968;&#23457;.xlsx" TargetMode="External"/><Relationship Id="rId1" Type="http://schemas.openxmlformats.org/officeDocument/2006/relationships/externalLinkPath" Target="&#30005;&#31639;&#34920;-2024-1-0946-&#29590;&#28699;&#242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基准商业</v>
          </cell>
          <cell r="B27" t="str">
            <v>*</v>
          </cell>
        </row>
        <row r="28">
          <cell r="A28" t="str">
            <v>剩余商业</v>
          </cell>
          <cell r="B28" t="str">
            <v>*</v>
          </cell>
        </row>
        <row r="29">
          <cell r="A29" t="str">
            <v>基准办公</v>
          </cell>
          <cell r="B29" t="str">
            <v>*</v>
          </cell>
        </row>
        <row r="30">
          <cell r="A30" t="str">
            <v>剩余办公</v>
          </cell>
          <cell r="B30" t="str">
            <v>*</v>
          </cell>
        </row>
        <row r="31">
          <cell r="A31" t="str">
            <v>基准车库</v>
          </cell>
          <cell r="B31" t="str">
            <v>*</v>
          </cell>
        </row>
        <row r="32">
          <cell r="A32" t="str">
            <v>剩余车库</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基准商业</v>
          </cell>
        </row>
        <row r="20">
          <cell r="C20" t="str">
            <v>剩余商业</v>
          </cell>
        </row>
        <row r="21">
          <cell r="C21" t="str">
            <v>基准办公</v>
          </cell>
        </row>
        <row r="22">
          <cell r="C22" t="str">
            <v>剩余办公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D101" t="str">
            <v>多层商务楼</v>
          </cell>
          <cell r="E101" t="str">
            <v>高层塔楼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row>
        <row r="119">
          <cell r="B119" t="str">
            <v>层高</v>
          </cell>
          <cell r="C119">
            <v>5.3</v>
          </cell>
          <cell r="D119">
            <v>4.2</v>
          </cell>
          <cell r="E119">
            <v>3</v>
          </cell>
        </row>
        <row r="123">
          <cell r="B123" t="str">
            <v>内部装修</v>
          </cell>
          <cell r="C123" t="str">
            <v>精装修</v>
          </cell>
          <cell r="D123" t="str">
            <v>普通装修</v>
          </cell>
          <cell r="E123" t="str">
            <v>简单装修</v>
          </cell>
          <cell r="F123" t="str">
            <v>毛坯</v>
          </cell>
        </row>
      </sheetData>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sheetData sheetId="30">
        <row r="5">
          <cell r="B5" t="str">
            <v>内部装修</v>
          </cell>
          <cell r="C5" t="str">
            <v>精装修</v>
          </cell>
          <cell r="D5" t="str">
            <v>普通装修</v>
          </cell>
          <cell r="E5" t="str">
            <v>简单装修</v>
          </cell>
          <cell r="F5" t="str">
            <v>毛坯</v>
          </cell>
          <cell r="T5">
            <v>2</v>
          </cell>
        </row>
        <row r="7">
          <cell r="B7" t="str">
            <v>使用方向</v>
          </cell>
          <cell r="C7" t="str">
            <v>公寓</v>
          </cell>
          <cell r="D7" t="str">
            <v>办公</v>
          </cell>
          <cell r="T7">
            <v>2</v>
          </cell>
        </row>
        <row r="9">
          <cell r="B9" t="str">
            <v>层高</v>
          </cell>
          <cell r="C9">
            <v>5.3</v>
          </cell>
          <cell r="D9">
            <v>4.2</v>
          </cell>
          <cell r="E9">
            <v>3</v>
          </cell>
          <cell r="T9">
            <v>5</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row r="24">
          <cell r="B24">
            <v>51.46</v>
          </cell>
        </row>
      </sheetData>
      <sheetData sheetId="31"/>
      <sheetData sheetId="32">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row>
        <row r="100">
          <cell r="B100" t="str">
            <v>商业类型</v>
          </cell>
          <cell r="C100" t="str">
            <v>商街</v>
          </cell>
          <cell r="D100" t="str">
            <v>办公底商</v>
          </cell>
          <cell r="E100" t="str">
            <v>住宅底商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3"/>
      <sheetData sheetId="34"/>
      <sheetData sheetId="35"/>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row>
        <row r="88">
          <cell r="B88" t="str">
            <v>物业等级</v>
          </cell>
        </row>
        <row r="93">
          <cell r="B93" t="str">
            <v>车位类型</v>
          </cell>
          <cell r="C93" t="str">
            <v>普通车库</v>
          </cell>
        </row>
        <row r="95">
          <cell r="B95" t="str">
            <v>是否直接入户</v>
          </cell>
        </row>
      </sheetData>
      <sheetData sheetId="39"/>
      <sheetData sheetId="40"/>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65">
          <cell r="R465">
            <v>15985</v>
          </cell>
          <cell r="S465">
            <v>110</v>
          </cell>
        </row>
        <row r="468">
          <cell r="R468">
            <v>15827</v>
          </cell>
          <cell r="S468">
            <v>72</v>
          </cell>
        </row>
        <row r="555">
          <cell r="R555">
            <v>14604</v>
          </cell>
          <cell r="S555">
            <v>73</v>
          </cell>
        </row>
        <row r="632">
          <cell r="R632">
            <v>14604</v>
          </cell>
          <cell r="S632">
            <v>73</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9">
          <cell r="R709">
            <v>14820</v>
          </cell>
          <cell r="S709">
            <v>69</v>
          </cell>
        </row>
        <row r="711">
          <cell r="R711">
            <v>14820</v>
          </cell>
          <cell r="S711">
            <v>72</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2">
          <cell r="R732">
            <v>14820</v>
          </cell>
          <cell r="S732">
            <v>65</v>
          </cell>
        </row>
        <row r="733">
          <cell r="R733">
            <v>14820</v>
          </cell>
          <cell r="S733">
            <v>69</v>
          </cell>
        </row>
        <row r="736">
          <cell r="R736">
            <v>14820</v>
          </cell>
          <cell r="S736">
            <v>73</v>
          </cell>
        </row>
        <row r="737">
          <cell r="R737">
            <v>14820</v>
          </cell>
          <cell r="S737">
            <v>72</v>
          </cell>
        </row>
        <row r="752">
          <cell r="R752">
            <v>15672</v>
          </cell>
          <cell r="S752">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7">
          <cell r="R767">
            <v>14811</v>
          </cell>
          <cell r="S767">
            <v>75</v>
          </cell>
        </row>
        <row r="769">
          <cell r="R769">
            <v>14811</v>
          </cell>
          <cell r="S769">
            <v>75</v>
          </cell>
        </row>
        <row r="772">
          <cell r="R772">
            <v>14811</v>
          </cell>
          <cell r="S772">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2">
          <cell r="R792">
            <v>14106</v>
          </cell>
          <cell r="S792">
            <v>71</v>
          </cell>
        </row>
        <row r="796">
          <cell r="R796">
            <v>14106</v>
          </cell>
          <cell r="S796">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S805">
            <v>99</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8">
          <cell r="R818">
            <v>14106</v>
          </cell>
          <cell r="S818">
            <v>71</v>
          </cell>
        </row>
        <row r="819">
          <cell r="R819">
            <v>14106</v>
          </cell>
          <cell r="S819">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6">
          <cell r="R1156">
            <v>14529</v>
          </cell>
          <cell r="S1156">
            <v>73</v>
          </cell>
        </row>
        <row r="1160">
          <cell r="R1160">
            <v>14529</v>
          </cell>
          <cell r="S1160">
            <v>73</v>
          </cell>
        </row>
        <row r="1161">
          <cell r="R1161">
            <v>14529</v>
          </cell>
          <cell r="S1161">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10">
          <cell r="R1210">
            <v>14529</v>
          </cell>
          <cell r="S1210">
            <v>73</v>
          </cell>
        </row>
        <row r="1211">
          <cell r="R1211">
            <v>14529</v>
          </cell>
          <cell r="S1211">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sheetData>
      <sheetData sheetId="28" refreshError="1"/>
      <sheetData sheetId="29" refreshError="1"/>
      <sheetData sheetId="30" refreshError="1"/>
      <sheetData sheetId="31" refreshError="1"/>
      <sheetData sheetId="32" refreshError="1">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4">
          <cell r="R34">
            <v>28111</v>
          </cell>
        </row>
        <row r="35">
          <cell r="R35">
            <v>28111</v>
          </cell>
          <cell r="S35">
            <v>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139467.97</v>
          </cell>
          <cell r="C14">
            <v>123131.88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390455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8" customWidth="1"/>
    <col min="3" max="16384" width="9" style="1111"/>
  </cols>
  <sheetData>
    <row r="1" spans="1:2" s="1105" customFormat="1" ht="16.5" thickBot="1">
      <c r="A1" s="1104" t="s">
        <v>521</v>
      </c>
      <c r="B1" s="1103" t="s">
        <v>600</v>
      </c>
    </row>
    <row r="2" spans="1:2" s="1108" customFormat="1" ht="15" thickTop="1">
      <c r="A2" s="1106" t="s">
        <v>522</v>
      </c>
      <c r="B2" s="1107" t="str">
        <f>'预评函-封皮'!B37:I37</f>
        <v>北京市房地产市场价值预评估</v>
      </c>
    </row>
    <row r="3" spans="1:2">
      <c r="A3" s="1109" t="s">
        <v>523</v>
      </c>
      <c r="B3" s="1110">
        <f>'预评函-封皮'!B40</f>
        <v>0</v>
      </c>
    </row>
    <row r="4" spans="1:2">
      <c r="A4" s="1109" t="s">
        <v>524</v>
      </c>
      <c r="B4" s="1110" t="str">
        <f ca="1">'预评函-封皮'!B46</f>
        <v>郑燚（注册号：1120070131)、吴薇（注册号：1419970001)</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受贵公司委托，我公司对北京市房地产市场价值进行了预评估。</v>
      </c>
    </row>
    <row r="7" spans="1:2">
      <c r="A7" s="1109" t="s">
        <v>566</v>
      </c>
      <c r="B7" s="1110" t="str">
        <f>'预评函-1'!A7</f>
        <v>估价对象为北京市房地产，为所有。根据《国有土地使用证》[]，估价对象（分摊）出让国有建设用地使用权面积为0平方米，建筑面积为51111.6800000006平方米。</v>
      </c>
    </row>
    <row r="8" spans="1:2">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c r="A9" s="1109" t="s">
        <v>568</v>
      </c>
      <c r="B9" s="1110" t="str">
        <f>'预评函-1'!A10</f>
        <v>估价对象为北京市房地产,属开发建设的，该项目尚在开发建设中。根据《国有土地使用证》[]，估价对象（分摊）出让国有建设用地使用权面积为0平方米，规划建筑面积为51111.6800000006平方米。</v>
      </c>
    </row>
    <row r="10" spans="1:2">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9" t="s">
        <v>527</v>
      </c>
      <c r="B11" s="1110" t="str">
        <f>'预评函-1'!A13</f>
        <v>为估价委托人了解估价对象房地产市场价值提供参考依据。</v>
      </c>
    </row>
    <row r="12" spans="1:2">
      <c r="A12" s="1109" t="s">
        <v>528</v>
      </c>
      <c r="B12" s="1110" t="str">
        <f>'预评函-1'!A15</f>
        <v>2024年10月31日</v>
      </c>
    </row>
    <row r="13" spans="1:2">
      <c r="A13" s="1109" t="s">
        <v>529</v>
      </c>
      <c r="B13" s="1110" t="str">
        <f>'预评函-1'!A18</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4" spans="1:2">
      <c r="A14" s="1109" t="s">
        <v>530</v>
      </c>
      <c r="B14" s="1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9" t="s">
        <v>531</v>
      </c>
      <c r="B15" s="1110" t="str">
        <f>'预评函-1'!A20</f>
        <v>——</v>
      </c>
    </row>
    <row r="16" spans="1:2">
      <c r="A16" s="1109" t="s">
        <v>532</v>
      </c>
      <c r="B16" s="1110" t="str">
        <f>'预评函-1'!A21</f>
        <v>——</v>
      </c>
    </row>
    <row r="17" spans="1:2">
      <c r="A17" s="1109" t="s">
        <v>533</v>
      </c>
      <c r="B17" s="1110" t="str">
        <f>'预评函-1'!A22</f>
        <v>——</v>
      </c>
    </row>
    <row r="18" spans="1:2" s="1105" customFormat="1" ht="15" thickBot="1">
      <c r="A18" s="1112" t="s">
        <v>534</v>
      </c>
      <c r="B18" s="1113" t="str">
        <f>'预评函-1'!A24</f>
        <v>本次评估采用的主估价方法为比较法和收益法。</v>
      </c>
    </row>
    <row r="19" spans="1:2" s="1108" customFormat="1" ht="15" thickTop="1">
      <c r="A19" s="1106" t="s">
        <v>535</v>
      </c>
      <c r="B19" s="11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09" t="s">
        <v>536</v>
      </c>
      <c r="B20" s="1110" t="e">
        <f ca="1">'预评函-2'!D5</f>
        <v>#REF!</v>
      </c>
    </row>
    <row r="21" spans="1:2">
      <c r="A21" s="1109" t="s">
        <v>537</v>
      </c>
      <c r="B21" s="1110" t="e">
        <f ca="1">'预评函-2'!D7</f>
        <v>#REF!</v>
      </c>
    </row>
    <row r="22" spans="1:2">
      <c r="A22" s="1109" t="s">
        <v>538</v>
      </c>
      <c r="B22" s="1110" t="e">
        <f ca="1">'预评函-2'!D6</f>
        <v>#REF!</v>
      </c>
    </row>
    <row r="23" spans="1:2">
      <c r="A23" s="1109" t="s">
        <v>589</v>
      </c>
      <c r="B23" s="1110" t="str">
        <f>'预评函-2'!B8</f>
        <v>2.估价师知悉的法定优先受偿款</v>
      </c>
    </row>
    <row r="24" spans="1:2">
      <c r="A24" s="1109" t="s">
        <v>595</v>
      </c>
      <c r="B24" s="1110">
        <f>'预评函-2'!D8</f>
        <v>0</v>
      </c>
    </row>
    <row r="25" spans="1:2">
      <c r="A25" s="1109" t="s">
        <v>539</v>
      </c>
      <c r="B25" s="1110" t="str">
        <f>'预评函-2'!D9</f>
        <v>零元整</v>
      </c>
    </row>
    <row r="26" spans="1:2">
      <c r="A26" s="1109" t="s">
        <v>540</v>
      </c>
      <c r="B26" s="1110">
        <f>'预评函-2'!D10</f>
        <v>0</v>
      </c>
    </row>
    <row r="27" spans="1:2">
      <c r="A27" s="1109" t="s">
        <v>541</v>
      </c>
      <c r="B27" s="1110">
        <f>'预评函-2'!D11</f>
        <v>0</v>
      </c>
    </row>
    <row r="28" spans="1:2">
      <c r="A28" s="1109" t="s">
        <v>542</v>
      </c>
      <c r="B28" s="1110">
        <f>'预评函-2'!D12</f>
        <v>0</v>
      </c>
    </row>
    <row r="29" spans="1:2">
      <c r="A29" s="1109" t="s">
        <v>593</v>
      </c>
      <c r="B29" s="1110" t="str">
        <f>'预评函-2'!B13</f>
        <v>3.房地产抵押价值</v>
      </c>
    </row>
    <row r="30" spans="1:2">
      <c r="A30" s="1109" t="s">
        <v>594</v>
      </c>
      <c r="B30" s="1110" t="e">
        <f ca="1">'预评函-2'!D13</f>
        <v>#REF!</v>
      </c>
    </row>
    <row r="31" spans="1:2">
      <c r="A31" s="1109" t="s">
        <v>576</v>
      </c>
      <c r="B31" s="1110" t="e">
        <f ca="1">'预评函-2'!D15</f>
        <v>#REF!</v>
      </c>
    </row>
    <row r="32" spans="1:2">
      <c r="A32" s="1109" t="s">
        <v>543</v>
      </c>
      <c r="B32" s="1110" t="e">
        <f ca="1">'预评函-2'!D14</f>
        <v>#REF!</v>
      </c>
    </row>
    <row r="33" spans="1:2">
      <c r="A33" s="1109" t="s">
        <v>578</v>
      </c>
      <c r="B33" s="1110" t="str">
        <f>'预评函-2'!B16</f>
        <v>——</v>
      </c>
    </row>
    <row r="34" spans="1:2">
      <c r="A34" s="1109" t="s">
        <v>596</v>
      </c>
      <c r="B34" s="1110" t="str">
        <f>'预评函-2'!D16</f>
        <v>——</v>
      </c>
    </row>
    <row r="35" spans="1:2">
      <c r="A35" s="1109" t="s">
        <v>577</v>
      </c>
      <c r="B35" s="1110" t="str">
        <f>'预评函-2'!D18</f>
        <v>——</v>
      </c>
    </row>
    <row r="36" spans="1:2">
      <c r="A36" s="1109" t="s">
        <v>544</v>
      </c>
      <c r="B36" s="1110" t="e">
        <f>'预评函-2'!D17</f>
        <v>#VALUE!</v>
      </c>
    </row>
    <row r="37" spans="1:2">
      <c r="A37" s="1109" t="s">
        <v>579</v>
      </c>
      <c r="B37" s="1110" t="str">
        <f>'预评函-2'!B19</f>
        <v>——</v>
      </c>
    </row>
    <row r="38" spans="1:2">
      <c r="A38" s="1109" t="s">
        <v>597</v>
      </c>
      <c r="B38" s="1110" t="str">
        <f>'预评函-2'!D19</f>
        <v>——</v>
      </c>
    </row>
    <row r="39" spans="1:2">
      <c r="A39" s="1109" t="s">
        <v>545</v>
      </c>
      <c r="B39" s="1110" t="str">
        <f>'预评函-2'!D21</f>
        <v>——</v>
      </c>
    </row>
    <row r="40" spans="1:2">
      <c r="A40" s="1109" t="s">
        <v>546</v>
      </c>
      <c r="B40" s="1110" t="e">
        <f>'预评函-2'!D20</f>
        <v>#VALUE!</v>
      </c>
    </row>
    <row r="41" spans="1:2">
      <c r="A41" s="1109" t="s">
        <v>592</v>
      </c>
      <c r="B41" s="1110" t="str">
        <f>'预评函-3'!A4</f>
        <v>北京市房地产</v>
      </c>
    </row>
    <row r="42" spans="1:2">
      <c r="A42" s="1109" t="s">
        <v>590</v>
      </c>
      <c r="B42" s="1110" t="str">
        <f>'预评函-3'!B2</f>
        <v>建筑面积</v>
      </c>
    </row>
    <row r="43" spans="1:2">
      <c r="A43" s="1109" t="s">
        <v>591</v>
      </c>
      <c r="B43" s="1110">
        <f>'预评函-3'!B4</f>
        <v>51111.68000000059</v>
      </c>
    </row>
    <row r="44" spans="1:2">
      <c r="A44" s="1109" t="s">
        <v>575</v>
      </c>
      <c r="B44" s="1110" t="str">
        <f>'预评函-3'!C2</f>
        <v>(分摊)土地面积</v>
      </c>
    </row>
    <row r="45" spans="1:2">
      <c r="A45" s="1109" t="s">
        <v>547</v>
      </c>
      <c r="B45" s="1110">
        <f>'预评函-3'!C4</f>
        <v>0</v>
      </c>
    </row>
    <row r="46" spans="1:2">
      <c r="A46" s="1109" t="s">
        <v>573</v>
      </c>
      <c r="B46" s="1110" t="str">
        <f>'预评函-3'!D2</f>
        <v>出让国有建设用地使用权价值</v>
      </c>
    </row>
    <row r="47" spans="1:2">
      <c r="A47" s="1109" t="s">
        <v>548</v>
      </c>
      <c r="B47" s="1110" t="e">
        <f ca="1">'预评函-3'!D4</f>
        <v>#REF!</v>
      </c>
    </row>
    <row r="48" spans="1:2">
      <c r="A48" s="1109" t="s">
        <v>549</v>
      </c>
      <c r="B48" s="1110" t="e">
        <f ca="1">'预评函-3'!E4</f>
        <v>#REF!</v>
      </c>
    </row>
    <row r="49" spans="1:2">
      <c r="A49" s="1109" t="s">
        <v>550</v>
      </c>
      <c r="B49" s="1110" t="e">
        <f ca="1">'预评函-3'!D5</f>
        <v>#REF!</v>
      </c>
    </row>
    <row r="50" spans="1:2">
      <c r="A50" s="1109" t="s">
        <v>574</v>
      </c>
      <c r="B50" s="1110" t="str">
        <f>'预评函-3'!F2</f>
        <v>在建建筑物价值</v>
      </c>
    </row>
    <row r="51" spans="1:2">
      <c r="A51" s="1109" t="s">
        <v>551</v>
      </c>
      <c r="B51" s="1110" t="e">
        <f ca="1">'预评函-3'!F4</f>
        <v>#REF!</v>
      </c>
    </row>
    <row r="52" spans="1:2">
      <c r="A52" s="1109" t="s">
        <v>552</v>
      </c>
      <c r="B52" s="1110" t="e">
        <f ca="1">'预评函-3'!G4</f>
        <v>#REF!</v>
      </c>
    </row>
    <row r="53" spans="1:2">
      <c r="A53" s="1109" t="s">
        <v>580</v>
      </c>
      <c r="B53" s="1110" t="e">
        <f ca="1">'预评函-3'!F5</f>
        <v>#REF!</v>
      </c>
    </row>
    <row r="54" spans="1:2">
      <c r="A54" s="1109" t="s">
        <v>598</v>
      </c>
      <c r="B54" s="1110" t="str">
        <f>'预评函-3'!A8</f>
        <v/>
      </c>
    </row>
    <row r="55" spans="1:2">
      <c r="A55" s="1109" t="s">
        <v>581</v>
      </c>
      <c r="B55" s="1110" t="str">
        <f>'预评函-3'!A10</f>
        <v/>
      </c>
    </row>
    <row r="56" spans="1:2">
      <c r="A56" s="1109" t="s">
        <v>582</v>
      </c>
      <c r="B56" s="1110" t="str">
        <f>'预评函-3'!A12</f>
        <v/>
      </c>
    </row>
    <row r="57" spans="1:2" s="1105" customFormat="1" ht="15" thickBot="1">
      <c r="A57" s="1112" t="s">
        <v>599</v>
      </c>
      <c r="B57" s="1113" t="str">
        <f>'预评函-3'!A6</f>
        <v/>
      </c>
    </row>
    <row r="58" spans="1:2" s="1108" customFormat="1" ht="15" thickTop="1">
      <c r="A58" s="1106" t="s">
        <v>553</v>
      </c>
      <c r="B58" s="1107" t="str">
        <f>'预评函-4'!A12</f>
        <v>2.本次评估设定估价对象房地产权属无争议，未被查封或者以其他形式限制其房地产权利，未设定抵押权等他项权利，不涉及第三方权利义务。</v>
      </c>
    </row>
    <row r="59" spans="1:2">
      <c r="A59" s="1109" t="s">
        <v>554</v>
      </c>
      <c r="B59" s="1110" t="str">
        <f>'预评函-4'!A13</f>
        <v>——</v>
      </c>
    </row>
    <row r="60" spans="1:2">
      <c r="A60" s="1109" t="s">
        <v>555</v>
      </c>
      <c r="B60" s="1110" t="str">
        <f>'预评函-4'!A14</f>
        <v>——</v>
      </c>
    </row>
    <row r="61" spans="1:2">
      <c r="A61" s="1109" t="s">
        <v>556</v>
      </c>
      <c r="B61" s="1110" t="str">
        <f>'预评函-4'!A15</f>
        <v>——</v>
      </c>
    </row>
    <row r="62" spans="1:2">
      <c r="A62" s="1109" t="s">
        <v>557</v>
      </c>
      <c r="B62" s="1110" t="str">
        <f>'预评函-4'!A16</f>
        <v>（2）根据《工程款支付情况说明》，截至价值时点，估价对象不存在应付未付工程款项。（只要没有施工方盖章的，均“设定”进行表述）</v>
      </c>
    </row>
    <row r="63" spans="1:2">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9" t="s">
        <v>570</v>
      </c>
      <c r="B64" s="1110" t="str">
        <f>'预评函-4'!A18</f>
        <v>——</v>
      </c>
    </row>
    <row r="65" spans="1:2">
      <c r="A65" s="1109" t="s">
        <v>559</v>
      </c>
      <c r="B65" s="11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9" t="s">
        <v>560</v>
      </c>
      <c r="B66" s="1110" t="str">
        <f>'预评函-4'!A20</f>
        <v>——</v>
      </c>
    </row>
    <row r="67" spans="1:2">
      <c r="A67" s="1109" t="s">
        <v>571</v>
      </c>
      <c r="B67" s="1110" t="str">
        <f>'预评函-4'!A21</f>
        <v>——</v>
      </c>
    </row>
    <row r="68" spans="1:2">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7" t="str">
        <f>'预评函-4'!A5</f>
        <v>吴薇</v>
      </c>
    </row>
    <row r="73" spans="1:2" s="1105" customFormat="1" ht="15" thickBot="1">
      <c r="A73" s="1112" t="s">
        <v>565</v>
      </c>
      <c r="B73" s="1113">
        <f ca="1">'预评函-4'!B5</f>
        <v>1419970001</v>
      </c>
    </row>
    <row r="74" spans="1:2" ht="15" thickTop="1">
      <c r="A74" s="1102" t="s">
        <v>601</v>
      </c>
      <c r="B74" s="111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974</v>
      </c>
      <c r="C1" s="1427" t="s">
        <v>314</v>
      </c>
      <c r="D1" s="1428" t="s">
        <v>3341</v>
      </c>
      <c r="E1" s="1427" t="s">
        <v>975</v>
      </c>
      <c r="F1" s="1427" t="s">
        <v>976</v>
      </c>
      <c r="G1" s="1427" t="s">
        <v>977</v>
      </c>
      <c r="H1" s="1427" t="s">
        <v>978</v>
      </c>
      <c r="I1" s="1427" t="s">
        <v>979</v>
      </c>
      <c r="J1" s="1427" t="s">
        <v>980</v>
      </c>
      <c r="K1" s="1427" t="s">
        <v>981</v>
      </c>
      <c r="L1" s="1427" t="s">
        <v>982</v>
      </c>
      <c r="M1" s="1427" t="s">
        <v>983</v>
      </c>
      <c r="N1" s="1427" t="s">
        <v>984</v>
      </c>
      <c r="O1" s="1427" t="s">
        <v>985</v>
      </c>
      <c r="P1" s="1428" t="s">
        <v>309</v>
      </c>
      <c r="Q1" s="1428" t="s">
        <v>447</v>
      </c>
      <c r="R1" s="1427" t="s">
        <v>441</v>
      </c>
      <c r="S1" s="1427" t="s">
        <v>986</v>
      </c>
      <c r="T1" s="1428" t="s">
        <v>987</v>
      </c>
      <c r="U1" s="1427" t="s">
        <v>988</v>
      </c>
      <c r="V1" s="1427" t="s">
        <v>989</v>
      </c>
      <c r="W1" s="1427" t="s">
        <v>311</v>
      </c>
    </row>
    <row r="2" spans="1:23">
      <c r="A2" s="1430" t="s">
        <v>19</v>
      </c>
      <c r="B2" s="1430" t="s">
        <v>990</v>
      </c>
      <c r="C2" s="1431" t="s">
        <v>315</v>
      </c>
      <c r="D2" s="1432" t="s">
        <v>991</v>
      </c>
      <c r="E2" s="1432" t="s">
        <v>992</v>
      </c>
      <c r="F2" s="1432" t="s">
        <v>993</v>
      </c>
      <c r="G2" s="1432">
        <v>20</v>
      </c>
      <c r="H2" s="1432" t="s">
        <v>993</v>
      </c>
      <c r="I2" s="1432" t="s">
        <v>3327</v>
      </c>
      <c r="J2" s="1432" t="s">
        <v>994</v>
      </c>
      <c r="K2" s="1432" t="s">
        <v>995</v>
      </c>
      <c r="L2" s="1432" t="s">
        <v>995</v>
      </c>
      <c r="M2" s="1432" t="s">
        <v>995</v>
      </c>
      <c r="N2" s="1432" t="s">
        <v>995</v>
      </c>
      <c r="O2" s="1432" t="s">
        <v>995</v>
      </c>
      <c r="P2" s="1432" t="s">
        <v>995</v>
      </c>
      <c r="Q2" s="1432" t="s">
        <v>995</v>
      </c>
      <c r="R2" s="1432" t="s">
        <v>443</v>
      </c>
      <c r="S2" s="1432" t="s">
        <v>995</v>
      </c>
      <c r="T2" s="1432" t="s">
        <v>996</v>
      </c>
      <c r="U2" s="1432" t="s">
        <v>995</v>
      </c>
      <c r="V2" s="1432" t="s">
        <v>997</v>
      </c>
      <c r="W2" s="1432" t="s">
        <v>995</v>
      </c>
    </row>
    <row r="3" spans="1:23">
      <c r="A3" s="1430" t="s">
        <v>998</v>
      </c>
      <c r="B3" s="1433" t="s">
        <v>448</v>
      </c>
      <c r="C3" s="1431" t="s">
        <v>316</v>
      </c>
      <c r="D3" s="1432" t="s">
        <v>999</v>
      </c>
      <c r="E3" s="1432" t="s">
        <v>13</v>
      </c>
      <c r="F3" s="1432" t="s">
        <v>1000</v>
      </c>
      <c r="G3" s="1432">
        <v>40</v>
      </c>
      <c r="H3" s="1432" t="s">
        <v>1000</v>
      </c>
      <c r="I3" s="1432" t="s">
        <v>3328</v>
      </c>
      <c r="J3" s="1432" t="s">
        <v>1001</v>
      </c>
      <c r="K3" s="1432" t="s">
        <v>1002</v>
      </c>
      <c r="L3" s="1432" t="s">
        <v>1002</v>
      </c>
      <c r="M3" s="1432" t="s">
        <v>1002</v>
      </c>
      <c r="N3" s="1432" t="s">
        <v>1002</v>
      </c>
      <c r="O3" s="1432" t="s">
        <v>1002</v>
      </c>
      <c r="P3" s="1432" t="s">
        <v>1002</v>
      </c>
      <c r="Q3" s="1432" t="s">
        <v>1002</v>
      </c>
      <c r="R3" s="1432" t="s">
        <v>442</v>
      </c>
      <c r="S3" s="1432" t="s">
        <v>1002</v>
      </c>
      <c r="T3" s="1432" t="s">
        <v>1003</v>
      </c>
      <c r="U3" s="1432" t="s">
        <v>1002</v>
      </c>
      <c r="V3" s="1432" t="s">
        <v>1004</v>
      </c>
      <c r="W3" s="1432" t="s">
        <v>1002</v>
      </c>
    </row>
    <row r="4" spans="1:23">
      <c r="A4" s="1430" t="s">
        <v>1005</v>
      </c>
      <c r="B4" s="1430" t="s">
        <v>1006</v>
      </c>
      <c r="C4" s="1431" t="s">
        <v>317</v>
      </c>
      <c r="D4" s="1432" t="s">
        <v>389</v>
      </c>
      <c r="E4" s="1432" t="s">
        <v>1007</v>
      </c>
      <c r="F4" s="1432" t="s">
        <v>1008</v>
      </c>
      <c r="G4" s="1432">
        <v>50</v>
      </c>
      <c r="H4" s="1432" t="s">
        <v>1008</v>
      </c>
      <c r="I4" s="1432" t="s">
        <v>3329</v>
      </c>
      <c r="K4" s="1432" t="s">
        <v>1009</v>
      </c>
      <c r="L4" s="1432" t="s">
        <v>1009</v>
      </c>
      <c r="M4" s="1432" t="s">
        <v>1009</v>
      </c>
      <c r="N4" s="1432" t="s">
        <v>1009</v>
      </c>
      <c r="O4" s="1432" t="s">
        <v>1009</v>
      </c>
      <c r="P4" s="1432" t="s">
        <v>1009</v>
      </c>
      <c r="Q4" s="1432" t="s">
        <v>1009</v>
      </c>
      <c r="R4" s="1432" t="s">
        <v>444</v>
      </c>
      <c r="S4" s="1432" t="s">
        <v>1009</v>
      </c>
      <c r="T4" s="1432" t="s">
        <v>1010</v>
      </c>
      <c r="U4" s="1432" t="s">
        <v>1009</v>
      </c>
      <c r="W4" s="1432" t="s">
        <v>1009</v>
      </c>
    </row>
    <row r="5" spans="1:23">
      <c r="A5" s="1430" t="s">
        <v>1011</v>
      </c>
      <c r="B5" s="1430" t="s">
        <v>1012</v>
      </c>
      <c r="C5" s="1431" t="s">
        <v>318</v>
      </c>
      <c r="F5" s="1432" t="s">
        <v>1013</v>
      </c>
      <c r="G5" s="1432">
        <v>70</v>
      </c>
      <c r="H5" s="1432" t="s">
        <v>1014</v>
      </c>
      <c r="I5" s="1432" t="s">
        <v>3330</v>
      </c>
      <c r="K5" s="1432" t="s">
        <v>1015</v>
      </c>
      <c r="L5" s="1432" t="s">
        <v>1015</v>
      </c>
      <c r="M5" s="1432" t="s">
        <v>1015</v>
      </c>
      <c r="N5" s="1432" t="s">
        <v>1015</v>
      </c>
      <c r="O5" s="1432" t="s">
        <v>1015</v>
      </c>
      <c r="P5" s="1432" t="s">
        <v>1015</v>
      </c>
      <c r="Q5" s="1432" t="s">
        <v>1015</v>
      </c>
      <c r="R5" s="1432" t="s">
        <v>445</v>
      </c>
      <c r="S5" s="1432" t="s">
        <v>1015</v>
      </c>
      <c r="T5" s="1432" t="s">
        <v>1016</v>
      </c>
      <c r="U5" s="1432" t="s">
        <v>1015</v>
      </c>
      <c r="W5" s="1432" t="s">
        <v>1015</v>
      </c>
    </row>
    <row r="6" spans="1:23">
      <c r="A6" s="1430" t="s">
        <v>1017</v>
      </c>
      <c r="B6" s="1433" t="s">
        <v>449</v>
      </c>
      <c r="C6" s="1435" t="s">
        <v>24</v>
      </c>
      <c r="F6" s="1432" t="s">
        <v>1014</v>
      </c>
      <c r="H6" s="1432" t="s">
        <v>1018</v>
      </c>
      <c r="I6" s="1432" t="s">
        <v>3331</v>
      </c>
      <c r="K6" s="1432" t="s">
        <v>1019</v>
      </c>
      <c r="L6" s="1432" t="s">
        <v>1019</v>
      </c>
      <c r="M6" s="1432" t="s">
        <v>1019</v>
      </c>
      <c r="N6" s="1432" t="s">
        <v>1019</v>
      </c>
      <c r="O6" s="1432" t="s">
        <v>1019</v>
      </c>
      <c r="P6" s="1432" t="s">
        <v>1019</v>
      </c>
      <c r="Q6" s="1432" t="s">
        <v>1019</v>
      </c>
      <c r="R6" s="1432" t="s">
        <v>446</v>
      </c>
      <c r="S6" s="1432" t="s">
        <v>1019</v>
      </c>
      <c r="T6" s="1432"/>
      <c r="U6" s="1432" t="s">
        <v>1019</v>
      </c>
      <c r="W6" s="1432" t="s">
        <v>1019</v>
      </c>
    </row>
    <row r="7" spans="1:23">
      <c r="A7" s="1430" t="s">
        <v>1020</v>
      </c>
      <c r="B7" s="1433" t="s">
        <v>450</v>
      </c>
      <c r="C7" s="1431" t="s">
        <v>25</v>
      </c>
      <c r="F7" s="1432" t="s">
        <v>1021</v>
      </c>
      <c r="H7" s="1432" t="s">
        <v>1022</v>
      </c>
      <c r="I7" s="1432" t="s">
        <v>3332</v>
      </c>
    </row>
    <row r="8" spans="1:23">
      <c r="A8" s="1430" t="s">
        <v>1023</v>
      </c>
      <c r="B8" s="1430" t="s">
        <v>1024</v>
      </c>
      <c r="C8" s="1431" t="s">
        <v>319</v>
      </c>
      <c r="F8" s="1432" t="s">
        <v>1025</v>
      </c>
      <c r="H8" s="1432" t="s">
        <v>2567</v>
      </c>
      <c r="I8" s="1432" t="s">
        <v>3333</v>
      </c>
    </row>
    <row r="9" spans="1:23">
      <c r="A9" s="1430" t="s">
        <v>1026</v>
      </c>
      <c r="B9" s="1430" t="s">
        <v>1027</v>
      </c>
      <c r="C9" s="1431" t="s">
        <v>320</v>
      </c>
      <c r="F9" s="1432" t="s">
        <v>1028</v>
      </c>
      <c r="H9" s="1432"/>
      <c r="I9" s="1434" t="s">
        <v>3334</v>
      </c>
    </row>
    <row r="10" spans="1:23">
      <c r="A10" s="1430" t="s">
        <v>1029</v>
      </c>
      <c r="B10" s="1430" t="s">
        <v>1030</v>
      </c>
      <c r="C10" s="1431" t="s">
        <v>321</v>
      </c>
      <c r="F10" s="1432" t="s">
        <v>2568</v>
      </c>
      <c r="I10" s="1434" t="s">
        <v>3335</v>
      </c>
    </row>
    <row r="11" spans="1:23">
      <c r="A11" s="1430" t="s">
        <v>1031</v>
      </c>
      <c r="B11" s="1430" t="s">
        <v>1032</v>
      </c>
      <c r="C11" s="1431" t="s">
        <v>322</v>
      </c>
      <c r="F11" s="1432" t="s">
        <v>13</v>
      </c>
      <c r="I11" s="1434" t="s">
        <v>3336</v>
      </c>
    </row>
    <row r="12" spans="1:23">
      <c r="A12" s="1430" t="s">
        <v>1033</v>
      </c>
      <c r="B12" s="1430" t="s">
        <v>1034</v>
      </c>
      <c r="C12" s="1431" t="s">
        <v>323</v>
      </c>
      <c r="I12" s="1434" t="s">
        <v>3337</v>
      </c>
    </row>
    <row r="13" spans="1:23">
      <c r="A13" s="1430" t="s">
        <v>1035</v>
      </c>
      <c r="B13" s="1430" t="s">
        <v>1036</v>
      </c>
      <c r="C13" s="1431" t="s">
        <v>324</v>
      </c>
      <c r="I13" s="1434" t="s">
        <v>3338</v>
      </c>
    </row>
    <row r="14" spans="1:23">
      <c r="A14" s="1430" t="s">
        <v>1037</v>
      </c>
      <c r="B14" s="1430" t="s">
        <v>1038</v>
      </c>
      <c r="C14" s="1432" t="s">
        <v>13</v>
      </c>
      <c r="I14" s="1434" t="s">
        <v>3339</v>
      </c>
    </row>
    <row r="15" spans="1:23">
      <c r="A15" s="1430" t="s">
        <v>1039</v>
      </c>
      <c r="B15" s="1430" t="s">
        <v>1040</v>
      </c>
      <c r="C15" s="1431"/>
      <c r="I15" s="1434" t="s">
        <v>3340</v>
      </c>
    </row>
    <row r="16" spans="1:23">
      <c r="A16" s="1430" t="s">
        <v>1041</v>
      </c>
      <c r="B16" s="1430" t="s">
        <v>312</v>
      </c>
      <c r="C16" s="1431"/>
    </row>
    <row r="17" spans="1:3">
      <c r="A17" s="1430" t="s">
        <v>1042</v>
      </c>
      <c r="B17" s="1430" t="s">
        <v>2281</v>
      </c>
      <c r="C17" s="1431"/>
    </row>
    <row r="18" spans="1:3">
      <c r="A18" s="1430" t="s">
        <v>1043</v>
      </c>
      <c r="B18" s="1430" t="s">
        <v>2423</v>
      </c>
      <c r="C18" s="1431"/>
    </row>
    <row r="19" spans="1:3">
      <c r="A19" s="1430" t="s">
        <v>1044</v>
      </c>
      <c r="B19" s="1433" t="s">
        <v>4048</v>
      </c>
      <c r="C19" s="1431"/>
    </row>
    <row r="20" spans="1:3">
      <c r="A20" s="1430" t="s">
        <v>1045</v>
      </c>
      <c r="B20" s="1430" t="s">
        <v>313</v>
      </c>
      <c r="C20" s="1431"/>
    </row>
    <row r="21" spans="1:3">
      <c r="A21" s="1430" t="s">
        <v>1046</v>
      </c>
      <c r="B21" s="1430" t="s">
        <v>313</v>
      </c>
      <c r="C21" s="1431"/>
    </row>
    <row r="22" spans="1:3">
      <c r="A22" s="1430" t="s">
        <v>1047</v>
      </c>
      <c r="B22" s="1430" t="s">
        <v>313</v>
      </c>
      <c r="C22" s="1431"/>
    </row>
    <row r="23" spans="1:3">
      <c r="A23" s="1430" t="s">
        <v>1048</v>
      </c>
      <c r="B23" s="1430" t="s">
        <v>313</v>
      </c>
      <c r="C23" s="1431"/>
    </row>
    <row r="24" spans="1:3">
      <c r="A24" s="1430" t="s">
        <v>1049</v>
      </c>
      <c r="B24" s="1430" t="s">
        <v>313</v>
      </c>
      <c r="C24" s="1431"/>
    </row>
    <row r="25" spans="1:3">
      <c r="A25" s="1430" t="s">
        <v>1050</v>
      </c>
      <c r="B25" s="1430" t="s">
        <v>313</v>
      </c>
      <c r="C25" s="1431"/>
    </row>
    <row r="26" spans="1:3">
      <c r="A26" s="1430" t="s">
        <v>1051</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41"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36" t="s">
        <v>385</v>
      </c>
      <c r="C54" s="1434" t="s">
        <v>583</v>
      </c>
    </row>
    <row r="55" spans="1:4">
      <c r="A55" s="3241"/>
      <c r="B55" s="1436" t="s">
        <v>386</v>
      </c>
      <c r="C55" s="1434" t="s">
        <v>584</v>
      </c>
    </row>
    <row r="56" spans="1:4">
      <c r="A56" s="3241"/>
      <c r="B56" s="1436" t="s">
        <v>387</v>
      </c>
      <c r="C56" s="1434" t="s">
        <v>588</v>
      </c>
    </row>
    <row r="57" spans="1:4">
      <c r="A57" s="3241"/>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2490</v>
      </c>
      <c r="B1" s="2744"/>
      <c r="C1" s="2744"/>
      <c r="D1" s="2744"/>
      <c r="E1" s="2744"/>
      <c r="F1" s="2745"/>
      <c r="I1" s="3121" t="s">
        <v>2583</v>
      </c>
      <c r="J1" s="2770"/>
      <c r="K1" s="2770"/>
      <c r="L1" s="2770"/>
      <c r="M1" s="2770"/>
      <c r="N1" s="2955"/>
      <c r="O1" s="2955"/>
      <c r="P1" s="2955"/>
      <c r="Q1" s="2955"/>
      <c r="R1" s="2955"/>
    </row>
    <row r="2" spans="1:18">
      <c r="A2" s="2747"/>
      <c r="B2" s="2748"/>
      <c r="C2" s="2748"/>
      <c r="D2" s="2748"/>
      <c r="E2" s="2748"/>
      <c r="F2" s="2749"/>
      <c r="I2" s="3242" t="s">
        <v>2570</v>
      </c>
      <c r="J2" s="3242"/>
      <c r="K2" s="3242"/>
      <c r="L2" s="3242"/>
      <c r="M2" s="3242"/>
      <c r="N2" s="3242"/>
      <c r="O2" s="3242"/>
      <c r="P2" s="3242"/>
      <c r="Q2" s="3242"/>
      <c r="R2" s="3242"/>
    </row>
    <row r="3" spans="1:18">
      <c r="A3" s="2750" t="s">
        <v>2491</v>
      </c>
      <c r="B3" s="2751">
        <f>项目基本情况!D3</f>
        <v>45596</v>
      </c>
      <c r="C3" s="2753"/>
      <c r="D3" s="2753"/>
      <c r="E3" s="2753"/>
      <c r="F3" s="2749"/>
      <c r="I3" s="2765"/>
      <c r="J3" s="2765" t="s">
        <v>2574</v>
      </c>
      <c r="K3" s="2765" t="s">
        <v>2575</v>
      </c>
      <c r="L3" s="2765" t="s">
        <v>2576</v>
      </c>
      <c r="M3" s="2765" t="s">
        <v>2577</v>
      </c>
      <c r="N3" s="3122" t="s">
        <v>2578</v>
      </c>
      <c r="O3" s="3122" t="s">
        <v>2579</v>
      </c>
      <c r="P3" s="3122" t="s">
        <v>2580</v>
      </c>
      <c r="Q3" s="3122" t="s">
        <v>2581</v>
      </c>
      <c r="R3" s="3122" t="s">
        <v>2582</v>
      </c>
    </row>
    <row r="4" spans="1:18">
      <c r="A4" s="2750" t="s">
        <v>2492</v>
      </c>
      <c r="B4" s="2753" t="s">
        <v>2493</v>
      </c>
      <c r="C4" s="2753" t="s">
        <v>2494</v>
      </c>
      <c r="D4" s="2753" t="s">
        <v>2495</v>
      </c>
      <c r="E4" s="2753" t="s">
        <v>2496</v>
      </c>
      <c r="F4" s="2749"/>
      <c r="I4" s="2765" t="s">
        <v>2571</v>
      </c>
      <c r="J4" s="2765">
        <v>80</v>
      </c>
      <c r="K4" s="2765">
        <v>70</v>
      </c>
      <c r="L4" s="2765">
        <v>20</v>
      </c>
      <c r="M4" s="2765">
        <v>30</v>
      </c>
      <c r="N4" s="2753">
        <v>45</v>
      </c>
      <c r="O4" s="2753">
        <v>60</v>
      </c>
      <c r="P4" s="2753">
        <v>50</v>
      </c>
      <c r="Q4" s="2753">
        <v>20</v>
      </c>
      <c r="R4" s="2753">
        <v>375</v>
      </c>
    </row>
    <row r="5" spans="1:18">
      <c r="A5" s="2754">
        <v>40</v>
      </c>
      <c r="B5" s="2751">
        <v>46375</v>
      </c>
      <c r="C5" s="2753">
        <f>ROUNDDOWN(MIN((B5-B3)/365,A5),2)</f>
        <v>2.13</v>
      </c>
      <c r="D5" s="2755">
        <f>IF(ISERROR(ROUND(POWER(1+E5,A5-C5)*(POWER(1+E5,C5)-1)/(POWER(1+E5,A5)-1),3)),0,ROUND(POWER(1+E5,A5-C5)*(POWER(1+E5,C5)-1)/(POWER(1+E5,A5)-1),4))</f>
        <v>0.1012</v>
      </c>
      <c r="E5" s="2756">
        <v>0.04</v>
      </c>
      <c r="F5" s="2749"/>
      <c r="I5" s="2765" t="s">
        <v>2572</v>
      </c>
      <c r="J5" s="2765">
        <v>70</v>
      </c>
      <c r="K5" s="2765">
        <v>60</v>
      </c>
      <c r="L5" s="2765">
        <v>15</v>
      </c>
      <c r="M5" s="2765">
        <v>25</v>
      </c>
      <c r="N5" s="2753">
        <v>40</v>
      </c>
      <c r="O5" s="2753">
        <v>50</v>
      </c>
      <c r="P5" s="2753">
        <v>40</v>
      </c>
      <c r="Q5" s="2753">
        <v>15</v>
      </c>
      <c r="R5" s="2753">
        <v>315</v>
      </c>
    </row>
    <row r="6" spans="1:18">
      <c r="A6" s="2754">
        <v>50</v>
      </c>
      <c r="B6" s="2751">
        <v>50028</v>
      </c>
      <c r="C6" s="2753">
        <f>ROUNDDOWN(MIN((B6-B3)/365,A6),2)</f>
        <v>12.14</v>
      </c>
      <c r="D6" s="2755">
        <f>IF(ISERROR(ROUND(POWER(1+E6,A6-C6)*(POWER(1+E6,C6)-1)/(POWER(1+E6,A6)-1),3)),0,ROUND(POWER(1+E6,A6-C6)*(POWER(1+E6,C6)-1)/(POWER(1+E6,A6)-1),4))</f>
        <v>0.44090000000000001</v>
      </c>
      <c r="E6" s="2756">
        <v>0.04</v>
      </c>
      <c r="F6" s="2749"/>
      <c r="I6" s="2765" t="s">
        <v>2573</v>
      </c>
      <c r="J6" s="2765">
        <v>60</v>
      </c>
      <c r="K6" s="2765">
        <v>50</v>
      </c>
      <c r="L6" s="2765">
        <v>10</v>
      </c>
      <c r="M6" s="2765">
        <v>20</v>
      </c>
      <c r="N6" s="2753">
        <v>35</v>
      </c>
      <c r="O6" s="2753">
        <v>40</v>
      </c>
      <c r="P6" s="2753">
        <v>30</v>
      </c>
      <c r="Q6" s="2753">
        <v>10</v>
      </c>
      <c r="R6" s="2753">
        <v>255</v>
      </c>
    </row>
    <row r="7" spans="1:18">
      <c r="A7" s="2754">
        <v>70</v>
      </c>
      <c r="B7" s="2751">
        <v>57333</v>
      </c>
      <c r="C7" s="2753">
        <f>ROUNDDOWN(MIN((B7-B3)/365,A7),2)</f>
        <v>32.15</v>
      </c>
      <c r="D7" s="2755">
        <f>IF(ISERROR(ROUND(POWER(1+E7,A7-C7)*(POWER(1+E7,C7)-1)/(POWER(1+E7,A7)-1),3)),0,ROUND(POWER(1+E7,A7-C7)*(POWER(1+E7,C7)-1)/(POWER(1+E7,A7)-1),4))</f>
        <v>0.76580000000000004</v>
      </c>
      <c r="E7" s="2756">
        <v>0.04</v>
      </c>
      <c r="F7" s="2749"/>
    </row>
    <row r="8" spans="1:18">
      <c r="A8" s="2747"/>
      <c r="B8" s="2748"/>
      <c r="C8" s="2748"/>
      <c r="D8" s="2748"/>
      <c r="E8" s="2748"/>
      <c r="F8" s="2749"/>
    </row>
    <row r="9" spans="1:18">
      <c r="A9" s="2750" t="s">
        <v>2497</v>
      </c>
      <c r="B9" s="2753"/>
      <c r="C9" s="2753"/>
      <c r="D9" s="2753"/>
      <c r="E9" s="2753"/>
      <c r="F9" s="2757"/>
    </row>
    <row r="10" spans="1:18">
      <c r="A10" s="2750" t="s">
        <v>2498</v>
      </c>
      <c r="B10" s="2753"/>
      <c r="C10" s="2753"/>
      <c r="D10" s="2753" t="s">
        <v>2496</v>
      </c>
      <c r="E10" s="2753"/>
      <c r="F10" s="2757" t="s">
        <v>2495</v>
      </c>
    </row>
    <row r="11" spans="1:18">
      <c r="A11" s="2750" t="s">
        <v>2499</v>
      </c>
      <c r="B11" s="2758">
        <v>70</v>
      </c>
      <c r="C11" s="2753" t="s">
        <v>2500</v>
      </c>
      <c r="D11" s="2758">
        <v>4.4999999999999998E-2</v>
      </c>
      <c r="E11" s="2753" t="s">
        <v>2501</v>
      </c>
      <c r="F11" s="2759">
        <f>ROUND(1-(1/(POWER(1+D11,B11))),4)</f>
        <v>0.95409999999999995</v>
      </c>
    </row>
    <row r="12" spans="1:18">
      <c r="A12" s="2750" t="s">
        <v>2502</v>
      </c>
      <c r="B12" s="2758">
        <v>40</v>
      </c>
      <c r="C12" s="2753" t="s">
        <v>2503</v>
      </c>
      <c r="D12" s="2758">
        <v>4.4999999999999998E-2</v>
      </c>
      <c r="E12" s="2753" t="s">
        <v>2504</v>
      </c>
      <c r="F12" s="2759">
        <f>ROUND(1-(1/(POWER(1+D12,B12))),4)</f>
        <v>0.82809999999999995</v>
      </c>
    </row>
    <row r="13" spans="1:18">
      <c r="A13" s="2750" t="s">
        <v>2505</v>
      </c>
      <c r="B13" s="2753"/>
      <c r="C13" s="2753"/>
      <c r="D13" s="2748"/>
      <c r="E13" s="2748"/>
      <c r="F13" s="2749"/>
    </row>
    <row r="14" spans="1:18">
      <c r="A14" s="2750" t="s">
        <v>2506</v>
      </c>
      <c r="B14" s="2758">
        <v>5000</v>
      </c>
      <c r="C14" s="2752"/>
      <c r="D14" s="2748"/>
      <c r="E14" s="2748"/>
      <c r="F14" s="2749"/>
    </row>
    <row r="15" spans="1:18">
      <c r="A15" s="2750" t="s">
        <v>2507</v>
      </c>
      <c r="B15" s="2753">
        <f>ROUND(B14*F12/F11,2)</f>
        <v>4339.6899999999996</v>
      </c>
      <c r="C15" s="2753">
        <f>ROUND(F12/F11,4)</f>
        <v>0.8679</v>
      </c>
      <c r="D15" s="2748"/>
      <c r="E15" s="2748"/>
      <c r="F15" s="2749"/>
    </row>
    <row r="16" spans="1:18">
      <c r="A16" s="2750" t="s">
        <v>2508</v>
      </c>
      <c r="B16" s="2753"/>
      <c r="C16" s="2753"/>
      <c r="D16" s="2748"/>
      <c r="E16" s="2748"/>
      <c r="F16" s="2749"/>
    </row>
    <row r="17" spans="1:13">
      <c r="A17" s="2750" t="s">
        <v>2507</v>
      </c>
      <c r="B17" s="2758">
        <v>4810</v>
      </c>
      <c r="C17" s="2752"/>
      <c r="D17" s="2748"/>
      <c r="E17" s="2748"/>
      <c r="F17" s="2749"/>
    </row>
    <row r="18" spans="1:13" ht="14.25" thickBot="1">
      <c r="A18" s="2760" t="s">
        <v>2506</v>
      </c>
      <c r="B18" s="2761">
        <f>ROUND(B17*F11/F12,2)</f>
        <v>5541.87</v>
      </c>
      <c r="C18" s="2761">
        <f>ROUND(F11/F12,4)</f>
        <v>1.1521999999999999</v>
      </c>
      <c r="D18" s="2762"/>
      <c r="E18" s="2762"/>
      <c r="F18" s="2763"/>
    </row>
    <row r="19" spans="1:13" ht="14.25" thickBot="1"/>
    <row r="20" spans="1:13" s="2796" customFormat="1" ht="14.25" thickTop="1">
      <c r="A20" s="2793" t="s">
        <v>2509</v>
      </c>
      <c r="B20" s="2794"/>
      <c r="C20" s="2794"/>
      <c r="D20" s="2794"/>
      <c r="E20" s="2794"/>
      <c r="F20" s="2794"/>
      <c r="G20" s="2795"/>
      <c r="I20" s="2797" t="s">
        <v>2554</v>
      </c>
      <c r="J20" s="2797" t="s">
        <v>2559</v>
      </c>
      <c r="K20" s="2797"/>
      <c r="L20" s="2797"/>
      <c r="M20" s="2797"/>
    </row>
    <row r="21" spans="1:13">
      <c r="A21" s="2764"/>
      <c r="B21" s="2765" t="s">
        <v>2510</v>
      </c>
      <c r="C21" s="2765" t="s">
        <v>2511</v>
      </c>
      <c r="D21" s="2765" t="s">
        <v>2512</v>
      </c>
      <c r="E21" s="2765" t="s">
        <v>2513</v>
      </c>
      <c r="F21" s="2765" t="s">
        <v>2514</v>
      </c>
      <c r="G21" s="2766" t="s">
        <v>2515</v>
      </c>
      <c r="I21" s="2787">
        <v>5</v>
      </c>
      <c r="J21" s="2787">
        <v>54.2</v>
      </c>
    </row>
    <row r="22" spans="1:13">
      <c r="A22" s="2764" t="s">
        <v>2516</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2517</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2557</v>
      </c>
      <c r="M23" s="2787" t="s">
        <v>2558</v>
      </c>
    </row>
    <row r="24" spans="1:13">
      <c r="A24" s="2764" t="s">
        <v>2518</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2556</v>
      </c>
      <c r="M24" s="2787">
        <v>10</v>
      </c>
    </row>
    <row r="25" spans="1:13">
      <c r="A25" s="2764" t="s">
        <v>2519</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2560</v>
      </c>
      <c r="M25" s="2787">
        <v>8</v>
      </c>
    </row>
    <row r="26" spans="1:13">
      <c r="A26" s="2769"/>
      <c r="B26" s="2770"/>
      <c r="C26" s="2770"/>
      <c r="D26" s="2770"/>
      <c r="E26" s="2770"/>
      <c r="F26" s="2770"/>
      <c r="G26" s="2771"/>
      <c r="I26" s="2787">
        <v>30</v>
      </c>
      <c r="J26" s="2787">
        <v>90.5</v>
      </c>
      <c r="K26" s="2787">
        <f t="shared" si="2"/>
        <v>4.2000000000000028</v>
      </c>
      <c r="L26" s="2787" t="s">
        <v>2561</v>
      </c>
      <c r="M26" s="2787">
        <v>5</v>
      </c>
    </row>
    <row r="27" spans="1:13">
      <c r="A27" s="2769" t="s">
        <v>2520</v>
      </c>
      <c r="B27" s="2770"/>
      <c r="C27" s="2770"/>
      <c r="D27" s="2770"/>
      <c r="E27" s="2770"/>
      <c r="F27" s="2770"/>
      <c r="G27" s="2771"/>
      <c r="I27" s="2787">
        <v>35</v>
      </c>
      <c r="J27" s="2787">
        <v>93.8</v>
      </c>
      <c r="K27" s="2787">
        <f t="shared" si="2"/>
        <v>3.2999999999999972</v>
      </c>
      <c r="L27" s="2787" t="s">
        <v>2562</v>
      </c>
      <c r="M27" s="2787">
        <v>3</v>
      </c>
    </row>
    <row r="28" spans="1:13">
      <c r="A28" s="2769" t="s">
        <v>2521</v>
      </c>
      <c r="B28" s="2770"/>
      <c r="C28" s="2770"/>
      <c r="D28" s="2770"/>
      <c r="E28" s="2770"/>
      <c r="F28" s="2770"/>
      <c r="G28" s="2771"/>
      <c r="I28" s="2787">
        <v>40</v>
      </c>
      <c r="J28" s="2787">
        <v>96.4</v>
      </c>
      <c r="K28" s="2787">
        <f t="shared" si="2"/>
        <v>2.6000000000000085</v>
      </c>
      <c r="L28" s="2787" t="s">
        <v>2563</v>
      </c>
      <c r="M28" s="2787">
        <v>2</v>
      </c>
    </row>
    <row r="29" spans="1:13">
      <c r="A29" s="2769" t="s">
        <v>2522</v>
      </c>
      <c r="B29" s="2770"/>
      <c r="C29" s="2770"/>
      <c r="D29" s="2770"/>
      <c r="E29" s="2770"/>
      <c r="F29" s="2770"/>
      <c r="G29" s="2771"/>
      <c r="I29" s="2787">
        <v>45</v>
      </c>
      <c r="J29" s="2787">
        <v>98.4</v>
      </c>
      <c r="K29" s="2787">
        <f t="shared" si="2"/>
        <v>2</v>
      </c>
    </row>
    <row r="30" spans="1:13">
      <c r="A30" s="2769" t="s">
        <v>2523</v>
      </c>
      <c r="B30" s="2770"/>
      <c r="C30" s="2770"/>
      <c r="D30" s="2770"/>
      <c r="E30" s="2770"/>
      <c r="F30" s="2770"/>
      <c r="G30" s="2771"/>
      <c r="I30" s="2787">
        <v>50</v>
      </c>
      <c r="J30" s="2787">
        <v>100</v>
      </c>
      <c r="K30" s="2787">
        <f t="shared" si="2"/>
        <v>1.5999999999999943</v>
      </c>
    </row>
    <row r="31" spans="1:13">
      <c r="A31" s="2769" t="s">
        <v>2524</v>
      </c>
      <c r="B31" s="2770"/>
      <c r="C31" s="2770"/>
      <c r="D31" s="2770"/>
      <c r="E31" s="2770"/>
      <c r="F31" s="2770"/>
      <c r="G31" s="2771"/>
      <c r="I31" s="2787" t="s">
        <v>2555</v>
      </c>
    </row>
    <row r="32" spans="1:13">
      <c r="A32" s="2769" t="s">
        <v>2525</v>
      </c>
      <c r="B32" s="2770"/>
      <c r="C32" s="2770"/>
      <c r="D32" s="2770"/>
      <c r="E32" s="2770"/>
      <c r="F32" s="2770"/>
      <c r="G32" s="2771"/>
    </row>
    <row r="33" spans="1:13">
      <c r="A33" s="2769" t="s">
        <v>2526</v>
      </c>
      <c r="B33" s="2770"/>
      <c r="C33" s="2770"/>
      <c r="D33" s="2770"/>
      <c r="E33" s="2770"/>
      <c r="F33" s="2770"/>
      <c r="G33" s="2771"/>
      <c r="I33" s="2787" t="s">
        <v>2554</v>
      </c>
      <c r="J33" s="2787" t="s">
        <v>2564</v>
      </c>
    </row>
    <row r="34" spans="1:13">
      <c r="A34" s="2769" t="s">
        <v>2527</v>
      </c>
      <c r="B34" s="2770"/>
      <c r="C34" s="2770"/>
      <c r="D34" s="2770"/>
      <c r="E34" s="2770"/>
      <c r="F34" s="2770"/>
      <c r="G34" s="2771"/>
      <c r="I34" s="2787">
        <v>5</v>
      </c>
      <c r="J34" s="2787">
        <v>55.1</v>
      </c>
    </row>
    <row r="35" spans="1:13">
      <c r="A35" s="2769" t="s">
        <v>2528</v>
      </c>
      <c r="B35" s="2770"/>
      <c r="C35" s="2770"/>
      <c r="D35" s="2770"/>
      <c r="E35" s="2770"/>
      <c r="F35" s="2770"/>
      <c r="G35" s="2771"/>
      <c r="I35" s="2787">
        <v>10</v>
      </c>
      <c r="J35" s="2787">
        <v>67</v>
      </c>
      <c r="K35" s="2787">
        <f>J35-J34</f>
        <v>11.899999999999999</v>
      </c>
    </row>
    <row r="36" spans="1:13">
      <c r="A36" s="2769" t="s">
        <v>2529</v>
      </c>
      <c r="B36" s="2770"/>
      <c r="C36" s="2770"/>
      <c r="D36" s="2770"/>
      <c r="E36" s="2770"/>
      <c r="F36" s="2770"/>
      <c r="G36" s="2771"/>
      <c r="I36" s="2787">
        <v>15</v>
      </c>
      <c r="J36" s="2787">
        <v>76.3</v>
      </c>
      <c r="K36" s="2787">
        <f t="shared" ref="K36:K41" si="3">J36-J35</f>
        <v>9.2999999999999972</v>
      </c>
      <c r="L36" s="2787" t="s">
        <v>2557</v>
      </c>
      <c r="M36" s="2787" t="s">
        <v>2558</v>
      </c>
    </row>
    <row r="37" spans="1:13">
      <c r="A37" s="2769" t="s">
        <v>2530</v>
      </c>
      <c r="B37" s="2770"/>
      <c r="C37" s="2770"/>
      <c r="D37" s="2770"/>
      <c r="E37" s="2770"/>
      <c r="F37" s="2770"/>
      <c r="G37" s="2771"/>
      <c r="I37" s="2787">
        <v>20</v>
      </c>
      <c r="J37" s="2787">
        <v>83.6</v>
      </c>
      <c r="K37" s="2787">
        <f t="shared" si="3"/>
        <v>7.2999999999999972</v>
      </c>
      <c r="L37" s="2787" t="s">
        <v>2556</v>
      </c>
      <c r="M37" s="2787">
        <v>10</v>
      </c>
    </row>
    <row r="38" spans="1:13">
      <c r="A38" s="2769" t="s">
        <v>2531</v>
      </c>
      <c r="B38" s="2770"/>
      <c r="C38" s="2770"/>
      <c r="D38" s="2770"/>
      <c r="E38" s="2770"/>
      <c r="F38" s="2770"/>
      <c r="G38" s="2771"/>
      <c r="I38" s="2787">
        <v>25</v>
      </c>
      <c r="J38" s="2787">
        <v>89.3</v>
      </c>
      <c r="K38" s="2787">
        <f t="shared" si="3"/>
        <v>5.7000000000000028</v>
      </c>
      <c r="L38" s="2787" t="s">
        <v>2560</v>
      </c>
      <c r="M38" s="2787">
        <v>8</v>
      </c>
    </row>
    <row r="39" spans="1:13">
      <c r="A39" s="2769"/>
      <c r="B39" s="2770"/>
      <c r="C39" s="2770"/>
      <c r="D39" s="2770"/>
      <c r="E39" s="2770"/>
      <c r="F39" s="2770"/>
      <c r="G39" s="2771"/>
      <c r="I39" s="2787">
        <v>30</v>
      </c>
      <c r="J39" s="2787">
        <v>93.8</v>
      </c>
      <c r="K39" s="2787">
        <f t="shared" si="3"/>
        <v>4.5</v>
      </c>
      <c r="L39" s="2787" t="s">
        <v>2561</v>
      </c>
      <c r="M39" s="2787">
        <v>6</v>
      </c>
    </row>
    <row r="40" spans="1:13">
      <c r="A40" s="2772" t="s">
        <v>2532</v>
      </c>
      <c r="B40" s="2773"/>
      <c r="C40" s="2773"/>
      <c r="D40" s="2773"/>
      <c r="E40" s="2773"/>
      <c r="F40" s="2773"/>
      <c r="G40" s="2774"/>
      <c r="I40" s="2787">
        <v>35</v>
      </c>
      <c r="J40" s="2787">
        <v>97.2</v>
      </c>
      <c r="K40" s="2787">
        <f t="shared" si="3"/>
        <v>3.4000000000000057</v>
      </c>
      <c r="L40" s="2787" t="s">
        <v>2562</v>
      </c>
      <c r="M40" s="2787">
        <v>3</v>
      </c>
    </row>
    <row r="41" spans="1:13">
      <c r="A41" s="2775" t="s">
        <v>2533</v>
      </c>
      <c r="B41" s="2776" t="s">
        <v>2534</v>
      </c>
      <c r="C41" s="2777" t="s">
        <v>2535</v>
      </c>
      <c r="D41" s="2777" t="s">
        <v>2536</v>
      </c>
      <c r="E41" s="2778"/>
      <c r="F41" s="2779"/>
      <c r="G41" s="2780"/>
      <c r="I41" s="2787">
        <v>40</v>
      </c>
      <c r="J41" s="2787">
        <v>100</v>
      </c>
      <c r="K41" s="2787">
        <f t="shared" si="3"/>
        <v>2.7999999999999972</v>
      </c>
    </row>
    <row r="42" spans="1:13">
      <c r="A42" s="2775" t="s">
        <v>2537</v>
      </c>
      <c r="B42" s="2776" t="s">
        <v>2538</v>
      </c>
      <c r="C42" s="2777" t="s">
        <v>2539</v>
      </c>
      <c r="D42" s="2781" t="s">
        <v>2540</v>
      </c>
      <c r="E42" s="2773" t="s">
        <v>2541</v>
      </c>
      <c r="F42" s="2773"/>
      <c r="G42" s="2774"/>
    </row>
    <row r="43" spans="1:13">
      <c r="A43" s="2775" t="s">
        <v>2542</v>
      </c>
      <c r="B43" s="2776" t="s">
        <v>2543</v>
      </c>
      <c r="C43" s="2777" t="s">
        <v>2544</v>
      </c>
      <c r="D43" s="2777" t="s">
        <v>2545</v>
      </c>
      <c r="E43" s="2778" t="s">
        <v>2546</v>
      </c>
      <c r="F43" s="2779"/>
      <c r="G43" s="2780"/>
      <c r="I43" s="2787" t="s">
        <v>2554</v>
      </c>
      <c r="J43" s="2787" t="s">
        <v>2565</v>
      </c>
    </row>
    <row r="44" spans="1:13">
      <c r="A44" s="2775" t="s">
        <v>2547</v>
      </c>
      <c r="B44" s="2776" t="s">
        <v>2548</v>
      </c>
      <c r="C44" s="2777" t="s">
        <v>2549</v>
      </c>
      <c r="D44" s="2781">
        <v>0.5</v>
      </c>
      <c r="E44" s="2778" t="s">
        <v>2550</v>
      </c>
      <c r="F44" s="2779"/>
      <c r="G44" s="2780"/>
      <c r="I44" s="2787">
        <v>30</v>
      </c>
      <c r="J44" s="2787">
        <v>81.7</v>
      </c>
    </row>
    <row r="45" spans="1:13" ht="14.25" thickBot="1">
      <c r="A45" s="2782" t="s">
        <v>2551</v>
      </c>
      <c r="B45" s="2783" t="s">
        <v>2538</v>
      </c>
      <c r="C45" s="2784" t="s">
        <v>2538</v>
      </c>
      <c r="D45" s="2784" t="s">
        <v>2552</v>
      </c>
      <c r="E45" s="2785" t="s">
        <v>2553</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07" customWidth="1"/>
    <col min="2" max="2" width="10" style="1607" customWidth="1"/>
    <col min="3" max="3" width="11.5" style="1607" customWidth="1"/>
    <col min="4" max="4" width="10" style="1607" customWidth="1"/>
    <col min="5" max="5" width="12.625" style="1607" customWidth="1"/>
    <col min="6" max="6" width="10" style="1607" customWidth="1"/>
    <col min="7" max="7" width="10.75" style="1607" customWidth="1"/>
    <col min="8" max="8" width="10" style="1607" customWidth="1"/>
    <col min="9" max="9" width="11.125" style="1457" customWidth="1"/>
    <col min="10" max="10" width="10" style="1605" customWidth="1"/>
    <col min="11" max="11" width="10" style="2400" customWidth="1"/>
    <col min="12" max="13" width="10" style="2401" customWidth="1"/>
    <col min="14" max="14" width="10" style="1605" customWidth="1"/>
    <col min="15" max="15" width="10" style="9" customWidth="1"/>
    <col min="16" max="17" width="10" style="1605"/>
    <col min="18" max="18" width="10" style="1605" customWidth="1"/>
    <col min="19" max="30" width="10" style="1605"/>
    <col min="31" max="16384" width="10" style="1607"/>
  </cols>
  <sheetData>
    <row r="1" spans="1:30" ht="13.5" thickBot="1">
      <c r="A1" s="2170" t="s">
        <v>2160</v>
      </c>
      <c r="B1" s="3243" t="str">
        <f>IF(B10="北京市","北京市",C10)&amp;F10&amp;IF(结果表!G1="在建","出让国有建设用地使用权及在建建筑物",IF(结果表!G1="土地","出让国有建设用地使用权",))&amp;B9&amp;"预评估"</f>
        <v>北京市房地产市场价值预评估</v>
      </c>
      <c r="C1" s="3244"/>
      <c r="D1" s="3244"/>
      <c r="E1" s="3244"/>
      <c r="F1" s="3244"/>
      <c r="G1" s="3244"/>
      <c r="H1" s="3244"/>
      <c r="I1" s="3245"/>
      <c r="J1" s="2234"/>
      <c r="K1" s="2172"/>
      <c r="L1" s="2173"/>
      <c r="M1" s="2173"/>
      <c r="N1" s="2171"/>
      <c r="O1" s="1455"/>
      <c r="P1" s="2171"/>
      <c r="Q1" s="2171"/>
      <c r="R1" s="2171"/>
      <c r="S1" s="1550" t="str">
        <f>IF(B10="北京市","北京市",C10)&amp;F10&amp;IF(结果表!G1="在建","出让国有建设用地使用权及在建建筑物房地产抵押价值",IF(结果表!G1="土地","出让国有建设用地使用权抵押价值",B9))</f>
        <v>北京市房地产市场价值</v>
      </c>
      <c r="T1" s="1607"/>
      <c r="U1" s="1607"/>
      <c r="V1" s="1607"/>
      <c r="W1" s="1607"/>
      <c r="X1" s="1607"/>
      <c r="Y1" s="1607"/>
      <c r="Z1" s="1607"/>
      <c r="AA1" s="1607"/>
      <c r="AB1" s="1607"/>
    </row>
    <row r="2" spans="1:30">
      <c r="A2" s="2171" t="s">
        <v>2161</v>
      </c>
      <c r="B2" s="121"/>
      <c r="D2" s="2435"/>
      <c r="E2" s="2428"/>
      <c r="F2" s="2428"/>
      <c r="G2" s="2429"/>
      <c r="H2" s="2429"/>
      <c r="I2" s="2429"/>
      <c r="J2" s="2234"/>
      <c r="K2" s="2172"/>
      <c r="L2" s="2173"/>
      <c r="M2" s="2173"/>
      <c r="N2" s="2171"/>
      <c r="O2" s="1455"/>
      <c r="P2" s="2171"/>
      <c r="Q2" s="2171"/>
      <c r="R2" s="2171"/>
      <c r="S2" s="1550" t="str">
        <f>IF(B10="北京市","北京市",C10)&amp;F10&amp;IF(结果表!G1="在建","出让国有建设用地使用权及在建建筑物房地产",IF(结果表!G1="土地","出让国有建设用地使用权","房地产"))</f>
        <v>北京市房地产</v>
      </c>
      <c r="T2" s="1607"/>
      <c r="U2" s="1607"/>
      <c r="V2" s="1607"/>
      <c r="W2" s="1607"/>
      <c r="X2" s="1607"/>
      <c r="Y2" s="1607"/>
      <c r="Z2" s="1607"/>
      <c r="AA2" s="1607"/>
      <c r="AB2" s="1607"/>
    </row>
    <row r="3" spans="1:30">
      <c r="A3" s="293" t="s">
        <v>2162</v>
      </c>
      <c r="B3" s="2174">
        <v>45603</v>
      </c>
      <c r="C3" s="2175" t="s">
        <v>2163</v>
      </c>
      <c r="D3" s="2174">
        <v>45596</v>
      </c>
      <c r="E3" s="2429"/>
      <c r="F3" s="2429"/>
      <c r="G3" s="2429"/>
      <c r="H3" s="2429"/>
      <c r="I3" s="2429"/>
      <c r="J3" s="2234"/>
      <c r="K3" s="2172"/>
      <c r="L3" s="2173"/>
      <c r="M3" s="2173"/>
      <c r="N3" s="2171"/>
      <c r="O3" s="1455"/>
      <c r="P3" s="2171"/>
      <c r="Q3" s="2171"/>
      <c r="R3" s="2171"/>
      <c r="S3" s="1550"/>
      <c r="T3" s="1607"/>
      <c r="U3" s="1607"/>
      <c r="V3" s="1607"/>
      <c r="W3" s="1607"/>
      <c r="X3" s="1607"/>
      <c r="Y3" s="1607"/>
      <c r="Z3" s="1607"/>
      <c r="AA3" s="1607"/>
      <c r="AB3" s="1607"/>
    </row>
    <row r="4" spans="1:30" ht="13.5" thickBot="1">
      <c r="A4" s="1017" t="s">
        <v>2164</v>
      </c>
      <c r="B4" s="2176" t="s">
        <v>3378</v>
      </c>
      <c r="C4" s="2177">
        <f ca="1">SUMIF(注册房地产估价师,B4,估价师及机构信息!B3:B24)</f>
        <v>1120070131</v>
      </c>
      <c r="D4" s="2176" t="s">
        <v>3379</v>
      </c>
      <c r="E4" s="2177">
        <f ca="1">SUMIF(注册房地产估价师,D4,估价师及机构信息!B3:B24)</f>
        <v>1419970001</v>
      </c>
      <c r="F4" s="2176"/>
      <c r="G4" s="2177">
        <f>SUMIF(注册房地产估价师,F4,估价师及机构信息!B3:B24)</f>
        <v>0</v>
      </c>
      <c r="H4" s="2176"/>
      <c r="I4" s="2177">
        <f>SUMIF(注册房地产估价师,H4,估价师及机构信息!B3:B24)</f>
        <v>0</v>
      </c>
      <c r="J4" s="2234"/>
      <c r="K4" s="2178" t="str">
        <f ca="1">CONCATENATE(B4,"（注册号：",C4,")、",D4,"（注册号：",E4,")")</f>
        <v>郑燚（注册号：1120070131)、吴薇（注册号：1419970001)</v>
      </c>
      <c r="L4" s="2173"/>
      <c r="M4" s="2173"/>
      <c r="N4" s="2171"/>
      <c r="O4" s="1455"/>
      <c r="P4" s="2171"/>
      <c r="Q4" s="2171"/>
      <c r="R4" s="2171"/>
      <c r="S4" s="1550"/>
      <c r="T4" s="1607"/>
      <c r="U4" s="1607"/>
      <c r="V4" s="1607"/>
      <c r="W4" s="1607"/>
      <c r="X4" s="1607"/>
      <c r="Y4" s="1607"/>
      <c r="Z4" s="1607"/>
      <c r="AA4" s="1607"/>
      <c r="AB4" s="1607"/>
    </row>
    <row r="5" spans="1:30" ht="13.5" thickTop="1">
      <c r="A5" s="2179" t="s">
        <v>2165</v>
      </c>
      <c r="B5" s="2180"/>
      <c r="C5" s="2181"/>
      <c r="D5" s="2182"/>
      <c r="E5" s="2429"/>
      <c r="F5" s="2429"/>
      <c r="G5" s="2429"/>
      <c r="H5" s="2429"/>
      <c r="I5" s="2429"/>
      <c r="J5" s="2234"/>
      <c r="K5" s="2178" t="str">
        <f>IF(F4="——","",IF(H4="——",F4&amp;"（注册号："&amp;G4&amp;")",CONCATENATE(F4,"（注册号：",G4,")、",H4,"（注册号：",I4,")")))</f>
        <v>（注册号：0)、（注册号：0)</v>
      </c>
      <c r="L5" s="2173"/>
      <c r="M5" s="2173"/>
      <c r="N5" s="2171"/>
      <c r="O5" s="1455"/>
      <c r="P5" s="2171"/>
      <c r="Q5" s="2171"/>
      <c r="R5" s="2171"/>
      <c r="S5" s="1607"/>
      <c r="T5" s="1607"/>
      <c r="U5" s="1607"/>
      <c r="V5" s="1607"/>
      <c r="W5" s="1607"/>
      <c r="X5" s="1607"/>
      <c r="Y5" s="1607"/>
      <c r="Z5" s="1607"/>
      <c r="AA5" s="1607"/>
      <c r="AB5" s="1607"/>
    </row>
    <row r="6" spans="1:30">
      <c r="A6" s="2183" t="s">
        <v>2166</v>
      </c>
      <c r="B6" s="2184"/>
      <c r="C6" s="2185"/>
      <c r="D6" s="2186"/>
      <c r="E6" s="2428"/>
      <c r="F6" s="2429"/>
      <c r="G6" s="2429"/>
      <c r="H6" s="2429"/>
      <c r="I6" s="2429"/>
      <c r="J6" s="2234"/>
      <c r="K6" s="2388" t="str">
        <f>IF(COUNTIF(B6,"*上海银行*"),"上海银行","")</f>
        <v/>
      </c>
      <c r="L6" s="2386"/>
      <c r="M6" s="2386"/>
      <c r="N6" s="2234"/>
      <c r="O6" s="1659"/>
      <c r="P6" s="2234"/>
      <c r="Q6" s="2234"/>
      <c r="R6" s="2234"/>
    </row>
    <row r="7" spans="1:30">
      <c r="A7" s="2183" t="s">
        <v>2167</v>
      </c>
      <c r="B7" s="2187"/>
      <c r="C7" s="2185"/>
      <c r="D7" s="2186"/>
      <c r="E7" s="2428"/>
      <c r="F7" s="2429"/>
      <c r="G7" s="2429"/>
      <c r="H7" s="2429"/>
      <c r="I7" s="2429"/>
      <c r="J7" s="2234"/>
      <c r="K7" s="2389"/>
      <c r="L7" s="2386"/>
      <c r="M7" s="2386"/>
      <c r="N7" s="2234"/>
      <c r="O7" s="1659"/>
      <c r="P7" s="2234"/>
      <c r="Q7" s="2234"/>
      <c r="R7" s="2234"/>
    </row>
    <row r="8" spans="1:30">
      <c r="A8" s="2188" t="s">
        <v>2168</v>
      </c>
      <c r="B8" s="2189" t="s">
        <v>3380</v>
      </c>
      <c r="C8" s="2190"/>
      <c r="D8" s="3246" t="s">
        <v>2169</v>
      </c>
      <c r="E8" s="2191"/>
      <c r="F8" s="2192"/>
      <c r="G8" s="2429"/>
      <c r="H8" s="2429"/>
      <c r="I8" s="2429"/>
      <c r="J8" s="2234"/>
      <c r="K8" s="2387"/>
      <c r="L8" s="2386"/>
      <c r="M8" s="2386"/>
      <c r="N8" s="2234"/>
      <c r="O8" s="1659"/>
      <c r="P8" s="2234"/>
      <c r="Q8" s="2234"/>
      <c r="R8" s="2234"/>
    </row>
    <row r="9" spans="1:30" ht="13.5" thickBot="1">
      <c r="A9" s="2193" t="s">
        <v>2170</v>
      </c>
      <c r="B9" s="2194" t="s">
        <v>3381</v>
      </c>
      <c r="C9" s="2195"/>
      <c r="D9" s="3247"/>
      <c r="E9" s="2194"/>
      <c r="F9" s="2196"/>
      <c r="G9" s="2430"/>
      <c r="H9" s="2430"/>
      <c r="I9" s="2430"/>
      <c r="J9" s="2234"/>
      <c r="K9" s="2389"/>
      <c r="L9" s="2386"/>
      <c r="M9" s="2386"/>
      <c r="N9" s="2234"/>
      <c r="O9" s="1659"/>
      <c r="P9" s="2234"/>
      <c r="Q9" s="2234"/>
      <c r="R9" s="2234"/>
    </row>
    <row r="10" spans="1:30" ht="13.5" thickTop="1">
      <c r="A10" s="2197" t="s">
        <v>2171</v>
      </c>
      <c r="B10" s="2198" t="s">
        <v>3382</v>
      </c>
      <c r="C10" s="2199"/>
      <c r="D10" s="2182"/>
      <c r="E10" s="2200" t="s">
        <v>2172</v>
      </c>
      <c r="F10" s="2431"/>
      <c r="G10" s="2432"/>
      <c r="H10" s="2433"/>
      <c r="I10" s="2434"/>
      <c r="J10" s="2234"/>
      <c r="K10" s="2389"/>
      <c r="L10" s="2386"/>
      <c r="M10" s="2386"/>
      <c r="N10" s="2234"/>
      <c r="O10" s="1659"/>
      <c r="P10" s="2234"/>
      <c r="Q10" s="2234"/>
      <c r="R10" s="2234"/>
    </row>
    <row r="11" spans="1:30">
      <c r="A11" s="2201" t="s">
        <v>2173</v>
      </c>
      <c r="B11" s="2202" t="s">
        <v>3383</v>
      </c>
      <c r="C11" s="2203"/>
      <c r="D11" s="2204"/>
      <c r="E11" s="2171"/>
      <c r="F11" s="2171"/>
      <c r="G11" s="2171"/>
      <c r="H11" s="2171"/>
      <c r="I11" s="2171"/>
      <c r="J11" s="2789"/>
      <c r="K11" s="2386"/>
      <c r="L11" s="2386"/>
      <c r="M11" s="2386"/>
      <c r="N11" s="2234"/>
      <c r="O11" s="1659"/>
      <c r="P11" s="2234"/>
      <c r="Q11" s="2234"/>
      <c r="R11" s="2234"/>
    </row>
    <row r="12" spans="1:30">
      <c r="A12" s="2205" t="s">
        <v>2174</v>
      </c>
      <c r="B12" s="314" t="s">
        <v>2175</v>
      </c>
      <c r="C12" s="2206" t="s">
        <v>2176</v>
      </c>
      <c r="D12" s="2206" t="s">
        <v>2177</v>
      </c>
      <c r="E12" s="2206" t="s">
        <v>2178</v>
      </c>
      <c r="F12" s="2206" t="s">
        <v>2179</v>
      </c>
      <c r="G12" s="2206" t="s">
        <v>2180</v>
      </c>
      <c r="H12" s="2206" t="s">
        <v>2181</v>
      </c>
      <c r="I12" s="2788" t="s">
        <v>2566</v>
      </c>
      <c r="J12" s="2790"/>
      <c r="K12" s="2386"/>
      <c r="L12" s="2386"/>
      <c r="M12" s="2234"/>
      <c r="N12" s="1659"/>
      <c r="O12" s="2234"/>
      <c r="P12" s="2234"/>
      <c r="Q12" s="2234"/>
      <c r="AD12" s="1607"/>
    </row>
    <row r="13" spans="1:30" ht="15">
      <c r="A13" s="3109" t="s">
        <v>3322</v>
      </c>
      <c r="B13" s="2207" t="s">
        <v>2182</v>
      </c>
      <c r="C13" s="797"/>
      <c r="D13" s="3131">
        <v>51266</v>
      </c>
      <c r="E13" s="3131">
        <v>54918</v>
      </c>
      <c r="F13" s="3131">
        <v>54918</v>
      </c>
      <c r="G13" s="797"/>
      <c r="H13" s="797"/>
      <c r="I13" s="797"/>
      <c r="J13" s="2790"/>
      <c r="K13" s="2386"/>
      <c r="L13" s="2386"/>
      <c r="M13" s="2234"/>
      <c r="N13" s="1659"/>
      <c r="O13" s="2234"/>
      <c r="P13" s="2234"/>
      <c r="Q13" s="2234"/>
      <c r="AD13" s="1607"/>
    </row>
    <row r="14" spans="1:30" ht="15">
      <c r="A14" s="1008"/>
      <c r="B14" s="2207" t="s">
        <v>2183</v>
      </c>
      <c r="C14" s="2208"/>
      <c r="D14" s="3132">
        <v>40</v>
      </c>
      <c r="E14" s="3132">
        <v>50</v>
      </c>
      <c r="F14" s="3132">
        <v>50</v>
      </c>
      <c r="G14" s="2208"/>
      <c r="H14" s="2208"/>
      <c r="I14" s="2208"/>
      <c r="J14" s="2791"/>
      <c r="K14" s="2386"/>
      <c r="L14" s="2386"/>
      <c r="M14" s="2234"/>
      <c r="N14" s="1659"/>
      <c r="O14" s="2234"/>
      <c r="P14" s="2234"/>
      <c r="Q14" s="2234"/>
      <c r="AD14" s="1607"/>
    </row>
    <row r="15" spans="1:30">
      <c r="A15" s="311"/>
      <c r="B15" s="2209" t="s">
        <v>2184</v>
      </c>
      <c r="C15" s="2210" t="str">
        <f>IF(A13="出让",IF(C13="","",ROUNDDOWN(MIN((C13-$D$3)/365,C14),2)),C14)</f>
        <v/>
      </c>
      <c r="D15" s="2210">
        <f>IF(A13="出让",IF(D13="","",ROUNDDOWN(MIN((D13-$D$3)/365,D14),2)),D14)</f>
        <v>15.53</v>
      </c>
      <c r="E15" s="2210">
        <f>IF(A13="出让",IF(E13="","",ROUNDDOWN(MIN((E13-$D$3)/365,E14),2)),E14)</f>
        <v>25.53</v>
      </c>
      <c r="F15" s="2210">
        <f>IF(A13="出让",IF(F13="","",ROUNDDOWN(MIN((F13-$D$3)/365,F14),2)),F14)</f>
        <v>25.53</v>
      </c>
      <c r="G15" s="2210" t="str">
        <f>IF(A13="出让",IF(G13="","",ROUNDDOWN(MIN((G13-$D$3)/365,G14),2)),G14)</f>
        <v/>
      </c>
      <c r="H15" s="2210" t="str">
        <f>IF(A13="出让",IF(H13="","",ROUNDDOWN(MIN((H13-$D$3)/365,H14),2)),H14)</f>
        <v/>
      </c>
      <c r="I15" s="2210" t="str">
        <f>IF(A13="出让",IF(I13="","",ROUNDDOWN(MIN((I13-$D$3)/365,I14),2)),I14)</f>
        <v/>
      </c>
      <c r="J15" s="2792"/>
      <c r="K15" s="1659"/>
      <c r="L15" s="1659"/>
      <c r="M15" s="2234"/>
      <c r="N15" s="1659"/>
      <c r="O15" s="2234"/>
      <c r="P15" s="2234"/>
      <c r="Q15" s="2234"/>
      <c r="AD15" s="1607"/>
    </row>
    <row r="16" spans="1:30">
      <c r="A16" s="2200" t="s">
        <v>2185</v>
      </c>
      <c r="B16" s="3253"/>
      <c r="C16" s="3254"/>
      <c r="D16" s="3255"/>
      <c r="E16" s="2211" t="s">
        <v>2186</v>
      </c>
      <c r="F16" s="3256"/>
      <c r="G16" s="3257"/>
      <c r="H16" s="3257"/>
      <c r="I16" s="3258"/>
      <c r="J16" s="2234"/>
      <c r="K16" s="2390"/>
      <c r="L16" s="1659"/>
      <c r="M16" s="1659"/>
      <c r="N16" s="2234"/>
      <c r="O16" s="1659"/>
      <c r="P16" s="2234"/>
      <c r="Q16" s="2234"/>
      <c r="R16" s="2234"/>
    </row>
    <row r="17" spans="1:28">
      <c r="A17" s="304" t="s">
        <v>2187</v>
      </c>
      <c r="B17" s="293" t="s">
        <v>2188</v>
      </c>
      <c r="C17" s="8">
        <f>'数据-汇总表'!E3</f>
        <v>51111.68000000059</v>
      </c>
      <c r="D17" s="1245" t="s">
        <v>2189</v>
      </c>
      <c r="E17" s="3259" t="s">
        <v>2190</v>
      </c>
      <c r="F17" s="3260"/>
      <c r="G17" s="3260"/>
      <c r="H17" s="3260"/>
      <c r="I17" s="3261"/>
      <c r="J17" s="2234"/>
      <c r="K17" s="2391"/>
      <c r="L17" s="1659"/>
      <c r="M17" s="1659"/>
      <c r="N17" s="2234"/>
      <c r="O17" s="1659"/>
      <c r="P17" s="2234"/>
      <c r="Q17" s="2234"/>
      <c r="R17" s="2234"/>
      <c r="S17" s="2234"/>
      <c r="T17" s="2234"/>
      <c r="U17" s="2234"/>
      <c r="V17" s="2234"/>
    </row>
    <row r="18" spans="1:28" ht="24.75" thickBot="1">
      <c r="A18" s="2212" t="s">
        <v>2191</v>
      </c>
      <c r="B18" s="1017" t="s">
        <v>2192</v>
      </c>
      <c r="C18" s="2213">
        <f>'数据-汇总表'!D3</f>
        <v>0</v>
      </c>
      <c r="D18" s="1019" t="s">
        <v>2193</v>
      </c>
      <c r="E18" s="3262" t="s">
        <v>2194</v>
      </c>
      <c r="F18" s="3263"/>
      <c r="G18" s="3263"/>
      <c r="H18" s="3263"/>
      <c r="I18" s="3264"/>
      <c r="J18" s="2234"/>
      <c r="K18" s="2391"/>
      <c r="L18" s="1659"/>
      <c r="M18" s="1659"/>
      <c r="N18" s="2234"/>
      <c r="O18" s="1659"/>
      <c r="P18" s="2234"/>
      <c r="Q18" s="2234"/>
      <c r="R18" s="2234"/>
      <c r="S18" s="2234"/>
      <c r="T18" s="2234"/>
      <c r="U18" s="2234"/>
      <c r="V18" s="2234"/>
    </row>
    <row r="19" spans="1:28" ht="37.5" thickTop="1" thickBot="1">
      <c r="A19" s="318" t="s">
        <v>1052</v>
      </c>
      <c r="B19" s="298" t="s">
        <v>2195</v>
      </c>
      <c r="C19" s="1444"/>
      <c r="D19" s="1445" t="s">
        <v>2196</v>
      </c>
      <c r="E19" s="1446"/>
      <c r="F19" s="1447" t="str">
        <f>IF(AND(C19="是",E19="否"),"是否提供他项权证或相关说明","")</f>
        <v/>
      </c>
      <c r="G19" s="1448"/>
      <c r="H19" s="2429"/>
      <c r="I19" s="2429"/>
      <c r="J19" s="2234"/>
      <c r="K19" s="2389"/>
      <c r="L19" s="2386"/>
      <c r="M19" s="2386"/>
      <c r="N19" s="2234"/>
      <c r="O19" s="1659"/>
      <c r="P19" s="2234"/>
      <c r="Q19" s="2234"/>
      <c r="R19" s="2234"/>
      <c r="S19" s="2234"/>
      <c r="T19" s="2234"/>
      <c r="U19" s="2234"/>
      <c r="V19" s="2234"/>
    </row>
    <row r="20" spans="1:28">
      <c r="A20" s="2404" t="s">
        <v>2197</v>
      </c>
      <c r="B20" s="3249" t="s">
        <v>2198</v>
      </c>
      <c r="C20" s="3250"/>
      <c r="D20" s="3251" t="s">
        <v>2199</v>
      </c>
      <c r="E20" s="3252"/>
      <c r="F20" s="2417" t="s">
        <v>1053</v>
      </c>
      <c r="G20" s="2429"/>
      <c r="H20" s="2429"/>
      <c r="I20" s="2429"/>
      <c r="J20" s="2234"/>
      <c r="K20" s="3248" t="s">
        <v>2200</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5"/>
      <c r="P20" s="2171"/>
      <c r="Q20" s="2171"/>
      <c r="R20" s="2171"/>
      <c r="S20" s="2171"/>
      <c r="T20" s="2171"/>
      <c r="U20" s="2171"/>
      <c r="V20" s="2171"/>
      <c r="W20" s="1607"/>
      <c r="X20" s="1607"/>
      <c r="Y20" s="1607"/>
      <c r="Z20" s="1607"/>
      <c r="AA20" s="1607"/>
      <c r="AB20" s="1607"/>
    </row>
    <row r="21" spans="1:28" ht="24.75" thickBot="1">
      <c r="A21" s="2404"/>
      <c r="B21" s="2405" t="s">
        <v>2201</v>
      </c>
      <c r="C21" s="2283" t="s">
        <v>1054</v>
      </c>
      <c r="D21" s="1449" t="s">
        <v>2202</v>
      </c>
      <c r="E21" s="2406" t="s">
        <v>1054</v>
      </c>
      <c r="F21" s="2418"/>
      <c r="G21" s="2429"/>
      <c r="H21" s="2429"/>
      <c r="I21" s="2429"/>
      <c r="J21" s="2234"/>
      <c r="K21" s="3248"/>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5"/>
      <c r="P21" s="2171"/>
      <c r="Q21" s="2171"/>
      <c r="R21" s="2171"/>
      <c r="S21" s="2171"/>
      <c r="T21" s="2171"/>
      <c r="U21" s="2171"/>
      <c r="V21" s="2171"/>
      <c r="W21" s="1607"/>
      <c r="X21" s="1607"/>
      <c r="Y21" s="1607"/>
      <c r="Z21" s="1607"/>
      <c r="AA21" s="1607"/>
      <c r="AB21" s="1607"/>
    </row>
    <row r="22" spans="1:28" ht="24.75" thickBot="1">
      <c r="A22" s="2404"/>
      <c r="B22" s="2407" t="s">
        <v>2203</v>
      </c>
      <c r="C22" s="2283" t="s">
        <v>1055</v>
      </c>
      <c r="D22" s="2429"/>
      <c r="E22" s="2429"/>
      <c r="F22" s="2429"/>
      <c r="G22" s="2429"/>
      <c r="H22" s="2429"/>
      <c r="I22" s="2429"/>
      <c r="J22" s="2234"/>
      <c r="K22" s="3248"/>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5"/>
      <c r="P22" s="2171"/>
      <c r="Q22" s="2171"/>
      <c r="R22" s="2171"/>
      <c r="S22" s="2171"/>
      <c r="T22" s="2171"/>
      <c r="U22" s="2171"/>
      <c r="V22" s="2171"/>
      <c r="W22" s="1607"/>
      <c r="X22" s="1607"/>
      <c r="Y22" s="1607"/>
      <c r="Z22" s="1607"/>
      <c r="AA22" s="1607"/>
      <c r="AB22" s="1607"/>
    </row>
    <row r="23" spans="1:28">
      <c r="A23" s="2408" t="s">
        <v>2204</v>
      </c>
      <c r="B23" s="2280" t="s">
        <v>2205</v>
      </c>
      <c r="C23" s="2409"/>
      <c r="D23" s="2410" t="s">
        <v>2205</v>
      </c>
      <c r="E23" s="2411"/>
      <c r="F23" s="2429"/>
      <c r="G23" s="2429"/>
      <c r="H23" s="2429"/>
      <c r="I23" s="2429"/>
      <c r="J23" s="2234"/>
      <c r="K23" s="2388"/>
      <c r="L23" s="120"/>
      <c r="M23" s="2386"/>
      <c r="N23" s="2234"/>
      <c r="O23" s="1659"/>
      <c r="P23" s="2234"/>
      <c r="Q23" s="2234"/>
      <c r="R23" s="2234"/>
      <c r="S23" s="2234"/>
      <c r="T23" s="2234"/>
      <c r="U23" s="2234"/>
      <c r="V23" s="2234"/>
    </row>
    <row r="24" spans="1:28">
      <c r="A24" s="2408"/>
      <c r="B24" s="2280" t="s">
        <v>1056</v>
      </c>
      <c r="C24" s="2259"/>
      <c r="D24" s="2408" t="s">
        <v>1056</v>
      </c>
      <c r="E24" s="2412"/>
      <c r="F24" s="2429"/>
      <c r="G24" s="2429"/>
      <c r="H24" s="2429"/>
      <c r="I24" s="2429"/>
      <c r="J24" s="2234"/>
      <c r="K24" s="2388"/>
      <c r="L24" s="120"/>
      <c r="M24" s="2386"/>
      <c r="N24" s="2234"/>
      <c r="O24" s="1659"/>
      <c r="P24" s="2234"/>
      <c r="Q24" s="2234"/>
      <c r="R24" s="2234"/>
      <c r="S24" s="2234"/>
      <c r="T24" s="2234"/>
      <c r="U24" s="2234"/>
      <c r="V24" s="2234"/>
    </row>
    <row r="25" spans="1:28">
      <c r="A25" s="2408"/>
      <c r="B25" s="2280" t="s">
        <v>1057</v>
      </c>
      <c r="C25" s="2259"/>
      <c r="D25" s="2408" t="s">
        <v>1057</v>
      </c>
      <c r="E25" s="2412"/>
      <c r="F25" s="2429"/>
      <c r="G25" s="2429"/>
      <c r="H25" s="2429"/>
      <c r="I25" s="2429"/>
      <c r="J25" s="2234"/>
      <c r="K25" s="2389"/>
      <c r="L25" s="2386"/>
      <c r="M25" s="2386"/>
      <c r="N25" s="2234"/>
      <c r="O25" s="1659"/>
      <c r="P25" s="2234"/>
      <c r="Q25" s="2234"/>
      <c r="R25" s="2234"/>
      <c r="S25" s="2234"/>
      <c r="T25" s="2234"/>
      <c r="U25" s="2234"/>
      <c r="V25" s="2234"/>
    </row>
    <row r="26" spans="1:28" ht="13.5" thickBot="1">
      <c r="A26" s="2413"/>
      <c r="B26" s="2414" t="s">
        <v>1058</v>
      </c>
      <c r="C26" s="2415"/>
      <c r="D26" s="2413" t="s">
        <v>1058</v>
      </c>
      <c r="E26" s="2416"/>
      <c r="F26" s="2430"/>
      <c r="G26" s="2430"/>
      <c r="H26" s="2430"/>
      <c r="I26" s="2430"/>
      <c r="J26" s="2234"/>
      <c r="K26" s="2389"/>
      <c r="L26" s="2386"/>
      <c r="M26" s="2386"/>
      <c r="N26" s="2234"/>
      <c r="O26" s="1659"/>
      <c r="P26" s="2234"/>
      <c r="Q26" s="2234"/>
      <c r="R26" s="2234"/>
      <c r="S26" s="2234"/>
      <c r="T26" s="2234"/>
      <c r="U26" s="2234"/>
      <c r="V26" s="2234"/>
    </row>
    <row r="27" spans="1:28" ht="13.5" thickTop="1">
      <c r="A27" s="3266" t="s">
        <v>2206</v>
      </c>
      <c r="B27" s="311" t="s">
        <v>2207</v>
      </c>
      <c r="C27" s="2214"/>
      <c r="D27" s="2215"/>
      <c r="E27" s="2429"/>
      <c r="F27" s="2429"/>
      <c r="G27" s="2429"/>
      <c r="H27" s="2429"/>
      <c r="I27" s="2429"/>
      <c r="J27" s="2234"/>
      <c r="K27" s="2390"/>
      <c r="L27" s="1659"/>
      <c r="M27" s="1659"/>
      <c r="N27" s="2234"/>
      <c r="O27" s="1659"/>
      <c r="P27" s="2234"/>
      <c r="Q27" s="2234"/>
      <c r="R27" s="2234"/>
      <c r="S27" s="2234"/>
      <c r="T27" s="2234"/>
      <c r="U27" s="2234"/>
      <c r="V27" s="2234"/>
    </row>
    <row r="28" spans="1:28">
      <c r="A28" s="3266"/>
      <c r="B28" s="293" t="s">
        <v>2208</v>
      </c>
      <c r="C28" s="2216"/>
      <c r="D28" s="2217"/>
      <c r="E28" s="2429"/>
      <c r="F28" s="2429"/>
      <c r="G28" s="2429"/>
      <c r="H28" s="2429"/>
      <c r="I28" s="2429"/>
      <c r="J28" s="2234"/>
      <c r="K28" s="2389"/>
      <c r="L28" s="2386"/>
      <c r="M28" s="2386"/>
      <c r="N28" s="2234"/>
      <c r="O28" s="1659"/>
      <c r="P28" s="2234"/>
      <c r="Q28" s="2234"/>
      <c r="R28" s="2234"/>
      <c r="S28" s="2234"/>
      <c r="T28" s="2234"/>
      <c r="U28" s="2234"/>
      <c r="V28" s="2234"/>
    </row>
    <row r="29" spans="1:28">
      <c r="A29" s="3266"/>
      <c r="B29" s="293" t="s">
        <v>2209</v>
      </c>
      <c r="C29" s="2218"/>
      <c r="D29" s="2219"/>
      <c r="E29" s="2429"/>
      <c r="F29" s="2429"/>
      <c r="G29" s="2429"/>
      <c r="H29" s="2429"/>
      <c r="I29" s="2429"/>
      <c r="J29" s="2234"/>
      <c r="K29" s="2389"/>
      <c r="L29" s="2386"/>
      <c r="M29" s="2386"/>
      <c r="N29" s="2234"/>
      <c r="O29" s="1659"/>
      <c r="P29" s="2234"/>
      <c r="Q29" s="2234"/>
      <c r="R29" s="2234"/>
      <c r="S29" s="2234"/>
      <c r="T29" s="2234"/>
      <c r="U29" s="2234"/>
      <c r="V29" s="2234"/>
    </row>
    <row r="30" spans="1:28">
      <c r="A30" s="3267"/>
      <c r="B30" s="293" t="s">
        <v>2210</v>
      </c>
      <c r="C30" s="3268"/>
      <c r="D30" s="3269"/>
      <c r="E30" s="2429"/>
      <c r="F30" s="2429"/>
      <c r="G30" s="2429"/>
      <c r="H30" s="2429"/>
      <c r="I30" s="2429"/>
      <c r="J30" s="2234"/>
      <c r="K30" s="2389"/>
      <c r="L30" s="2386"/>
      <c r="M30" s="2386"/>
      <c r="N30" s="2234"/>
      <c r="O30" s="1659"/>
      <c r="P30" s="2234"/>
      <c r="Q30" s="2234"/>
      <c r="R30" s="2234"/>
      <c r="S30" s="2234"/>
      <c r="T30" s="2234"/>
      <c r="U30" s="2234"/>
      <c r="V30" s="2234"/>
    </row>
    <row r="31" spans="1:28">
      <c r="A31" s="3270" t="s">
        <v>2211</v>
      </c>
      <c r="B31" s="2220"/>
      <c r="C31" s="12" t="str">
        <f>IF(B31="现房","成新及维护状况正常否",IF(B31="在建","工程状态是否正常",IF(B31="土地","是否闲置","-")))</f>
        <v>-</v>
      </c>
      <c r="D31" s="1270"/>
      <c r="E31" s="2221"/>
      <c r="F31" s="2429"/>
      <c r="G31" s="2429"/>
      <c r="H31" s="2429"/>
      <c r="I31" s="2429"/>
      <c r="J31" s="2234"/>
      <c r="K31" s="2388"/>
      <c r="L31" s="2386"/>
      <c r="M31" s="2386"/>
      <c r="N31" s="2234"/>
      <c r="O31" s="1659"/>
      <c r="P31" s="2234"/>
      <c r="Q31" s="2234"/>
      <c r="R31" s="2234"/>
      <c r="S31" s="2234"/>
      <c r="T31" s="2234"/>
      <c r="U31" s="2234"/>
      <c r="V31" s="2234"/>
    </row>
    <row r="32" spans="1:28">
      <c r="A32" s="3271"/>
      <c r="B32" s="2220"/>
      <c r="C32" s="12" t="str">
        <f>IF(B32="现房","成新及维护状况是否正常",IF(B32="在建","工程状态是否正常",IF(B32="土地","是否闲置","-")))</f>
        <v>-</v>
      </c>
      <c r="D32" s="1270"/>
      <c r="E32" s="2221"/>
      <c r="F32" s="2429"/>
      <c r="G32" s="2429"/>
      <c r="H32" s="2429"/>
      <c r="I32" s="2429"/>
      <c r="J32" s="2234"/>
      <c r="K32" s="2389"/>
      <c r="L32" s="2386"/>
      <c r="M32" s="2386"/>
      <c r="N32" s="2234"/>
      <c r="O32" s="1659"/>
      <c r="P32" s="2234"/>
      <c r="Q32" s="2234"/>
      <c r="R32" s="2234"/>
      <c r="S32" s="2234"/>
      <c r="T32" s="2234"/>
      <c r="U32" s="2234"/>
      <c r="V32" s="2234"/>
    </row>
    <row r="33" spans="1:30">
      <c r="A33" s="3271"/>
      <c r="B33" s="2223"/>
      <c r="C33" s="1467" t="str">
        <f>IF(B33="现房","成新及维护状况是否正常",IF(B33="在建","工程状态是否正常",IF(B33="土地","是否闲置","-")))</f>
        <v>-</v>
      </c>
      <c r="D33" s="1263"/>
      <c r="E33" s="2224"/>
      <c r="F33" s="2429"/>
      <c r="G33" s="2429"/>
      <c r="H33" s="2429"/>
      <c r="I33" s="2429"/>
      <c r="J33" s="2234"/>
      <c r="K33" s="2389"/>
      <c r="L33" s="2386"/>
      <c r="M33" s="2386"/>
      <c r="N33" s="2234"/>
      <c r="O33" s="1659"/>
      <c r="P33" s="2234"/>
      <c r="Q33" s="2234"/>
      <c r="R33" s="2234"/>
      <c r="S33" s="2234"/>
      <c r="T33" s="2234"/>
      <c r="U33" s="2234"/>
      <c r="V33" s="2234"/>
    </row>
    <row r="34" spans="1:30">
      <c r="A34" s="293" t="s">
        <v>2212</v>
      </c>
      <c r="B34" s="1859"/>
      <c r="C34" s="1859"/>
      <c r="D34" s="1859"/>
      <c r="E34" s="1859"/>
      <c r="F34" s="1859"/>
      <c r="G34" s="1859"/>
      <c r="H34" s="1859"/>
      <c r="I34" s="2429"/>
      <c r="J34" s="2234"/>
      <c r="K34" s="8">
        <f>COUNTIF(B34:H34,"——")</f>
        <v>0</v>
      </c>
      <c r="L34" s="314" t="s">
        <v>2213</v>
      </c>
      <c r="M34" s="314" t="s">
        <v>2214</v>
      </c>
      <c r="N34" s="314" t="s">
        <v>2215</v>
      </c>
      <c r="O34" s="314" t="s">
        <v>2216</v>
      </c>
      <c r="P34" s="314" t="s">
        <v>2217</v>
      </c>
      <c r="Q34" s="314" t="s">
        <v>2218</v>
      </c>
      <c r="R34" s="314" t="s">
        <v>2219</v>
      </c>
      <c r="S34" s="3265" t="s">
        <v>2220</v>
      </c>
      <c r="T34" s="314" t="str">
        <f>NUMBERSTRING(7-K34,1)&amp;"通"</f>
        <v>七通</v>
      </c>
      <c r="U34" s="2234"/>
      <c r="V34" s="2234"/>
    </row>
    <row r="35" spans="1:30">
      <c r="A35" s="2225"/>
      <c r="B35" s="3265" t="s">
        <v>2221</v>
      </c>
      <c r="C35" s="3265"/>
      <c r="D35" s="3265"/>
      <c r="E35" s="3265"/>
      <c r="F35" s="8">
        <f>C10</f>
        <v>0</v>
      </c>
      <c r="G35" s="2429"/>
      <c r="H35" s="2429"/>
      <c r="I35" s="2429"/>
      <c r="J35" s="223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5"/>
      <c r="T35" s="137" t="str">
        <f>IF(T34="一通",L35,IF(T34="二通",M35,IF(T34="三通",N35,IF(T34="四通",O35,IF(T34="五通",P35,IF(T34="六通",Q35,R35))))))</f>
        <v>、、、、、、</v>
      </c>
      <c r="U35" s="2234"/>
      <c r="V35" s="2234"/>
    </row>
    <row r="36" spans="1:30">
      <c r="A36" s="2172"/>
      <c r="B36" s="8" t="s">
        <v>2177</v>
      </c>
      <c r="C36" s="8" t="s">
        <v>2178</v>
      </c>
      <c r="D36" s="8" t="s">
        <v>2176</v>
      </c>
      <c r="E36" s="8" t="s">
        <v>2181</v>
      </c>
      <c r="F36" s="2788" t="s">
        <v>2569</v>
      </c>
      <c r="G36" s="2429"/>
      <c r="H36" s="2429"/>
      <c r="I36" s="2429"/>
      <c r="J36" s="2234"/>
      <c r="K36" s="2389"/>
      <c r="L36" s="2386"/>
      <c r="M36" s="2386"/>
      <c r="N36" s="2234"/>
      <c r="O36" s="1659"/>
      <c r="P36" s="2234"/>
      <c r="Q36" s="2234"/>
      <c r="R36" s="2234"/>
      <c r="S36" s="2234"/>
      <c r="T36" s="2234"/>
      <c r="U36" s="2234"/>
      <c r="V36" s="2234"/>
    </row>
    <row r="37" spans="1:30">
      <c r="A37" s="2402" t="s">
        <v>2222</v>
      </c>
      <c r="B37" s="2226"/>
      <c r="C37" s="2226"/>
      <c r="D37" s="2226"/>
      <c r="E37" s="2226"/>
      <c r="F37" s="2226"/>
      <c r="G37" s="2429"/>
      <c r="H37" s="2429"/>
      <c r="I37" s="2429"/>
      <c r="J37" s="2234"/>
      <c r="K37" s="2389"/>
      <c r="L37" s="2386"/>
      <c r="M37" s="2386"/>
      <c r="N37" s="2234"/>
      <c r="O37" s="1659"/>
      <c r="P37" s="2234"/>
      <c r="Q37" s="2234"/>
      <c r="R37" s="2234"/>
      <c r="S37" s="2234"/>
      <c r="T37" s="2234"/>
      <c r="U37" s="2234"/>
      <c r="V37" s="2234"/>
    </row>
    <row r="38" spans="1:30" ht="13.5" thickBot="1">
      <c r="A38" s="2403" t="s">
        <v>2223</v>
      </c>
      <c r="B38" s="2227"/>
      <c r="C38" s="2227"/>
      <c r="D38" s="2227"/>
      <c r="E38" s="2227"/>
      <c r="F38" s="2227"/>
      <c r="G38" s="2430"/>
      <c r="H38" s="2430"/>
      <c r="I38" s="2430"/>
      <c r="J38" s="2234"/>
      <c r="K38" s="2389"/>
      <c r="L38" s="2386"/>
      <c r="M38" s="2386"/>
      <c r="N38" s="2234"/>
      <c r="O38" s="1659"/>
      <c r="P38" s="2234"/>
      <c r="Q38" s="2234"/>
      <c r="R38" s="2234"/>
      <c r="S38" s="2234"/>
      <c r="T38" s="2234"/>
      <c r="U38" s="2234"/>
      <c r="V38" s="2234"/>
    </row>
    <row r="39" spans="1:30" s="2230" customFormat="1" ht="14.25" thickTop="1" thickBot="1">
      <c r="A39" s="2228" t="s">
        <v>2224</v>
      </c>
      <c r="B39" s="2229"/>
      <c r="C39" s="2229"/>
      <c r="D39" s="2229"/>
      <c r="E39" s="2229"/>
      <c r="F39" s="2229"/>
      <c r="G39" s="2229"/>
      <c r="H39" s="2229"/>
      <c r="I39" s="2229"/>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1"/>
      <c r="B40" s="2171"/>
      <c r="C40" s="2171"/>
      <c r="D40" s="2171"/>
      <c r="E40" s="2171"/>
      <c r="F40" s="2171"/>
      <c r="G40" s="2171"/>
      <c r="H40" s="2171"/>
      <c r="I40" s="1455"/>
      <c r="J40" s="2234"/>
      <c r="K40" s="2388"/>
      <c r="L40" s="1659"/>
      <c r="M40" s="1659"/>
      <c r="N40" s="2234"/>
      <c r="O40" s="1659"/>
      <c r="P40" s="2234"/>
      <c r="Q40" s="2234"/>
      <c r="R40" s="2234"/>
      <c r="S40" s="2234"/>
      <c r="T40" s="2234"/>
      <c r="U40" s="2234"/>
      <c r="V40" s="2234"/>
    </row>
    <row r="41" spans="1:30">
      <c r="A41" s="2231" t="s">
        <v>2225</v>
      </c>
      <c r="B41" s="1616"/>
      <c r="C41" s="1270"/>
      <c r="D41" s="2171"/>
      <c r="E41" s="2171"/>
      <c r="F41" s="2171"/>
      <c r="G41" s="2171"/>
      <c r="H41" s="2171"/>
      <c r="I41" s="1455"/>
      <c r="J41" s="2234"/>
      <c r="K41" s="2389"/>
      <c r="L41" s="2386"/>
      <c r="M41" s="2386"/>
      <c r="N41" s="2234"/>
      <c r="O41" s="1659"/>
      <c r="P41" s="2234"/>
      <c r="Q41" s="2234"/>
      <c r="R41" s="2234"/>
      <c r="S41" s="2234"/>
      <c r="T41" s="2234"/>
      <c r="U41" s="2234"/>
      <c r="V41" s="2234"/>
    </row>
    <row r="42" spans="1:30" ht="25.5">
      <c r="A42" s="314" t="s">
        <v>2226</v>
      </c>
      <c r="B42" s="8" t="s">
        <v>2227</v>
      </c>
      <c r="C42" s="8" t="s">
        <v>2228</v>
      </c>
      <c r="D42" s="8" t="s">
        <v>2229</v>
      </c>
      <c r="E42" s="8" t="s">
        <v>2230</v>
      </c>
      <c r="F42" s="8" t="s">
        <v>2231</v>
      </c>
      <c r="G42" s="8" t="s">
        <v>2232</v>
      </c>
      <c r="H42" s="8" t="s">
        <v>2233</v>
      </c>
      <c r="I42" s="8" t="s">
        <v>2234</v>
      </c>
      <c r="J42" s="2398" t="s">
        <v>2235</v>
      </c>
      <c r="K42" s="2399" t="s">
        <v>2236</v>
      </c>
      <c r="L42" s="2399" t="s">
        <v>2237</v>
      </c>
      <c r="M42" s="2399" t="s">
        <v>2238</v>
      </c>
      <c r="N42" s="2392" t="s">
        <v>2239</v>
      </c>
      <c r="O42" s="2392" t="s">
        <v>2240</v>
      </c>
      <c r="P42" s="2392" t="s">
        <v>2241</v>
      </c>
      <c r="Q42" s="2393" t="s">
        <v>2242</v>
      </c>
      <c r="R42" s="2393" t="s">
        <v>2243</v>
      </c>
      <c r="S42" s="2234"/>
      <c r="T42" s="2234"/>
      <c r="U42" s="2234"/>
      <c r="V42" s="2234"/>
    </row>
    <row r="43" spans="1:30" s="1605" customFormat="1">
      <c r="A43" s="1451"/>
      <c r="B43" s="626"/>
      <c r="C43" s="626"/>
      <c r="D43" s="626"/>
      <c r="E43" s="626"/>
      <c r="F43" s="626"/>
      <c r="G43" s="626"/>
      <c r="H43" s="626"/>
      <c r="I43" s="626"/>
      <c r="J43" s="2232"/>
      <c r="K43" s="2233"/>
      <c r="L43" s="2233"/>
      <c r="M43" s="626"/>
      <c r="N43" s="626"/>
      <c r="O43" s="626"/>
      <c r="P43" s="626"/>
      <c r="Q43" s="626"/>
      <c r="R43" s="626"/>
      <c r="S43" s="2234"/>
      <c r="T43" s="2234"/>
      <c r="U43" s="2234"/>
      <c r="V43" s="2234"/>
    </row>
    <row r="44" spans="1:30" s="1605" customFormat="1">
      <c r="A44" s="1451"/>
      <c r="B44" s="1451"/>
      <c r="C44" s="626"/>
      <c r="D44" s="626"/>
      <c r="E44" s="626"/>
      <c r="F44" s="626"/>
      <c r="G44" s="626"/>
      <c r="H44" s="626"/>
      <c r="I44" s="626"/>
      <c r="J44" s="2232"/>
      <c r="K44" s="2233"/>
      <c r="L44" s="2233"/>
      <c r="M44" s="626"/>
      <c r="N44" s="626"/>
      <c r="O44" s="626"/>
      <c r="P44" s="626"/>
      <c r="Q44" s="626"/>
      <c r="R44" s="626"/>
      <c r="S44" s="2234"/>
      <c r="T44" s="2234"/>
      <c r="U44" s="2234"/>
      <c r="V44" s="2234"/>
    </row>
    <row r="45" spans="1:30" s="1605" customFormat="1">
      <c r="A45" s="1451"/>
      <c r="B45" s="1451"/>
      <c r="C45" s="626"/>
      <c r="D45" s="626"/>
      <c r="E45" s="626"/>
      <c r="F45" s="626"/>
      <c r="G45" s="626"/>
      <c r="H45" s="626"/>
      <c r="I45" s="626"/>
      <c r="J45" s="2232"/>
      <c r="K45" s="2233"/>
      <c r="L45" s="2233"/>
      <c r="M45" s="626"/>
      <c r="N45" s="626"/>
      <c r="O45" s="626"/>
      <c r="P45" s="626"/>
      <c r="Q45" s="626"/>
      <c r="R45" s="626"/>
      <c r="S45" s="2234"/>
      <c r="T45" s="2234"/>
      <c r="U45" s="2234"/>
      <c r="V45" s="2234"/>
    </row>
    <row r="46" spans="1:30" s="1605" customFormat="1">
      <c r="A46" s="1451"/>
      <c r="B46" s="1451"/>
      <c r="C46" s="626"/>
      <c r="D46" s="626"/>
      <c r="E46" s="626"/>
      <c r="F46" s="626"/>
      <c r="G46" s="626"/>
      <c r="H46" s="626"/>
      <c r="I46" s="626"/>
      <c r="J46" s="2232"/>
      <c r="K46" s="2233"/>
      <c r="L46" s="2233"/>
      <c r="M46" s="626"/>
      <c r="N46" s="626"/>
      <c r="O46" s="626"/>
      <c r="P46" s="626"/>
      <c r="Q46" s="626"/>
      <c r="R46" s="626"/>
      <c r="S46" s="2234"/>
      <c r="T46" s="2234"/>
      <c r="U46" s="2234"/>
      <c r="V46" s="2234"/>
    </row>
    <row r="47" spans="1:30" s="1605" customFormat="1">
      <c r="A47" s="1451"/>
      <c r="B47" s="1451"/>
      <c r="C47" s="626"/>
      <c r="D47" s="626"/>
      <c r="E47" s="626"/>
      <c r="F47" s="626"/>
      <c r="G47" s="626"/>
      <c r="H47" s="626"/>
      <c r="I47" s="626"/>
      <c r="J47" s="2232"/>
      <c r="K47" s="2233"/>
      <c r="L47" s="2233"/>
      <c r="M47" s="626"/>
      <c r="N47" s="626"/>
      <c r="O47" s="626"/>
      <c r="P47" s="626"/>
      <c r="Q47" s="626"/>
      <c r="R47" s="626"/>
      <c r="S47" s="2234"/>
      <c r="T47" s="2234"/>
      <c r="U47" s="2234"/>
      <c r="V47" s="2234"/>
    </row>
    <row r="48" spans="1:30" s="1605" customFormat="1">
      <c r="A48" s="1451"/>
      <c r="B48" s="1451"/>
      <c r="C48" s="626"/>
      <c r="D48" s="626"/>
      <c r="E48" s="626"/>
      <c r="F48" s="626"/>
      <c r="G48" s="626"/>
      <c r="H48" s="626"/>
      <c r="I48" s="626"/>
      <c r="J48" s="2232"/>
      <c r="K48" s="2233"/>
      <c r="L48" s="2233"/>
      <c r="M48" s="626"/>
      <c r="N48" s="626"/>
      <c r="O48" s="626"/>
      <c r="P48" s="626"/>
      <c r="Q48" s="626"/>
      <c r="R48" s="626"/>
      <c r="S48" s="2234"/>
      <c r="T48" s="2234"/>
      <c r="U48" s="2234"/>
      <c r="V48" s="2234"/>
    </row>
    <row r="49" spans="1:22" s="1605" customFormat="1">
      <c r="A49" s="1451"/>
      <c r="B49" s="1451"/>
      <c r="C49" s="626"/>
      <c r="D49" s="626"/>
      <c r="E49" s="626"/>
      <c r="F49" s="626"/>
      <c r="G49" s="626"/>
      <c r="H49" s="626"/>
      <c r="I49" s="626"/>
      <c r="J49" s="2232"/>
      <c r="K49" s="2233"/>
      <c r="L49" s="2233"/>
      <c r="M49" s="626"/>
      <c r="N49" s="626"/>
      <c r="O49" s="626"/>
      <c r="P49" s="626"/>
      <c r="Q49" s="626"/>
      <c r="R49" s="626"/>
      <c r="S49" s="2234"/>
      <c r="T49" s="2234"/>
      <c r="U49" s="2234"/>
      <c r="V49" s="2234"/>
    </row>
    <row r="50" spans="1:22" s="1605" customFormat="1">
      <c r="A50" s="1451"/>
      <c r="B50" s="1451"/>
      <c r="C50" s="626"/>
      <c r="D50" s="626"/>
      <c r="E50" s="626"/>
      <c r="F50" s="626"/>
      <c r="G50" s="626"/>
      <c r="H50" s="626"/>
      <c r="I50" s="626"/>
      <c r="J50" s="2232"/>
      <c r="K50" s="2233"/>
      <c r="L50" s="2233"/>
      <c r="M50" s="626"/>
      <c r="N50" s="626"/>
      <c r="O50" s="626"/>
      <c r="P50" s="626"/>
      <c r="Q50" s="626"/>
      <c r="R50" s="626"/>
      <c r="S50" s="2234"/>
      <c r="T50" s="2234"/>
      <c r="U50" s="2234"/>
      <c r="V50" s="2234"/>
    </row>
    <row r="51" spans="1:22" s="1605" customFormat="1">
      <c r="A51" s="1451"/>
      <c r="B51" s="1451"/>
      <c r="C51" s="626"/>
      <c r="D51" s="626"/>
      <c r="E51" s="626"/>
      <c r="F51" s="626"/>
      <c r="G51" s="626"/>
      <c r="H51" s="626"/>
      <c r="I51" s="626"/>
      <c r="J51" s="2232"/>
      <c r="K51" s="2233"/>
      <c r="L51" s="2233"/>
      <c r="M51" s="626"/>
      <c r="N51" s="626"/>
      <c r="O51" s="626"/>
      <c r="P51" s="626"/>
      <c r="Q51" s="626"/>
      <c r="R51" s="626"/>
    </row>
    <row r="52" spans="1:22" s="1605" customFormat="1">
      <c r="A52" s="1451"/>
      <c r="B52" s="1451"/>
      <c r="C52" s="1451"/>
      <c r="D52" s="1451"/>
      <c r="E52" s="1451"/>
      <c r="F52" s="626"/>
      <c r="G52" s="1451"/>
      <c r="H52" s="1451"/>
      <c r="I52" s="1451"/>
      <c r="J52" s="2235"/>
      <c r="K52" s="2233"/>
      <c r="L52" s="2233"/>
      <c r="M52" s="2233"/>
      <c r="N52" s="1451"/>
      <c r="O52" s="1451"/>
      <c r="P52" s="1451"/>
      <c r="Q52" s="1451"/>
      <c r="R52" s="1451"/>
    </row>
    <row r="53" spans="1:22" s="1605" customFormat="1">
      <c r="A53" s="1451"/>
      <c r="B53" s="1451"/>
      <c r="C53" s="1451"/>
      <c r="D53" s="1451"/>
      <c r="E53" s="1451"/>
      <c r="F53" s="626"/>
      <c r="G53" s="1451"/>
      <c r="H53" s="1451"/>
      <c r="I53" s="1451"/>
      <c r="J53" s="2235"/>
      <c r="K53" s="2233"/>
      <c r="L53" s="2233"/>
      <c r="M53" s="2233"/>
      <c r="N53" s="1451"/>
      <c r="O53" s="1451"/>
      <c r="P53" s="1451"/>
      <c r="Q53" s="1451"/>
      <c r="R53" s="1451"/>
    </row>
    <row r="54" spans="1:22" s="1605" customFormat="1">
      <c r="A54" s="1451"/>
      <c r="B54" s="1451"/>
      <c r="C54" s="1451"/>
      <c r="D54" s="1451"/>
      <c r="E54" s="1451"/>
      <c r="F54" s="626"/>
      <c r="G54" s="1451"/>
      <c r="H54" s="1451"/>
      <c r="I54" s="1451"/>
      <c r="J54" s="2235"/>
      <c r="K54" s="2233"/>
      <c r="L54" s="2233"/>
      <c r="M54" s="2233"/>
      <c r="N54" s="1451"/>
      <c r="O54" s="1451"/>
      <c r="P54" s="1451"/>
      <c r="Q54" s="1451"/>
      <c r="R54" s="1451"/>
    </row>
    <row r="55" spans="1:22" s="1605" customFormat="1">
      <c r="A55" s="1451"/>
      <c r="B55" s="1451"/>
      <c r="C55" s="1451"/>
      <c r="D55" s="1451"/>
      <c r="E55" s="1451"/>
      <c r="F55" s="626"/>
      <c r="G55" s="1451"/>
      <c r="H55" s="1451"/>
      <c r="I55" s="1451"/>
      <c r="J55" s="2235"/>
      <c r="K55" s="2233"/>
      <c r="L55" s="2233"/>
      <c r="M55" s="2233"/>
      <c r="N55" s="1451"/>
      <c r="O55" s="1451"/>
      <c r="P55" s="1451"/>
      <c r="Q55" s="1451"/>
      <c r="R55" s="1451"/>
    </row>
    <row r="56" spans="1:22" s="1605" customFormat="1">
      <c r="A56" s="1451"/>
      <c r="B56" s="1451"/>
      <c r="C56" s="1451"/>
      <c r="D56" s="1451"/>
      <c r="E56" s="1451"/>
      <c r="F56" s="626"/>
      <c r="G56" s="1451"/>
      <c r="H56" s="1451"/>
      <c r="I56" s="1451"/>
      <c r="J56" s="2235"/>
      <c r="K56" s="2233"/>
      <c r="L56" s="2233"/>
      <c r="M56" s="2233"/>
      <c r="N56" s="1451"/>
      <c r="O56" s="1451"/>
      <c r="P56" s="1451"/>
      <c r="Q56" s="1451"/>
      <c r="R56" s="14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O13"/>
    </sheetView>
  </sheetViews>
  <sheetFormatPr defaultColWidth="8.875" defaultRowHeight="14.25"/>
  <cols>
    <col min="1" max="1" width="10.625" style="1452" customWidth="1"/>
    <col min="2" max="2" width="11" style="1452" customWidth="1"/>
    <col min="3" max="3" width="10.375" style="1452" customWidth="1"/>
    <col min="4" max="4" width="9.125" style="1452" customWidth="1"/>
    <col min="5" max="8" width="10" style="1452" customWidth="1"/>
    <col min="9" max="9" width="10.625" style="1452" customWidth="1"/>
    <col min="10" max="10" width="9.5" style="1452" hidden="1" customWidth="1"/>
    <col min="11" max="11" width="11" style="1452" customWidth="1"/>
    <col min="12" max="12" width="9.5" style="1452" hidden="1" customWidth="1"/>
    <col min="13" max="13" width="9.5" style="1452" customWidth="1"/>
    <col min="14" max="14" width="9.5" style="1452" hidden="1" customWidth="1"/>
    <col min="15" max="15" width="9.875" style="1452" customWidth="1"/>
    <col min="16" max="16" width="9.75" style="1452" hidden="1" customWidth="1"/>
    <col min="17" max="17" width="9.375" style="1452" customWidth="1"/>
    <col min="18" max="18" width="9.25" style="1452" customWidth="1"/>
    <col min="19" max="19" width="10.875" style="1452" customWidth="1"/>
    <col min="20" max="20" width="10.75" style="1452" customWidth="1"/>
    <col min="21" max="21" width="10.75" style="1452" hidden="1" customWidth="1"/>
    <col min="22" max="22" width="10.875" style="1452" hidden="1" customWidth="1"/>
    <col min="23" max="27" width="10.75" style="1452" hidden="1" customWidth="1"/>
    <col min="28" max="28" width="10.875" style="1452" hidden="1"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1059</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1060</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1061</v>
      </c>
      <c r="B2" s="8" t="s">
        <v>1062</v>
      </c>
      <c r="C2" s="8" t="s">
        <v>1063</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1064</v>
      </c>
      <c r="AZ2" s="977" t="s">
        <v>1065</v>
      </c>
      <c r="BA2" s="8" t="s">
        <v>1066</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10"/>
      <c r="B3" s="11">
        <f>IF(C3="否",G5-AT5,G5)</f>
        <v>51111.68000000059</v>
      </c>
      <c r="C3" s="1458" t="s">
        <v>1067</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c r="AZ3" s="626"/>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2" t="s">
        <v>1068</v>
      </c>
      <c r="B5" s="1248"/>
      <c r="C5" s="1248"/>
      <c r="D5" s="1249"/>
      <c r="E5" s="13" t="s">
        <v>0</v>
      </c>
      <c r="F5" s="13">
        <f>SUM(F13:F587)</f>
        <v>0</v>
      </c>
      <c r="G5" s="13">
        <f>SUM(G13:G587)</f>
        <v>51111.68000000059</v>
      </c>
      <c r="H5" s="13">
        <f t="shared" ref="H5:AT5" si="0">SUM(H13:H656)</f>
        <v>51111.68000000059</v>
      </c>
      <c r="I5" s="13">
        <f t="shared" si="0"/>
        <v>134.51</v>
      </c>
      <c r="J5" s="13">
        <f t="shared" si="0"/>
        <v>0</v>
      </c>
      <c r="K5" s="13">
        <f t="shared" si="0"/>
        <v>1680.55</v>
      </c>
      <c r="L5" s="13">
        <f t="shared" si="0"/>
        <v>0</v>
      </c>
      <c r="M5" s="13">
        <f t="shared" si="0"/>
        <v>51.46</v>
      </c>
      <c r="N5" s="13">
        <f t="shared" si="0"/>
        <v>0</v>
      </c>
      <c r="O5" s="13">
        <f t="shared" si="0"/>
        <v>49245.160000000593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7"/>
      <c r="AV5" s="12" t="s">
        <v>1068</v>
      </c>
      <c r="AW5" s="1248"/>
      <c r="AX5" s="1248"/>
      <c r="AY5" s="14" t="s">
        <v>2</v>
      </c>
      <c r="AZ5" s="15">
        <f t="shared" ref="AZ5:BT5" si="1">SUM(AZ13:AZ656)</f>
        <v>51111.68000000059</v>
      </c>
      <c r="BA5" s="15">
        <f t="shared" si="1"/>
        <v>51111.68000000059</v>
      </c>
      <c r="BB5" s="15">
        <f t="shared" si="1"/>
        <v>134.51</v>
      </c>
      <c r="BC5" s="15">
        <f t="shared" si="1"/>
        <v>1680.55</v>
      </c>
      <c r="BD5" s="15">
        <f t="shared" si="1"/>
        <v>51.46</v>
      </c>
      <c r="BE5" s="15">
        <f t="shared" si="1"/>
        <v>49245.160000000593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6" customFormat="1" ht="12.75">
      <c r="A6" s="12" t="s">
        <v>1069</v>
      </c>
      <c r="B6" s="1463"/>
      <c r="C6" s="1463"/>
      <c r="D6" s="146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5"/>
      <c r="AV6" s="12" t="s">
        <v>1069</v>
      </c>
      <c r="AW6" s="1463"/>
      <c r="AX6" s="146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7" customFormat="1" ht="24.75">
      <c r="A7" s="1450" t="s">
        <v>1070</v>
      </c>
      <c r="B7" s="1450" t="s">
        <v>1071</v>
      </c>
      <c r="C7" s="1450" t="s">
        <v>1072</v>
      </c>
      <c r="D7" s="1450" t="s">
        <v>1073</v>
      </c>
      <c r="E7" s="1450" t="s">
        <v>1074</v>
      </c>
      <c r="F7" s="1450" t="s">
        <v>1075</v>
      </c>
      <c r="G7" s="1467" t="s">
        <v>1076</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1077</v>
      </c>
      <c r="AV7" s="20" t="s">
        <v>1078</v>
      </c>
      <c r="AW7" s="1455" t="s">
        <v>1079</v>
      </c>
      <c r="AX7" s="20" t="s">
        <v>1072</v>
      </c>
      <c r="AY7" s="1248" t="s">
        <v>1080</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1081</v>
      </c>
      <c r="H8" s="1473" t="s">
        <v>1082</v>
      </c>
      <c r="I8" s="1474"/>
      <c r="J8" s="1258"/>
      <c r="K8" s="1258"/>
      <c r="L8" s="1258"/>
      <c r="M8" s="1258"/>
      <c r="N8" s="1258"/>
      <c r="O8" s="1258"/>
      <c r="P8" s="1258"/>
      <c r="Q8" s="1258"/>
      <c r="R8" s="1258"/>
      <c r="S8" s="1258"/>
      <c r="T8" s="1258"/>
      <c r="U8" s="1258"/>
      <c r="V8" s="1475"/>
      <c r="W8" s="1258"/>
      <c r="X8" s="1258"/>
      <c r="Y8" s="1258"/>
      <c r="Z8" s="1258"/>
      <c r="AA8" s="1475"/>
      <c r="AB8" s="1476"/>
      <c r="AC8" s="755" t="s">
        <v>1083</v>
      </c>
      <c r="AD8" s="1477"/>
      <c r="AE8" s="1469"/>
      <c r="AF8" s="1258"/>
      <c r="AG8" s="1258"/>
      <c r="AH8" s="1258"/>
      <c r="AI8" s="1258"/>
      <c r="AJ8" s="1258"/>
      <c r="AK8" s="1258"/>
      <c r="AL8" s="1258"/>
      <c r="AM8" s="1258"/>
      <c r="AN8" s="1258"/>
      <c r="AO8" s="1258"/>
      <c r="AP8" s="1258"/>
      <c r="AQ8" s="1258"/>
      <c r="AR8" s="1258"/>
      <c r="AS8" s="1258"/>
      <c r="AT8" s="997" t="s">
        <v>1084</v>
      </c>
      <c r="AU8" s="1471" t="s">
        <v>1085</v>
      </c>
      <c r="AV8" s="997"/>
      <c r="AW8" s="1456"/>
      <c r="AX8" s="997"/>
      <c r="AY8" s="1455" t="s">
        <v>1086</v>
      </c>
      <c r="AZ8" s="1257" t="s">
        <v>1087</v>
      </c>
      <c r="BA8" s="1258"/>
      <c r="BB8" s="1258"/>
      <c r="BC8" s="1258"/>
      <c r="BD8" s="1258"/>
      <c r="BE8" s="1258"/>
      <c r="BF8" s="1258"/>
      <c r="BG8" s="1258"/>
      <c r="BH8" s="1258"/>
      <c r="BI8" s="1258"/>
      <c r="BJ8" s="1258"/>
      <c r="BK8" s="1258"/>
      <c r="BL8" s="1258"/>
      <c r="BM8" s="1258"/>
      <c r="BN8" s="1258"/>
      <c r="BO8" s="1258"/>
      <c r="BP8" s="1258"/>
      <c r="BQ8" s="1258"/>
      <c r="BR8" s="1258"/>
      <c r="BS8" s="1258"/>
      <c r="BT8" s="23"/>
    </row>
    <row r="9" spans="1:72" s="1478" customFormat="1" ht="12.75">
      <c r="A9" s="1471"/>
      <c r="B9" s="1471"/>
      <c r="C9" s="1471"/>
      <c r="D9" s="1471"/>
      <c r="E9" s="1471"/>
      <c r="F9" s="1471"/>
      <c r="G9" s="997"/>
      <c r="H9" s="1479" t="s">
        <v>1088</v>
      </c>
      <c r="I9" s="1480" t="s">
        <v>3991</v>
      </c>
      <c r="J9" s="755"/>
      <c r="K9" s="1480" t="s">
        <v>3991</v>
      </c>
      <c r="L9" s="755"/>
      <c r="M9" s="1480" t="s">
        <v>3991</v>
      </c>
      <c r="N9" s="755"/>
      <c r="O9" s="1480" t="s">
        <v>3991</v>
      </c>
      <c r="P9" s="755"/>
      <c r="Q9" s="1480"/>
      <c r="R9" s="755"/>
      <c r="S9" s="1480"/>
      <c r="T9" s="755"/>
      <c r="U9" s="1480"/>
      <c r="V9" s="755"/>
      <c r="W9" s="1480"/>
      <c r="X9" s="1481"/>
      <c r="Y9" s="1480"/>
      <c r="Z9" s="755"/>
      <c r="AA9" s="1480"/>
      <c r="AB9" s="755"/>
      <c r="AC9" s="1472" t="s">
        <v>1088</v>
      </c>
      <c r="AD9" s="12" t="s">
        <v>1089</v>
      </c>
      <c r="AE9" s="1003"/>
      <c r="AF9" s="12" t="s">
        <v>1090</v>
      </c>
      <c r="AG9" s="1003"/>
      <c r="AH9" s="12" t="s">
        <v>1089</v>
      </c>
      <c r="AI9" s="1003"/>
      <c r="AJ9" s="12" t="s">
        <v>1090</v>
      </c>
      <c r="AK9" s="1003"/>
      <c r="AL9" s="12" t="s">
        <v>1089</v>
      </c>
      <c r="AM9" s="1003"/>
      <c r="AN9" s="12" t="s">
        <v>1090</v>
      </c>
      <c r="AO9" s="1003"/>
      <c r="AP9" s="12" t="s">
        <v>1089</v>
      </c>
      <c r="AQ9" s="1003"/>
      <c r="AR9" s="12" t="s">
        <v>1090</v>
      </c>
      <c r="AS9" s="1482"/>
      <c r="AT9" s="1471"/>
      <c r="AU9" s="1471" t="s">
        <v>1091</v>
      </c>
      <c r="AV9" s="997"/>
      <c r="AW9" s="1456"/>
      <c r="AX9" s="997"/>
      <c r="AY9" s="25"/>
      <c r="AZ9" s="25" t="s">
        <v>1081</v>
      </c>
      <c r="BA9" s="1483" t="s">
        <v>1092</v>
      </c>
      <c r="BB9" s="1484"/>
      <c r="BC9" s="1015"/>
      <c r="BD9" s="1015"/>
      <c r="BE9" s="1015"/>
      <c r="BF9" s="1015"/>
      <c r="BG9" s="1015"/>
      <c r="BH9" s="1015"/>
      <c r="BI9" s="1015"/>
      <c r="BJ9" s="1015"/>
      <c r="BK9" s="1485"/>
      <c r="BL9" s="12" t="s">
        <v>1093</v>
      </c>
      <c r="BM9" s="1258"/>
      <c r="BN9" s="1474"/>
      <c r="BO9" s="1258"/>
      <c r="BP9" s="1258"/>
      <c r="BQ9" s="1258"/>
      <c r="BR9" s="1258"/>
      <c r="BS9" s="1258"/>
      <c r="BT9" s="23"/>
    </row>
    <row r="10" spans="1:72" s="1478" customFormat="1" ht="12.75">
      <c r="A10" s="1471"/>
      <c r="B10" s="1471"/>
      <c r="C10" s="1471"/>
      <c r="D10" s="1471"/>
      <c r="E10" s="1471"/>
      <c r="F10" s="1471"/>
      <c r="G10" s="997"/>
      <c r="H10" s="25"/>
      <c r="I10" s="1480" t="s">
        <v>670</v>
      </c>
      <c r="J10" s="755"/>
      <c r="K10" s="1486" t="s">
        <v>670</v>
      </c>
      <c r="L10" s="755"/>
      <c r="M10" s="1486" t="s">
        <v>21</v>
      </c>
      <c r="N10" s="755"/>
      <c r="O10" s="1486" t="s">
        <v>21</v>
      </c>
      <c r="P10" s="755"/>
      <c r="Q10" s="1486"/>
      <c r="R10" s="755"/>
      <c r="S10" s="1486"/>
      <c r="T10" s="755"/>
      <c r="U10" s="1486"/>
      <c r="V10" s="755"/>
      <c r="W10" s="1486"/>
      <c r="X10" s="755"/>
      <c r="Y10" s="1486"/>
      <c r="Z10" s="755"/>
      <c r="AA10" s="1486"/>
      <c r="AB10" s="755"/>
      <c r="AC10" s="997"/>
      <c r="AD10" s="12" t="s">
        <v>1094</v>
      </c>
      <c r="AE10" s="1487"/>
      <c r="AF10" s="12" t="s">
        <v>1094</v>
      </c>
      <c r="AG10" s="1487"/>
      <c r="AH10" s="12" t="s">
        <v>1095</v>
      </c>
      <c r="AI10" s="1487"/>
      <c r="AJ10" s="12" t="s">
        <v>1095</v>
      </c>
      <c r="AK10" s="1487"/>
      <c r="AL10" s="12" t="s">
        <v>1096</v>
      </c>
      <c r="AM10" s="1003"/>
      <c r="AN10" s="12" t="s">
        <v>1096</v>
      </c>
      <c r="AO10" s="1003"/>
      <c r="AP10" s="12" t="s">
        <v>1097</v>
      </c>
      <c r="AQ10" s="1003"/>
      <c r="AR10" s="12" t="s">
        <v>1097</v>
      </c>
      <c r="AS10" s="1003"/>
      <c r="AT10" s="1471"/>
      <c r="AU10" s="1471"/>
      <c r="AV10" s="997"/>
      <c r="AW10" s="1456"/>
      <c r="AX10" s="997"/>
      <c r="AY10" s="25"/>
      <c r="AZ10" s="25"/>
      <c r="BA10" s="1488" t="s">
        <v>1088</v>
      </c>
      <c r="BB10" s="1489" t="str">
        <f>I9</f>
        <v>地上</v>
      </c>
      <c r="BC10" s="26" t="str">
        <f>K9</f>
        <v>地上</v>
      </c>
      <c r="BD10" s="26" t="str">
        <f>M9</f>
        <v>地上</v>
      </c>
      <c r="BE10" s="26" t="str">
        <f>O9</f>
        <v>地上</v>
      </c>
      <c r="BF10" s="26">
        <f>Q9</f>
        <v>0</v>
      </c>
      <c r="BG10" s="26">
        <f>S9</f>
        <v>0</v>
      </c>
      <c r="BH10" s="26">
        <f>U9</f>
        <v>0</v>
      </c>
      <c r="BI10" s="26">
        <f>W9</f>
        <v>0</v>
      </c>
      <c r="BJ10" s="26">
        <f>Y9</f>
        <v>0</v>
      </c>
      <c r="BK10" s="26">
        <f>AA9</f>
        <v>0</v>
      </c>
      <c r="BL10" s="22" t="s">
        <v>1088</v>
      </c>
      <c r="BM10" s="1257" t="str">
        <f>AD9</f>
        <v>地上</v>
      </c>
      <c r="BN10" s="26" t="str">
        <f>AF9</f>
        <v>地下</v>
      </c>
      <c r="BO10" s="1257" t="str">
        <f>AH9</f>
        <v>地上</v>
      </c>
      <c r="BP10" s="26" t="str">
        <f>AJ9</f>
        <v>地下</v>
      </c>
      <c r="BQ10" s="1257" t="str">
        <f>AL9</f>
        <v>地上</v>
      </c>
      <c r="BR10" s="26" t="str">
        <f>AN9</f>
        <v>地下</v>
      </c>
      <c r="BS10" s="1257" t="str">
        <f>AP9</f>
        <v>地上</v>
      </c>
      <c r="BT10" s="1490" t="str">
        <f>AR9</f>
        <v>地下</v>
      </c>
    </row>
    <row r="11" spans="1:72" s="1478" customFormat="1" ht="12.75">
      <c r="A11" s="1471"/>
      <c r="B11" s="1471"/>
      <c r="C11" s="1471"/>
      <c r="D11" s="1471"/>
      <c r="E11" s="1471"/>
      <c r="F11" s="1471"/>
      <c r="G11" s="997"/>
      <c r="H11" s="1488"/>
      <c r="I11" s="1491" t="s">
        <v>3992</v>
      </c>
      <c r="J11" s="1492"/>
      <c r="K11" s="1491" t="s">
        <v>3993</v>
      </c>
      <c r="L11" s="1492"/>
      <c r="M11" s="1491" t="s">
        <v>3994</v>
      </c>
      <c r="N11" s="1492"/>
      <c r="O11" s="1491" t="s">
        <v>3995</v>
      </c>
      <c r="P11" s="1492"/>
      <c r="Q11" s="1491"/>
      <c r="R11" s="1492"/>
      <c r="S11" s="1491"/>
      <c r="T11" s="1492"/>
      <c r="U11" s="1491"/>
      <c r="V11" s="1492"/>
      <c r="W11" s="1491"/>
      <c r="X11" s="1492"/>
      <c r="Y11" s="1491"/>
      <c r="Z11" s="1492"/>
      <c r="AA11" s="1491"/>
      <c r="AB11" s="1492"/>
      <c r="AC11" s="997"/>
      <c r="AD11" s="1493" t="s">
        <v>1098</v>
      </c>
      <c r="AE11" s="1259"/>
      <c r="AF11" s="1493" t="s">
        <v>1098</v>
      </c>
      <c r="AG11" s="1259"/>
      <c r="AH11" s="1493" t="s">
        <v>1099</v>
      </c>
      <c r="AI11" s="1494"/>
      <c r="AJ11" s="1493" t="s">
        <v>1099</v>
      </c>
      <c r="AK11" s="1259"/>
      <c r="AL11" s="1257"/>
      <c r="AM11" s="1259"/>
      <c r="AN11" s="1257"/>
      <c r="AO11" s="1259"/>
      <c r="AP11" s="1257"/>
      <c r="AQ11" s="1259"/>
      <c r="AR11" s="1257"/>
      <c r="AS11" s="1259"/>
      <c r="AT11" s="1456"/>
      <c r="AU11" s="1471"/>
      <c r="AV11" s="997"/>
      <c r="AW11" s="1456"/>
      <c r="AX11" s="997"/>
      <c r="AY11" s="25"/>
      <c r="AZ11" s="25"/>
      <c r="BA11" s="25"/>
      <c r="BB11" s="1476" t="str">
        <f>I10</f>
        <v>商业</v>
      </c>
      <c r="BC11" s="1476" t="str">
        <f>K10</f>
        <v>商业</v>
      </c>
      <c r="BD11" s="1476" t="str">
        <f>M10</f>
        <v>办公</v>
      </c>
      <c r="BE11" s="1476" t="str">
        <f>O10</f>
        <v>办公</v>
      </c>
      <c r="BF11" s="1476">
        <f>Q10</f>
        <v>0</v>
      </c>
      <c r="BG11" s="1476">
        <f>S10</f>
        <v>0</v>
      </c>
      <c r="BH11" s="1476">
        <f>U10</f>
        <v>0</v>
      </c>
      <c r="BI11" s="1476">
        <f>W10</f>
        <v>0</v>
      </c>
      <c r="BJ11" s="1476">
        <f>Y10</f>
        <v>0</v>
      </c>
      <c r="BK11" s="1476">
        <f>AA10</f>
        <v>0</v>
      </c>
      <c r="BL11" s="997"/>
      <c r="BM11" s="1257" t="str">
        <f>AD10</f>
        <v>公共配套设施</v>
      </c>
      <c r="BN11" s="1257" t="str">
        <f>AF10</f>
        <v>公共配套设施</v>
      </c>
      <c r="BO11" s="21" t="str">
        <f>AH10</f>
        <v>物业管理用房</v>
      </c>
      <c r="BP11" s="21" t="str">
        <f>AJ10</f>
        <v>物业管理用房</v>
      </c>
      <c r="BQ11" s="21" t="str">
        <f>AL10</f>
        <v>设备及其他</v>
      </c>
      <c r="BR11" s="21" t="str">
        <f>AN10</f>
        <v>设备及其他</v>
      </c>
      <c r="BS11" s="22" t="str">
        <f>AP10</f>
        <v>未注明</v>
      </c>
      <c r="BT11" s="1495" t="str">
        <f>AR10</f>
        <v>未注明</v>
      </c>
    </row>
    <row r="12" spans="1:72" s="1457" customFormat="1" ht="12.75">
      <c r="A12" s="1496"/>
      <c r="B12" s="1496"/>
      <c r="C12" s="1496"/>
      <c r="D12" s="1496"/>
      <c r="E12" s="1496"/>
      <c r="F12" s="1496"/>
      <c r="G12" s="27"/>
      <c r="H12" s="1497"/>
      <c r="I12" s="12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47" t="s">
        <v>1101</v>
      </c>
      <c r="W12" s="8" t="s">
        <v>1100</v>
      </c>
      <c r="X12" s="8" t="s">
        <v>1101</v>
      </c>
      <c r="Y12" s="8" t="s">
        <v>1100</v>
      </c>
      <c r="Z12" s="8" t="s">
        <v>1101</v>
      </c>
      <c r="AA12" s="8" t="s">
        <v>1100</v>
      </c>
      <c r="AB12" s="8" t="s">
        <v>1101</v>
      </c>
      <c r="AC12" s="1498"/>
      <c r="AD12" s="12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96" t="s">
        <v>1101</v>
      </c>
      <c r="AT12" s="1499"/>
      <c r="AU12" s="1496"/>
      <c r="AV12" s="28"/>
      <c r="AW12" s="1455"/>
      <c r="AX12" s="28"/>
      <c r="AY12" s="1500"/>
      <c r="AZ12" s="25"/>
      <c r="BA12" s="1488"/>
      <c r="BB12" s="21" t="str">
        <f>I11</f>
        <v>基准商业</v>
      </c>
      <c r="BC12" s="1501" t="str">
        <f>K11</f>
        <v>剩余商业</v>
      </c>
      <c r="BD12" s="1501" t="str">
        <f>M11</f>
        <v>基准办公</v>
      </c>
      <c r="BE12" s="1476" t="str">
        <f>O11</f>
        <v>剩余办公</v>
      </c>
      <c r="BF12" s="1476">
        <f>Q11</f>
        <v>0</v>
      </c>
      <c r="BG12" s="1476">
        <f>S11</f>
        <v>0</v>
      </c>
      <c r="BH12" s="1476">
        <f>U11</f>
        <v>0</v>
      </c>
      <c r="BI12" s="1476">
        <f>W11</f>
        <v>0</v>
      </c>
      <c r="BJ12" s="1476">
        <f>Y11</f>
        <v>0</v>
      </c>
      <c r="BK12" s="1476">
        <f>AA11</f>
        <v>0</v>
      </c>
      <c r="BL12" s="997"/>
      <c r="BM12" s="1257" t="str">
        <f>AD11</f>
        <v>（住宅）</v>
      </c>
      <c r="BN12" s="1257" t="str">
        <f>AF11</f>
        <v>（住宅）</v>
      </c>
      <c r="BO12" s="21" t="str">
        <f>AH11</f>
        <v>（住宅、计出让金）</v>
      </c>
      <c r="BP12" s="21" t="str">
        <f>AJ11</f>
        <v>（住宅、计出让金）</v>
      </c>
      <c r="BQ12" s="21">
        <f>AL11</f>
        <v>0</v>
      </c>
      <c r="BR12" s="21">
        <f>AN11</f>
        <v>0</v>
      </c>
      <c r="BS12" s="22">
        <f>AP11</f>
        <v>0</v>
      </c>
      <c r="BT12" s="1495">
        <f>AR11</f>
        <v>0</v>
      </c>
    </row>
    <row r="13" spans="1:72" s="1457" customFormat="1" ht="12.75">
      <c r="A13" s="626"/>
      <c r="B13" s="626"/>
      <c r="C13" s="626"/>
      <c r="D13" s="1502" t="s">
        <v>3996</v>
      </c>
      <c r="E13" s="13">
        <f>IF($C$3="是",ROUND($A$3*G13/$B$3,2),ROUND($A$3*(G13-AT13)/$B$3,2))</f>
        <v>0</v>
      </c>
      <c r="F13" s="29"/>
      <c r="G13" s="30">
        <f>H13+AC13+AT13</f>
        <v>51111.68000000059</v>
      </c>
      <c r="H13" s="17">
        <f>SUMIF(I$12:AB$12,"总值",I13:AB13)</f>
        <v>51111.68000000059</v>
      </c>
      <c r="I13" s="1503">
        <f>面积表!E11</f>
        <v>134.51</v>
      </c>
      <c r="J13" s="1503"/>
      <c r="K13" s="1503">
        <f>面积表!E13-面积表!E11</f>
        <v>1680.55</v>
      </c>
      <c r="L13" s="1503"/>
      <c r="M13" s="1503">
        <f>面积表!E19</f>
        <v>51.46</v>
      </c>
      <c r="N13" s="1503"/>
      <c r="O13" s="1503">
        <f>面积表!E990-'数据-基础表'!M13</f>
        <v>49245.160000000593</v>
      </c>
      <c r="P13" s="1503"/>
      <c r="Q13" s="1503"/>
      <c r="R13" s="1503"/>
      <c r="S13" s="1503"/>
      <c r="T13" s="1503"/>
      <c r="U13" s="1503"/>
      <c r="V13" s="1503"/>
      <c r="W13" s="1503"/>
      <c r="X13" s="1503"/>
      <c r="Y13" s="1503"/>
      <c r="Z13" s="1503"/>
      <c r="AA13" s="1503"/>
      <c r="AB13" s="1503"/>
      <c r="AC13" s="13">
        <f>SUMIF(AD$12:AS$12,"总值",AD13:AS13)</f>
        <v>0</v>
      </c>
      <c r="AD13" s="979"/>
      <c r="AE13" s="979"/>
      <c r="AF13" s="979"/>
      <c r="AG13" s="979"/>
      <c r="AH13" s="979"/>
      <c r="AI13" s="979"/>
      <c r="AJ13" s="979"/>
      <c r="AK13" s="979"/>
      <c r="AL13" s="979"/>
      <c r="AM13" s="979"/>
      <c r="AN13" s="979"/>
      <c r="AO13" s="979"/>
      <c r="AP13" s="979"/>
      <c r="AQ13" s="979"/>
      <c r="AR13" s="979"/>
      <c r="AS13" s="979"/>
      <c r="AT13" s="29"/>
      <c r="AU13" s="1504"/>
      <c r="AV13" s="8">
        <f t="shared" ref="AV13:AX17" si="6">A13</f>
        <v>0</v>
      </c>
      <c r="AW13" s="8">
        <f t="shared" si="6"/>
        <v>0</v>
      </c>
      <c r="AX13" s="8">
        <f t="shared" si="6"/>
        <v>0</v>
      </c>
      <c r="AY13" s="1249">
        <f>ROUND($AY$6*AZ13/$AZ$5,2)</f>
        <v>0</v>
      </c>
      <c r="AZ13" s="13">
        <f>BA13+BL13</f>
        <v>51111.68000000059</v>
      </c>
      <c r="BA13" s="13">
        <f>SUM(BB13:BK13)</f>
        <v>51111.68000000059</v>
      </c>
      <c r="BB13" s="13">
        <f>IF($D13="是",I13-J13,0)</f>
        <v>134.51</v>
      </c>
      <c r="BC13" s="13">
        <f>IF($D13="是",K13-L13,0)</f>
        <v>1680.55</v>
      </c>
      <c r="BD13" s="13">
        <f>IF($D13="是",M13-N13,0)</f>
        <v>51.46</v>
      </c>
      <c r="BE13" s="13">
        <f>IF($D13="是",O13-P13,0)</f>
        <v>49245.160000000593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7" customFormat="1" ht="12.75">
      <c r="A14" s="626"/>
      <c r="B14" s="626"/>
      <c r="C14" s="1451"/>
      <c r="D14" s="1502"/>
      <c r="E14" s="13">
        <f>IF($C$3="是",ROUND($A$3*G14/$B$3,2),ROUND($A$3*(G14-AT14)/$B$3,2))</f>
        <v>0</v>
      </c>
      <c r="F14" s="29"/>
      <c r="G14" s="30">
        <f>H14+AC14+AT14</f>
        <v>0</v>
      </c>
      <c r="H14" s="17">
        <f>SUMIF(I$12:AB$12,"总值",I14:AB14)</f>
        <v>0</v>
      </c>
      <c r="I14" s="1503"/>
      <c r="J14" s="1503"/>
      <c r="K14" s="1503"/>
      <c r="L14" s="1503"/>
      <c r="M14" s="1503"/>
      <c r="N14" s="1503"/>
      <c r="O14" s="1503"/>
      <c r="P14" s="1503"/>
      <c r="Q14" s="1503"/>
      <c r="R14" s="1503"/>
      <c r="S14" s="1503"/>
      <c r="T14" s="1503"/>
      <c r="U14" s="1503"/>
      <c r="V14" s="1503"/>
      <c r="W14" s="1503"/>
      <c r="X14" s="1503"/>
      <c r="Y14" s="1503"/>
      <c r="Z14" s="1503"/>
      <c r="AA14" s="1503"/>
      <c r="AB14" s="1503"/>
      <c r="AC14" s="13">
        <f>SUMIF(AD$12:AS$12,"总值",AD14:AS14)</f>
        <v>0</v>
      </c>
      <c r="AD14" s="979"/>
      <c r="AE14" s="979"/>
      <c r="AF14" s="979"/>
      <c r="AG14" s="979"/>
      <c r="AH14" s="979"/>
      <c r="AI14" s="979"/>
      <c r="AJ14" s="979"/>
      <c r="AK14" s="979"/>
      <c r="AL14" s="979"/>
      <c r="AM14" s="979"/>
      <c r="AN14" s="979"/>
      <c r="AO14" s="979"/>
      <c r="AP14" s="979"/>
      <c r="AQ14" s="979"/>
      <c r="AR14" s="979"/>
      <c r="AS14" s="979"/>
      <c r="AT14" s="29"/>
      <c r="AU14" s="1504"/>
      <c r="AV14" s="8">
        <f t="shared" si="6"/>
        <v>0</v>
      </c>
      <c r="AW14" s="8">
        <f t="shared" si="6"/>
        <v>0</v>
      </c>
      <c r="AX14" s="8">
        <f t="shared" si="6"/>
        <v>0</v>
      </c>
      <c r="AY14" s="12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7" customFormat="1" ht="12.75">
      <c r="A15" s="626"/>
      <c r="B15" s="626"/>
      <c r="C15" s="1451"/>
      <c r="D15" s="1502"/>
      <c r="E15" s="13">
        <f>IF($C$3="是",ROUND($A$3*G15/$B$3,2),ROUND($A$3*(G15-AT15)/$B$3,2))</f>
        <v>0</v>
      </c>
      <c r="F15" s="29"/>
      <c r="G15" s="30">
        <f>H15+AC15+AT15</f>
        <v>0</v>
      </c>
      <c r="H15" s="17">
        <f>SUMIF(I$12:AB$12,"总值",I15:AB15)</f>
        <v>0</v>
      </c>
      <c r="I15" s="1503"/>
      <c r="J15" s="1503"/>
      <c r="K15" s="1503"/>
      <c r="L15" s="1503"/>
      <c r="M15" s="1503"/>
      <c r="N15" s="1503"/>
      <c r="O15" s="1503"/>
      <c r="P15" s="1503"/>
      <c r="Q15" s="1503"/>
      <c r="R15" s="1503"/>
      <c r="S15" s="1503"/>
      <c r="T15" s="1503"/>
      <c r="U15" s="1503"/>
      <c r="V15" s="1503"/>
      <c r="W15" s="1503"/>
      <c r="X15" s="1503"/>
      <c r="Y15" s="1503"/>
      <c r="Z15" s="1503"/>
      <c r="AA15" s="1503"/>
      <c r="AB15" s="1503"/>
      <c r="AC15" s="13">
        <f>SUMIF(AD$12:AS$12,"总值",AD15:AS15)</f>
        <v>0</v>
      </c>
      <c r="AD15" s="979"/>
      <c r="AE15" s="979"/>
      <c r="AF15" s="979"/>
      <c r="AG15" s="979"/>
      <c r="AH15" s="979"/>
      <c r="AI15" s="979"/>
      <c r="AJ15" s="979"/>
      <c r="AK15" s="979"/>
      <c r="AL15" s="979"/>
      <c r="AM15" s="979"/>
      <c r="AN15" s="979"/>
      <c r="AO15" s="979"/>
      <c r="AP15" s="979"/>
      <c r="AQ15" s="979"/>
      <c r="AR15" s="979"/>
      <c r="AS15" s="979"/>
      <c r="AT15" s="29"/>
      <c r="AU15" s="1504"/>
      <c r="AV15" s="8">
        <f t="shared" si="6"/>
        <v>0</v>
      </c>
      <c r="AW15" s="8">
        <f t="shared" si="6"/>
        <v>0</v>
      </c>
      <c r="AX15" s="8">
        <f t="shared" si="6"/>
        <v>0</v>
      </c>
      <c r="AY15" s="12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7" customFormat="1" ht="12.75">
      <c r="A16" s="626"/>
      <c r="B16" s="626"/>
      <c r="C16" s="1451"/>
      <c r="D16" s="1502"/>
      <c r="E16" s="13">
        <f>IF($C$3="是",ROUND($A$3*G16/$B$3,2),ROUND($A$3*(G16-AT16)/$B$3,2))</f>
        <v>0</v>
      </c>
      <c r="F16" s="29"/>
      <c r="G16" s="30">
        <f>H16+AC16+AT16</f>
        <v>0</v>
      </c>
      <c r="H16" s="17">
        <f>SUMIF(I$12:AB$12,"总值",I16:AB16)</f>
        <v>0</v>
      </c>
      <c r="I16" s="1503"/>
      <c r="J16" s="1503"/>
      <c r="K16" s="1503"/>
      <c r="L16" s="1503"/>
      <c r="M16" s="1503"/>
      <c r="N16" s="1503"/>
      <c r="O16" s="1503"/>
      <c r="P16" s="1503"/>
      <c r="Q16" s="1503"/>
      <c r="R16" s="1503"/>
      <c r="S16" s="1503"/>
      <c r="T16" s="1503"/>
      <c r="U16" s="1503"/>
      <c r="V16" s="1503"/>
      <c r="W16" s="1503"/>
      <c r="X16" s="1503"/>
      <c r="Y16" s="1503"/>
      <c r="Z16" s="1503"/>
      <c r="AA16" s="1503"/>
      <c r="AB16" s="1503"/>
      <c r="AC16" s="13">
        <f>SUMIF(AD$12:AS$12,"总值",AD16:AS16)</f>
        <v>0</v>
      </c>
      <c r="AD16" s="979"/>
      <c r="AE16" s="979"/>
      <c r="AF16" s="979"/>
      <c r="AG16" s="979"/>
      <c r="AH16" s="979"/>
      <c r="AI16" s="979"/>
      <c r="AJ16" s="979"/>
      <c r="AK16" s="979"/>
      <c r="AL16" s="979"/>
      <c r="AM16" s="979"/>
      <c r="AN16" s="979"/>
      <c r="AO16" s="979"/>
      <c r="AP16" s="979"/>
      <c r="AQ16" s="979"/>
      <c r="AR16" s="979"/>
      <c r="AS16" s="979"/>
      <c r="AT16" s="29"/>
      <c r="AU16" s="1504"/>
      <c r="AV16" s="8">
        <f t="shared" si="6"/>
        <v>0</v>
      </c>
      <c r="AW16" s="8">
        <f t="shared" si="6"/>
        <v>0</v>
      </c>
      <c r="AX16" s="8">
        <f t="shared" si="6"/>
        <v>0</v>
      </c>
      <c r="AY16" s="12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7" customFormat="1" ht="12.75">
      <c r="A17" s="626"/>
      <c r="B17" s="626"/>
      <c r="C17" s="1451"/>
      <c r="D17" s="1502"/>
      <c r="E17" s="13">
        <f>IF($C$3="是",ROUND($A$3*G17/$B$3,2),ROUND($A$3*(G17-AT17)/$B$3,2))</f>
        <v>0</v>
      </c>
      <c r="F17" s="29"/>
      <c r="G17" s="30">
        <f>H17+AC17+AT17</f>
        <v>0</v>
      </c>
      <c r="H17" s="17">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3">
        <f>SUMIF(AD$12:AS$12,"总值",AD17:AS17)</f>
        <v>0</v>
      </c>
      <c r="AD17" s="979"/>
      <c r="AE17" s="979"/>
      <c r="AF17" s="979"/>
      <c r="AG17" s="979"/>
      <c r="AH17" s="979"/>
      <c r="AI17" s="979"/>
      <c r="AJ17" s="979"/>
      <c r="AK17" s="979"/>
      <c r="AL17" s="979"/>
      <c r="AM17" s="979"/>
      <c r="AN17" s="979"/>
      <c r="AO17" s="979"/>
      <c r="AP17" s="979"/>
      <c r="AQ17" s="979"/>
      <c r="AR17" s="979"/>
      <c r="AS17" s="979"/>
      <c r="AT17" s="29"/>
      <c r="AU17" s="1504"/>
      <c r="AV17" s="8">
        <f t="shared" si="6"/>
        <v>0</v>
      </c>
      <c r="AW17" s="8">
        <f t="shared" si="6"/>
        <v>0</v>
      </c>
      <c r="AX17" s="8">
        <f t="shared" si="6"/>
        <v>0</v>
      </c>
      <c r="AY17" s="12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6"/>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6"/>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6"/>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6"/>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6"/>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6"/>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6"/>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6"/>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6"/>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6"/>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6"/>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6"/>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6"/>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6"/>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6"/>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6"/>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6"/>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6"/>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K42" sqref="K42"/>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1127</v>
      </c>
      <c r="B1" s="1061"/>
      <c r="C1" s="1061"/>
      <c r="D1" s="1061"/>
      <c r="E1" s="1061"/>
      <c r="F1" s="1061"/>
      <c r="G1" s="1061"/>
      <c r="H1" s="1061"/>
      <c r="I1" s="1061"/>
      <c r="J1" s="1061"/>
      <c r="K1" s="1061"/>
      <c r="L1" s="1061"/>
      <c r="M1" s="1061"/>
      <c r="N1" s="1061"/>
      <c r="O1" s="1061"/>
      <c r="P1" s="1061"/>
    </row>
    <row r="2" spans="1:16" ht="15">
      <c r="A2" s="3281" t="s">
        <v>1128</v>
      </c>
      <c r="B2" s="3281"/>
      <c r="C2" s="3281"/>
      <c r="D2" s="742" t="s">
        <v>1104</v>
      </c>
      <c r="E2" s="1512" t="s">
        <v>1105</v>
      </c>
      <c r="F2" s="2426"/>
      <c r="G2" s="2419"/>
      <c r="H2" s="2420"/>
      <c r="I2" s="2135" t="s">
        <v>1129</v>
      </c>
      <c r="J2" s="2426"/>
      <c r="K2" s="2426"/>
      <c r="L2" s="2426"/>
      <c r="M2" s="2426"/>
      <c r="N2" s="2427"/>
      <c r="O2" s="2426"/>
      <c r="P2" s="2426"/>
    </row>
    <row r="3" spans="1:16" ht="15.75" thickBot="1">
      <c r="A3" s="3282" t="s">
        <v>1102</v>
      </c>
      <c r="B3" s="3282"/>
      <c r="C3" s="3282"/>
      <c r="D3" s="41">
        <f>'数据-基础表'!AY6</f>
        <v>0</v>
      </c>
      <c r="E3" s="41">
        <f>'数据-基础表'!AZ5</f>
        <v>51111.68000000059</v>
      </c>
      <c r="F3" s="2426"/>
      <c r="G3" s="42"/>
      <c r="H3" s="43" t="s">
        <v>1103</v>
      </c>
      <c r="I3" s="796" t="e">
        <f>ROUND('数据-基础表'!B3/'数据-基础表'!A3,2)</f>
        <v>#DIV/0!</v>
      </c>
      <c r="J3" s="2426"/>
      <c r="K3" s="2426"/>
      <c r="L3" s="2426"/>
      <c r="M3" s="2426"/>
      <c r="N3" s="2427"/>
      <c r="O3" s="2426"/>
      <c r="P3" s="2426"/>
    </row>
    <row r="4" spans="1:16" ht="15">
      <c r="A4" s="3283"/>
      <c r="B4" s="3284"/>
      <c r="C4" s="3285"/>
      <c r="D4" s="1513" t="s">
        <v>1104</v>
      </c>
      <c r="E4" s="1514" t="s">
        <v>1105</v>
      </c>
      <c r="F4" s="2426"/>
      <c r="G4" s="2421" t="s">
        <v>1130</v>
      </c>
      <c r="H4" s="43" t="s">
        <v>1110</v>
      </c>
      <c r="I4" s="796" t="e">
        <f>ROUND(SUMIF('数据-基础表'!I9:AS9,"地上",'数据-基础表'!I5:AS5)/'数据-基础表'!A3,2)</f>
        <v>#DIV/0!</v>
      </c>
      <c r="J4" s="2426"/>
      <c r="K4" s="2426"/>
      <c r="L4" s="2426"/>
      <c r="M4" s="2426"/>
      <c r="N4" s="2427"/>
      <c r="O4" s="2426"/>
      <c r="P4" s="2426"/>
    </row>
    <row r="5" spans="1:16">
      <c r="A5" s="42" t="s">
        <v>1106</v>
      </c>
      <c r="B5" s="3286" t="s">
        <v>1107</v>
      </c>
      <c r="C5" s="3286"/>
      <c r="D5" s="43">
        <f>ROUND($D$3*E5/$E$3,2)</f>
        <v>0</v>
      </c>
      <c r="E5" s="44">
        <f>SUMIF('数据-基础表'!$11:$11,"住宅",'数据-基础表'!$5:$5)</f>
        <v>0</v>
      </c>
      <c r="F5" s="2426"/>
      <c r="G5" s="42"/>
      <c r="H5" s="43" t="s">
        <v>1103</v>
      </c>
      <c r="I5" s="796" t="e">
        <f>ROUND(E31/D31,2)</f>
        <v>#DIV/0!</v>
      </c>
      <c r="J5" s="2426"/>
      <c r="K5" s="2426"/>
      <c r="L5" s="2426"/>
      <c r="M5" s="2426"/>
      <c r="N5" s="2426"/>
      <c r="O5" s="2426"/>
      <c r="P5" s="2426"/>
    </row>
    <row r="6" spans="1:16" ht="15" thickBot="1">
      <c r="A6" s="1516"/>
      <c r="B6" s="3286" t="s">
        <v>1108</v>
      </c>
      <c r="C6" s="3286"/>
      <c r="D6" s="43">
        <f>ROUND($D$3*E6/$E$3,2)</f>
        <v>0</v>
      </c>
      <c r="E6" s="44">
        <f>E3-E5</f>
        <v>51111.68000000059</v>
      </c>
      <c r="F6" s="2426"/>
      <c r="G6" s="1518" t="s">
        <v>1109</v>
      </c>
      <c r="H6" s="45" t="s">
        <v>1110</v>
      </c>
      <c r="I6" s="2422" t="e">
        <f>ROUND(F31/D31,2)</f>
        <v>#DIV/0!</v>
      </c>
      <c r="J6" s="2426"/>
      <c r="K6" s="2426"/>
      <c r="L6" s="2426"/>
      <c r="M6" s="2426"/>
      <c r="N6" s="2426"/>
      <c r="O6" s="2426"/>
      <c r="P6" s="2426"/>
    </row>
    <row r="7" spans="1:16" ht="15.75" thickBot="1">
      <c r="A7" s="3278"/>
      <c r="B7" s="3279"/>
      <c r="C7" s="3280"/>
      <c r="D7" s="1513" t="s">
        <v>1104</v>
      </c>
      <c r="E7" s="1517" t="s">
        <v>1111</v>
      </c>
      <c r="F7" s="2426"/>
      <c r="G7" s="2423" t="s">
        <v>1112</v>
      </c>
      <c r="H7" s="95"/>
      <c r="I7" s="2424"/>
      <c r="J7" s="2426"/>
      <c r="K7" s="2426"/>
      <c r="L7" s="2426"/>
      <c r="M7" s="2426"/>
      <c r="N7" s="2426"/>
      <c r="O7" s="2426"/>
      <c r="P7" s="2426"/>
    </row>
    <row r="8" spans="1:16">
      <c r="A8" s="42" t="s">
        <v>1113</v>
      </c>
      <c r="B8" s="45" t="s">
        <v>1114</v>
      </c>
      <c r="C8" s="43" t="s">
        <v>1115</v>
      </c>
      <c r="D8" s="43">
        <f t="shared" ref="D8:D15" si="0">ROUND($D$3*E8/$E$3,2)</f>
        <v>0</v>
      </c>
      <c r="E8" s="46">
        <f>SUMIF('数据-基础表'!BB10:BK10,"地上",'数据-基础表'!BB5:BK5)</f>
        <v>51111.68000000059</v>
      </c>
      <c r="F8" s="2426"/>
      <c r="G8" s="2426"/>
      <c r="H8" s="2426"/>
      <c r="I8" s="2426"/>
      <c r="J8" s="2426"/>
      <c r="K8" s="2426"/>
      <c r="L8" s="2426"/>
      <c r="M8" s="2426"/>
      <c r="N8" s="2426"/>
      <c r="O8" s="2426"/>
      <c r="P8" s="2426"/>
    </row>
    <row r="9" spans="1:16">
      <c r="A9" s="1518"/>
      <c r="B9" s="1519"/>
      <c r="C9" s="43" t="s">
        <v>1116</v>
      </c>
      <c r="D9" s="43">
        <f t="shared" si="0"/>
        <v>0</v>
      </c>
      <c r="E9" s="47">
        <v>0</v>
      </c>
      <c r="F9" s="2426"/>
      <c r="G9" s="2426"/>
      <c r="H9" s="2426"/>
      <c r="I9" s="2426"/>
      <c r="J9" s="2426"/>
      <c r="K9" s="2426"/>
      <c r="L9" s="2426"/>
      <c r="M9" s="2426"/>
      <c r="N9" s="2426"/>
      <c r="O9" s="2426"/>
      <c r="P9" s="2426"/>
    </row>
    <row r="10" spans="1:16">
      <c r="A10" s="1518"/>
      <c r="B10" s="1519"/>
      <c r="C10" s="43" t="s">
        <v>1125</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18"/>
      <c r="B11" s="1519"/>
      <c r="C11" s="43" t="s">
        <v>1117</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8"/>
      <c r="B12" s="1519"/>
      <c r="C12" s="43" t="s">
        <v>1118</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8"/>
      <c r="B13" s="1519"/>
      <c r="C13" s="43" t="s">
        <v>1119</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18"/>
      <c r="B14" s="1519"/>
      <c r="C14" s="43" t="s">
        <v>1131</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8"/>
      <c r="B15" s="1519"/>
      <c r="C15" s="43" t="s">
        <v>1126</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6"/>
      <c r="B16" s="1519"/>
      <c r="C16" s="45" t="s">
        <v>1120</v>
      </c>
      <c r="D16" s="45">
        <f>SUM(D8:D15)</f>
        <v>0</v>
      </c>
      <c r="E16" s="48">
        <f>SUM(E8:E15)</f>
        <v>51111.68000000059</v>
      </c>
      <c r="F16" s="2426"/>
      <c r="G16" s="2426"/>
      <c r="H16" s="1520" t="s">
        <v>1132</v>
      </c>
      <c r="I16" s="1521"/>
      <c r="J16" s="1061"/>
      <c r="K16" s="3275" t="s">
        <v>1132</v>
      </c>
      <c r="L16" s="3276"/>
      <c r="M16" s="3276"/>
      <c r="N16" s="3276"/>
      <c r="O16" s="3276"/>
      <c r="P16" s="3277"/>
    </row>
    <row r="17" spans="1:19" ht="15">
      <c r="A17" s="1522" t="s">
        <v>1133</v>
      </c>
      <c r="B17" s="1523" t="s">
        <v>1134</v>
      </c>
      <c r="C17" s="1524" t="s">
        <v>1135</v>
      </c>
      <c r="D17" s="1525" t="s">
        <v>1123</v>
      </c>
      <c r="E17" s="1526" t="s">
        <v>1124</v>
      </c>
      <c r="F17" s="1527"/>
      <c r="G17" s="1528"/>
      <c r="H17" s="1529" t="s">
        <v>1136</v>
      </c>
      <c r="I17" s="1530" t="s">
        <v>1121</v>
      </c>
      <c r="J17" s="1061"/>
      <c r="K17" s="3272" t="s">
        <v>1137</v>
      </c>
      <c r="L17" s="3273"/>
      <c r="M17" s="3274"/>
      <c r="N17" s="3272" t="s">
        <v>1138</v>
      </c>
      <c r="O17" s="3273"/>
      <c r="P17" s="3274"/>
      <c r="R17" s="763" t="s">
        <v>1139</v>
      </c>
      <c r="S17" s="54"/>
    </row>
    <row r="18" spans="1:19" ht="15">
      <c r="A18" s="1518"/>
      <c r="B18" s="1515"/>
      <c r="C18" s="1531"/>
      <c r="D18" s="1532"/>
      <c r="E18" s="1533" t="s">
        <v>1140</v>
      </c>
      <c r="F18" s="1534" t="s">
        <v>1141</v>
      </c>
      <c r="G18" s="1535" t="s">
        <v>1142</v>
      </c>
      <c r="H18" s="970" t="s">
        <v>1143</v>
      </c>
      <c r="I18" s="1536" t="s">
        <v>1144</v>
      </c>
      <c r="J18" s="1061"/>
      <c r="K18" s="970" t="s">
        <v>1145</v>
      </c>
      <c r="L18" s="1537" t="s">
        <v>1146</v>
      </c>
      <c r="M18" s="796" t="s">
        <v>1147</v>
      </c>
      <c r="N18" s="970" t="s">
        <v>1145</v>
      </c>
      <c r="O18" s="1537" t="s">
        <v>1146</v>
      </c>
      <c r="P18" s="796" t="s">
        <v>1147</v>
      </c>
      <c r="R18" s="43" t="s">
        <v>1148</v>
      </c>
      <c r="S18" s="43" t="s">
        <v>1149</v>
      </c>
    </row>
    <row r="19" spans="1:19">
      <c r="A19" s="1538"/>
      <c r="B19" s="45" t="s">
        <v>1122</v>
      </c>
      <c r="C19" s="3103" t="s">
        <v>3992</v>
      </c>
      <c r="D19" s="43">
        <f>ROUND($D$3*E19/$E$3,2)</f>
        <v>0</v>
      </c>
      <c r="E19" s="51">
        <f t="shared" ref="E19:E26" si="1">SUM(F19:G19)</f>
        <v>134.51</v>
      </c>
      <c r="F19" s="2545">
        <f>'数据-基础表'!I13</f>
        <v>134.51</v>
      </c>
      <c r="G19" s="1233"/>
      <c r="H19" s="633">
        <f>ROUND($D$3*I19/$E$3,2)</f>
        <v>0</v>
      </c>
      <c r="I19" s="46">
        <f t="shared" ref="I19:I26" si="2">IF($I$17="自定义",P19,M19)</f>
        <v>0</v>
      </c>
      <c r="J19" s="1061"/>
      <c r="K19" s="633">
        <f t="shared" ref="K19:K26" si="3">ROUND(E$28*E19/E$27,2)</f>
        <v>0</v>
      </c>
      <c r="L19" s="43">
        <f t="shared" ref="L19:L26" si="4">ROUND(IF(COUNTIF(C19,"*住宅*")&gt;0,E$29*E19/E$32,0),2)</f>
        <v>0</v>
      </c>
      <c r="M19" s="46">
        <f>K19+L19</f>
        <v>0</v>
      </c>
      <c r="N19" s="1539"/>
      <c r="O19" s="1540"/>
      <c r="P19" s="46">
        <f>N19+O19</f>
        <v>0</v>
      </c>
      <c r="R19" s="43">
        <f t="shared" ref="R19:S26" si="5">D19+H19</f>
        <v>0</v>
      </c>
      <c r="S19" s="51">
        <f t="shared" si="5"/>
        <v>134.51</v>
      </c>
    </row>
    <row r="20" spans="1:19">
      <c r="A20" s="1538"/>
      <c r="B20" s="45" t="s">
        <v>1150</v>
      </c>
      <c r="C20" s="3103" t="s">
        <v>3993</v>
      </c>
      <c r="D20" s="43">
        <f t="shared" ref="D20:D26" si="6">ROUND($D$3*E20/$E$3,2)</f>
        <v>0</v>
      </c>
      <c r="E20" s="51">
        <f t="shared" si="1"/>
        <v>1680.55</v>
      </c>
      <c r="F20" s="2545">
        <f>'数据-基础表'!K13</f>
        <v>1680.55</v>
      </c>
      <c r="G20" s="1233"/>
      <c r="H20" s="633">
        <f t="shared" ref="H20:H26" si="7">ROUND($D$3*I20/$E$3,2)</f>
        <v>0</v>
      </c>
      <c r="I20" s="46">
        <f t="shared" si="2"/>
        <v>0</v>
      </c>
      <c r="J20" s="1061"/>
      <c r="K20" s="633">
        <f t="shared" si="3"/>
        <v>0</v>
      </c>
      <c r="L20" s="43">
        <f t="shared" si="4"/>
        <v>0</v>
      </c>
      <c r="M20" s="46">
        <f t="shared" ref="M20:M26" si="8">K20+L20</f>
        <v>0</v>
      </c>
      <c r="N20" s="1539"/>
      <c r="O20" s="1540"/>
      <c r="P20" s="46">
        <f t="shared" ref="P20:P26" si="9">N20+O20</f>
        <v>0</v>
      </c>
      <c r="R20" s="43">
        <f t="shared" si="5"/>
        <v>0</v>
      </c>
      <c r="S20" s="51">
        <f t="shared" si="5"/>
        <v>1680.55</v>
      </c>
    </row>
    <row r="21" spans="1:19">
      <c r="A21" s="1538"/>
      <c r="B21" s="45" t="s">
        <v>1150</v>
      </c>
      <c r="C21" s="3103" t="s">
        <v>3994</v>
      </c>
      <c r="D21" s="43">
        <f t="shared" si="6"/>
        <v>0</v>
      </c>
      <c r="E21" s="51">
        <f t="shared" si="1"/>
        <v>51.46</v>
      </c>
      <c r="F21" s="2545">
        <f>'数据-基础表'!M13</f>
        <v>51.46</v>
      </c>
      <c r="G21" s="1233"/>
      <c r="H21" s="633">
        <f t="shared" si="7"/>
        <v>0</v>
      </c>
      <c r="I21" s="46">
        <f t="shared" si="2"/>
        <v>0</v>
      </c>
      <c r="J21" s="1061"/>
      <c r="K21" s="633">
        <f t="shared" si="3"/>
        <v>0</v>
      </c>
      <c r="L21" s="43">
        <f t="shared" si="4"/>
        <v>0</v>
      </c>
      <c r="M21" s="46">
        <f t="shared" si="8"/>
        <v>0</v>
      </c>
      <c r="N21" s="1539"/>
      <c r="O21" s="1540"/>
      <c r="P21" s="46">
        <f t="shared" si="9"/>
        <v>0</v>
      </c>
      <c r="R21" s="43">
        <f t="shared" si="5"/>
        <v>0</v>
      </c>
      <c r="S21" s="51">
        <f t="shared" si="5"/>
        <v>51.46</v>
      </c>
    </row>
    <row r="22" spans="1:19">
      <c r="A22" s="1538"/>
      <c r="B22" s="45" t="s">
        <v>1150</v>
      </c>
      <c r="C22" s="3103" t="s">
        <v>3995</v>
      </c>
      <c r="D22" s="43">
        <f t="shared" si="6"/>
        <v>0</v>
      </c>
      <c r="E22" s="51">
        <f t="shared" si="1"/>
        <v>49245.160000000593</v>
      </c>
      <c r="F22" s="2545">
        <f>'数据-基础表'!O13</f>
        <v>49245.160000000593</v>
      </c>
      <c r="G22" s="2547"/>
      <c r="H22" s="633">
        <f t="shared" si="7"/>
        <v>0</v>
      </c>
      <c r="I22" s="46">
        <f t="shared" si="2"/>
        <v>0</v>
      </c>
      <c r="J22" s="1061"/>
      <c r="K22" s="633">
        <f t="shared" si="3"/>
        <v>0</v>
      </c>
      <c r="L22" s="43">
        <f t="shared" si="4"/>
        <v>0</v>
      </c>
      <c r="M22" s="46">
        <f t="shared" si="8"/>
        <v>0</v>
      </c>
      <c r="N22" s="1539"/>
      <c r="O22" s="1540"/>
      <c r="P22" s="46">
        <f t="shared" si="9"/>
        <v>0</v>
      </c>
      <c r="R22" s="43">
        <f t="shared" si="5"/>
        <v>0</v>
      </c>
      <c r="S22" s="51">
        <f t="shared" si="5"/>
        <v>49245.160000000593</v>
      </c>
    </row>
    <row r="23" spans="1:19">
      <c r="A23" s="1538"/>
      <c r="B23" s="45" t="s">
        <v>1150</v>
      </c>
      <c r="C23" s="2545"/>
      <c r="D23" s="43">
        <f>ROUND($D$3*E23/$E$3,2)</f>
        <v>0</v>
      </c>
      <c r="E23" s="51">
        <f>SUM(F23:G23)</f>
        <v>0</v>
      </c>
      <c r="F23" s="2546"/>
      <c r="G23" s="2547"/>
      <c r="H23" s="633">
        <f>ROUND($D$3*I23/$E$3,2)</f>
        <v>0</v>
      </c>
      <c r="I23" s="46">
        <f t="shared" si="2"/>
        <v>0</v>
      </c>
      <c r="J23" s="1061"/>
      <c r="K23" s="633">
        <f t="shared" si="3"/>
        <v>0</v>
      </c>
      <c r="L23" s="43">
        <f t="shared" si="4"/>
        <v>0</v>
      </c>
      <c r="M23" s="46">
        <f t="shared" si="8"/>
        <v>0</v>
      </c>
      <c r="N23" s="1539"/>
      <c r="O23" s="1540"/>
      <c r="P23" s="46">
        <f t="shared" si="9"/>
        <v>0</v>
      </c>
      <c r="R23" s="43">
        <f t="shared" si="5"/>
        <v>0</v>
      </c>
      <c r="S23" s="51">
        <f t="shared" si="5"/>
        <v>0</v>
      </c>
    </row>
    <row r="24" spans="1:19">
      <c r="A24" s="1538"/>
      <c r="B24" s="45" t="s">
        <v>1150</v>
      </c>
      <c r="C24" s="3104"/>
      <c r="D24" s="43">
        <f>ROUND($D$3*E24/$E$3,2)</f>
        <v>0</v>
      </c>
      <c r="E24" s="51">
        <f>SUM(F24:G24)</f>
        <v>0</v>
      </c>
      <c r="F24" s="2546"/>
      <c r="G24" s="2547"/>
      <c r="H24" s="633">
        <f>ROUND($D$3*I24/$E$3,2)</f>
        <v>0</v>
      </c>
      <c r="I24" s="46">
        <f t="shared" si="2"/>
        <v>0</v>
      </c>
      <c r="J24" s="1061"/>
      <c r="K24" s="633">
        <f t="shared" si="3"/>
        <v>0</v>
      </c>
      <c r="L24" s="43">
        <f t="shared" si="4"/>
        <v>0</v>
      </c>
      <c r="M24" s="46">
        <f t="shared" si="8"/>
        <v>0</v>
      </c>
      <c r="N24" s="1539"/>
      <c r="O24" s="1540"/>
      <c r="P24" s="46">
        <f t="shared" si="9"/>
        <v>0</v>
      </c>
      <c r="R24" s="43">
        <f t="shared" si="5"/>
        <v>0</v>
      </c>
      <c r="S24" s="51">
        <f t="shared" si="5"/>
        <v>0</v>
      </c>
    </row>
    <row r="25" spans="1:19">
      <c r="A25" s="1538"/>
      <c r="B25" s="45" t="s">
        <v>1150</v>
      </c>
      <c r="C25" s="3104"/>
      <c r="D25" s="43">
        <f t="shared" si="6"/>
        <v>0</v>
      </c>
      <c r="E25" s="51">
        <f t="shared" si="1"/>
        <v>0</v>
      </c>
      <c r="F25" s="2546"/>
      <c r="G25" s="2547"/>
      <c r="H25" s="42">
        <f t="shared" si="7"/>
        <v>0</v>
      </c>
      <c r="I25" s="46">
        <f t="shared" si="2"/>
        <v>0</v>
      </c>
      <c r="J25" s="1061"/>
      <c r="K25" s="633">
        <f t="shared" si="3"/>
        <v>0</v>
      </c>
      <c r="L25" s="43">
        <f t="shared" si="4"/>
        <v>0</v>
      </c>
      <c r="M25" s="46">
        <f t="shared" si="8"/>
        <v>0</v>
      </c>
      <c r="N25" s="1539"/>
      <c r="O25" s="1540"/>
      <c r="P25" s="46">
        <f t="shared" si="9"/>
        <v>0</v>
      </c>
      <c r="R25" s="43">
        <f t="shared" si="5"/>
        <v>0</v>
      </c>
      <c r="S25" s="51">
        <f t="shared" si="5"/>
        <v>0</v>
      </c>
    </row>
    <row r="26" spans="1:19">
      <c r="A26" s="1538"/>
      <c r="B26" s="45" t="s">
        <v>1150</v>
      </c>
      <c r="C26" s="53"/>
      <c r="D26" s="43">
        <f t="shared" si="6"/>
        <v>0</v>
      </c>
      <c r="E26" s="51">
        <f t="shared" si="1"/>
        <v>0</v>
      </c>
      <c r="F26" s="2546"/>
      <c r="G26" s="2547"/>
      <c r="H26" s="42">
        <f t="shared" si="7"/>
        <v>0</v>
      </c>
      <c r="I26" s="46">
        <f t="shared" si="2"/>
        <v>0</v>
      </c>
      <c r="J26" s="1061"/>
      <c r="K26" s="42">
        <f t="shared" si="3"/>
        <v>0</v>
      </c>
      <c r="L26" s="45">
        <f t="shared" si="4"/>
        <v>0</v>
      </c>
      <c r="M26" s="48">
        <f t="shared" si="8"/>
        <v>0</v>
      </c>
      <c r="N26" s="1541"/>
      <c r="O26" s="1542"/>
      <c r="P26" s="48">
        <f t="shared" si="9"/>
        <v>0</v>
      </c>
      <c r="R26" s="43">
        <f t="shared" si="5"/>
        <v>0</v>
      </c>
      <c r="S26" s="51">
        <f t="shared" si="5"/>
        <v>0</v>
      </c>
    </row>
    <row r="27" spans="1:19" ht="15.75" thickBot="1">
      <c r="A27" s="1538"/>
      <c r="B27" s="43"/>
      <c r="C27" s="1543" t="s">
        <v>1151</v>
      </c>
      <c r="D27" s="1062">
        <f>SUM(D19:D26)</f>
        <v>0</v>
      </c>
      <c r="E27" s="1063">
        <f>IF(SUM(E19:E26)='数据-基础表'!BA5,SUM(E19:E26),IF(F27="地上面积有误","面积有误","地下面积有误"))</f>
        <v>51111.68000000059</v>
      </c>
      <c r="F27" s="1062">
        <f>IF(SUM(F19:F26)=E8,SUM(F19:F26),"地上面积有误")</f>
        <v>51111.68000000059</v>
      </c>
      <c r="G27" s="1064">
        <f>SUM(G19:G26)</f>
        <v>0</v>
      </c>
      <c r="H27" s="1065">
        <f>SUM(H19:H26)</f>
        <v>0</v>
      </c>
      <c r="I27" s="1066">
        <f>SUM(I19:I26)</f>
        <v>0</v>
      </c>
      <c r="J27" s="1061"/>
      <c r="K27" s="1067">
        <f>SUM(K19:K26)</f>
        <v>0</v>
      </c>
      <c r="L27" s="779">
        <f>SUM(L19:L26)</f>
        <v>0</v>
      </c>
      <c r="M27" s="1068">
        <f>SUM(M19:M26)</f>
        <v>0</v>
      </c>
      <c r="N27" s="1067">
        <f t="shared" ref="N27:O27" si="10">SUM(N19:N26)</f>
        <v>0</v>
      </c>
      <c r="O27" s="779">
        <f t="shared" si="10"/>
        <v>0</v>
      </c>
      <c r="P27" s="94">
        <f>SUM(P19:P26)</f>
        <v>0</v>
      </c>
      <c r="R27" s="958">
        <f>IF(SUM(R19:R26)=$D$3,SUM(R19:R26),SUM(R19:R26)&amp;"误差"&amp;ROUND(SUM(R19:R26)-$D$3,2))</f>
        <v>0</v>
      </c>
      <c r="S27" s="43">
        <f>IF(SUM(S19:S26)=$E$3,SUM(S19:S26),SUM(S19:S26)&amp;"误差"&amp;ROUND(SUM(S19:S26)-E3,2))</f>
        <v>51111.68000000059</v>
      </c>
    </row>
    <row r="28" spans="1:19">
      <c r="A28" s="1538"/>
      <c r="B28" s="45" t="s">
        <v>1152</v>
      </c>
      <c r="C28" s="54" t="s">
        <v>1153</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38"/>
      <c r="B29" s="45" t="s">
        <v>1152</v>
      </c>
      <c r="C29" s="1544" t="s">
        <v>1154</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8"/>
      <c r="B30" s="45"/>
      <c r="C30" s="1545" t="s">
        <v>1151</v>
      </c>
      <c r="D30" s="1062">
        <f>SUM(D28:D29)</f>
        <v>0</v>
      </c>
      <c r="E30" s="1062">
        <f>SUM(E28:E29)</f>
        <v>0</v>
      </c>
      <c r="F30" s="1062">
        <f>SUM(F28:F29)</f>
        <v>0</v>
      </c>
      <c r="G30" s="1064">
        <f>SUM(G28:G29)</f>
        <v>0</v>
      </c>
      <c r="H30" s="2426"/>
      <c r="I30" s="2426"/>
      <c r="J30" s="2426"/>
      <c r="K30" s="2426"/>
      <c r="L30" s="2426"/>
      <c r="M30" s="2426"/>
      <c r="N30" s="2426"/>
      <c r="O30" s="2426"/>
      <c r="P30" s="2426"/>
    </row>
    <row r="31" spans="1:19" ht="15.75" thickBot="1">
      <c r="A31" s="1546"/>
      <c r="B31" s="96"/>
      <c r="C31" s="779" t="s">
        <v>1155</v>
      </c>
      <c r="D31" s="639">
        <f>D27+D30</f>
        <v>0</v>
      </c>
      <c r="E31" s="639">
        <f>E27+E30</f>
        <v>51111.68000000059</v>
      </c>
      <c r="F31" s="640">
        <f>F27+F30</f>
        <v>51111.68000000059</v>
      </c>
      <c r="G31" s="641">
        <f>G27+G30</f>
        <v>0</v>
      </c>
      <c r="H31" s="2426"/>
      <c r="I31" s="2426"/>
      <c r="J31" s="2426"/>
      <c r="K31" s="2426"/>
      <c r="L31" s="2426"/>
      <c r="M31" s="2426"/>
      <c r="N31" s="2426"/>
      <c r="O31" s="2426"/>
      <c r="P31" s="2426"/>
    </row>
    <row r="32" spans="1:19">
      <c r="A32" s="1515"/>
      <c r="B32" s="1515" t="s">
        <v>1156</v>
      </c>
      <c r="C32" s="1515"/>
      <c r="D32" s="1515"/>
      <c r="E32" s="980">
        <f>SUMIF(C19:C26,"*住宅*",E19:E26)</f>
        <v>0</v>
      </c>
      <c r="F32" s="1515"/>
      <c r="G32" s="1515"/>
      <c r="H32" s="2426"/>
      <c r="I32" s="2426"/>
      <c r="J32" s="2426"/>
      <c r="K32" s="2426"/>
      <c r="L32" s="2426"/>
      <c r="M32" s="2426"/>
      <c r="N32" s="2426"/>
      <c r="O32" s="2426"/>
      <c r="P32" s="2426"/>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07" customWidth="1"/>
    <col min="2" max="2" width="12" style="1550" customWidth="1"/>
    <col min="3" max="3" width="12.75" style="1550" customWidth="1"/>
    <col min="4" max="4" width="9.125" style="1608"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7.5" style="1550" customWidth="1"/>
    <col min="22" max="22" width="6.375" style="1550" customWidth="1"/>
    <col min="23" max="30" width="6.75" style="1550" customWidth="1"/>
    <col min="31" max="31" width="8" style="1550" customWidth="1"/>
    <col min="32" max="34" width="7.25" style="1550" customWidth="1"/>
    <col min="35" max="39" width="8" style="1550" customWidth="1"/>
    <col min="40" max="40" width="13.75" style="121"/>
    <col min="41" max="41" width="11.625" style="121" customWidth="1"/>
    <col min="42" max="42" width="9.75" style="121" customWidth="1"/>
    <col min="43" max="67" width="13.75" style="121"/>
    <col min="68" max="16384" width="13.75" style="1550"/>
  </cols>
  <sheetData>
    <row r="1" spans="1:67" ht="19.5" thickBot="1">
      <c r="A1" s="1548" t="s">
        <v>1157</v>
      </c>
      <c r="B1" s="642"/>
      <c r="C1" s="120"/>
      <c r="D1" s="154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6"/>
      <c r="AO1" s="2436"/>
      <c r="AP1" s="2436"/>
      <c r="AQ1" s="2436"/>
      <c r="AR1" s="2436"/>
    </row>
    <row r="2" spans="1:67" s="1440" customFormat="1" ht="15.75" thickBot="1">
      <c r="A2" s="1551" t="s">
        <v>1158</v>
      </c>
      <c r="B2" s="974">
        <f>项目基本情况!D3</f>
        <v>45596</v>
      </c>
      <c r="C2" s="1061"/>
      <c r="D2" s="1552"/>
      <c r="E2" s="1061"/>
      <c r="F2" s="1061"/>
      <c r="G2" s="1061"/>
      <c r="H2" s="1061"/>
      <c r="I2" s="1061"/>
      <c r="J2" s="1061"/>
      <c r="K2" s="856"/>
      <c r="L2" s="856"/>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6"/>
      <c r="AO2" s="2426"/>
      <c r="AP2" s="2426"/>
      <c r="AQ2" s="2426"/>
      <c r="AR2" s="2426"/>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6"/>
      <c r="L3" s="856"/>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6"/>
      <c r="AO3" s="2426"/>
      <c r="AP3" s="2426"/>
      <c r="AQ3" s="2426"/>
      <c r="AR3" s="2426"/>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7" t="s">
        <v>1159</v>
      </c>
      <c r="B4" s="1553"/>
      <c r="C4" s="1554"/>
      <c r="D4" s="1555"/>
      <c r="E4" s="1554" t="s">
        <v>1160</v>
      </c>
      <c r="F4" s="1554"/>
      <c r="G4" s="1554"/>
      <c r="H4" s="1554"/>
      <c r="I4" s="1554"/>
      <c r="J4" s="1556"/>
      <c r="K4" s="1557"/>
      <c r="L4" s="1558"/>
      <c r="M4" s="1554"/>
      <c r="N4" s="1554" t="s">
        <v>1161</v>
      </c>
      <c r="O4" s="1554"/>
      <c r="P4" s="1554"/>
      <c r="Q4" s="1554"/>
      <c r="R4" s="1554"/>
      <c r="S4" s="1556"/>
      <c r="T4" s="2425" t="str">
        <f>'数据-汇总表'!I17</f>
        <v>按面积比例</v>
      </c>
      <c r="U4" s="1553" t="s">
        <v>1162</v>
      </c>
      <c r="V4" s="1554"/>
      <c r="W4" s="1554"/>
      <c r="X4" s="1554"/>
      <c r="Y4" s="1556"/>
      <c r="Z4" s="1524" t="s">
        <v>1163</v>
      </c>
      <c r="AA4" s="1524"/>
      <c r="AB4" s="1524"/>
      <c r="AC4" s="1524"/>
      <c r="AD4" s="1524"/>
      <c r="AE4" s="1522" t="s">
        <v>1164</v>
      </c>
      <c r="AF4" s="1524"/>
      <c r="AG4" s="1559"/>
      <c r="AH4" s="1553"/>
      <c r="AI4" s="1554"/>
      <c r="AJ4" s="1554"/>
      <c r="AK4" s="1554"/>
      <c r="AL4" s="1554"/>
      <c r="AM4" s="1556"/>
      <c r="AN4" s="2426"/>
      <c r="AO4" s="2426"/>
      <c r="AP4" s="2426"/>
      <c r="AQ4" s="2426"/>
      <c r="AR4" s="2426"/>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1165</v>
      </c>
      <c r="B5" s="1561" t="s">
        <v>1166</v>
      </c>
      <c r="C5" s="1562" t="s">
        <v>1167</v>
      </c>
      <c r="D5" s="1563" t="s">
        <v>1168</v>
      </c>
      <c r="E5" s="503" t="s">
        <v>1169</v>
      </c>
      <c r="F5" s="1564" t="s">
        <v>1170</v>
      </c>
      <c r="G5" s="503" t="s">
        <v>1171</v>
      </c>
      <c r="H5" s="503" t="s">
        <v>1172</v>
      </c>
      <c r="I5" s="503" t="s">
        <v>1173</v>
      </c>
      <c r="J5" s="1237" t="s">
        <v>1174</v>
      </c>
      <c r="K5" s="1565" t="s">
        <v>1175</v>
      </c>
      <c r="L5" s="1566" t="s">
        <v>1176</v>
      </c>
      <c r="M5" s="1567" t="s">
        <v>1177</v>
      </c>
      <c r="N5" s="1568" t="s">
        <v>3997</v>
      </c>
      <c r="O5" s="1566" t="s">
        <v>1178</v>
      </c>
      <c r="P5" s="1569" t="s">
        <v>1179</v>
      </c>
      <c r="Q5" s="58" t="s">
        <v>1180</v>
      </c>
      <c r="R5" s="1570" t="s">
        <v>1181</v>
      </c>
      <c r="S5" s="1571" t="s">
        <v>1182</v>
      </c>
      <c r="T5" s="1572" t="s">
        <v>1183</v>
      </c>
      <c r="U5" s="975" t="s">
        <v>1184</v>
      </c>
      <c r="V5" s="503" t="s">
        <v>1185</v>
      </c>
      <c r="W5" s="503" t="s">
        <v>1186</v>
      </c>
      <c r="X5" s="60"/>
      <c r="Y5" s="59" t="s">
        <v>1187</v>
      </c>
      <c r="Z5" s="1091" t="s">
        <v>1184</v>
      </c>
      <c r="AA5" s="503" t="s">
        <v>1185</v>
      </c>
      <c r="AB5" s="503" t="s">
        <v>1186</v>
      </c>
      <c r="AC5" s="60"/>
      <c r="AD5" s="60" t="s">
        <v>1187</v>
      </c>
      <c r="AE5" s="975" t="s">
        <v>1188</v>
      </c>
      <c r="AF5" s="503" t="s">
        <v>1189</v>
      </c>
      <c r="AG5" s="59" t="s">
        <v>1190</v>
      </c>
      <c r="AH5" s="975" t="s">
        <v>1191</v>
      </c>
      <c r="AI5" s="1091" t="s">
        <v>1192</v>
      </c>
      <c r="AJ5" s="1091" t="s">
        <v>1193</v>
      </c>
      <c r="AK5" s="503" t="s">
        <v>1194</v>
      </c>
      <c r="AL5" s="503" t="s">
        <v>1195</v>
      </c>
      <c r="AM5" s="59" t="s">
        <v>1196</v>
      </c>
      <c r="AN5" s="1573" t="s">
        <v>1197</v>
      </c>
      <c r="AO5" s="1443" t="s">
        <v>1198</v>
      </c>
      <c r="AP5" s="958" t="s">
        <v>1199</v>
      </c>
      <c r="AQ5" s="1574" t="s">
        <v>1200</v>
      </c>
      <c r="AR5" s="1574" t="s">
        <v>1201</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0" customFormat="1" ht="14.25">
      <c r="A6" s="1575" t="str">
        <f>'数据-汇总表'!C19</f>
        <v>基准商业</v>
      </c>
      <c r="B6" s="1576" t="str">
        <f>IF(A6=0,"","经营性")</f>
        <v>经营性</v>
      </c>
      <c r="C6" s="1577" t="s">
        <v>670</v>
      </c>
      <c r="D6" s="799">
        <f>SUMIF(项目基本情况!C$12:I$12,C6,项目基本情况!C$14:I$14)</f>
        <v>40</v>
      </c>
      <c r="E6" s="798">
        <f>IF(B6="","",SUMIF(项目基本情况!C$12:I$12,C6,项目基本情况!C$13:I$13))</f>
        <v>51266</v>
      </c>
      <c r="F6" s="61">
        <f>SUMIF(项目基本情况!C$12:I$12,C6,项目基本情况!C$15:I$15)</f>
        <v>15.53</v>
      </c>
      <c r="G6" s="62">
        <f>IF(ISERROR(ROUND(POWER(1+H6,D6-F6)*(POWER(1+H6,F6)-1)/(POWER(1+H6,D6)-1),3)),0,ROUND(POWER(1+H6,D6-F6)*(POWER(1+H6,F6)-1)/(POWER(1+H6,D6)-1),3))</f>
        <v>0.61899999999999999</v>
      </c>
      <c r="H6" s="687">
        <v>0.05</v>
      </c>
      <c r="I6" s="687">
        <v>5.5E-2</v>
      </c>
      <c r="J6" s="63">
        <v>7.0000000000000007E-2</v>
      </c>
      <c r="K6" s="960">
        <f>SUMIF('数据-汇总表'!C$19:C$33,A6,'数据-汇总表'!E$19:E$33)</f>
        <v>134.51</v>
      </c>
      <c r="L6" s="3156">
        <v>3500</v>
      </c>
      <c r="M6" s="64">
        <f t="shared" ref="M6:M14" si="0">ROUND(K6*L6/10000,0)</f>
        <v>47</v>
      </c>
      <c r="N6" s="686">
        <f>ROUND(1-(2024-2017)/60,2)</f>
        <v>0.88</v>
      </c>
      <c r="O6" s="64" t="str">
        <f>IF($N$5="成新度","——",ROUND(M6*N6,0))</f>
        <v>——</v>
      </c>
      <c r="P6" s="65" t="str">
        <f>IF($N$5="成新度","——",M6-O6)</f>
        <v>——</v>
      </c>
      <c r="Q6" s="689">
        <v>0.2</v>
      </c>
      <c r="R6" s="66">
        <f ca="1">SUMIF('数据-汇总表'!C$19:C$33,A6,'数据-汇总表'!R$19:R$27)</f>
        <v>0</v>
      </c>
      <c r="S6" s="49">
        <f>IF('数据-汇总表'!$I$17="按面积比例",SUMIF('数据-汇总表'!C$19:C$33,A6,'数据-汇总表'!K$19:K$33),SUMIF('数据-汇总表'!C$19:C$33,A6,'数据-汇总表'!N$19:N$33))</f>
        <v>0</v>
      </c>
      <c r="T6" s="1082">
        <f>ROUND($L$14*S6/10000,0)</f>
        <v>0</v>
      </c>
      <c r="U6" s="1539">
        <f>'比较法-商业租金'!C48</f>
        <v>5.2</v>
      </c>
      <c r="V6" s="67">
        <v>0.02</v>
      </c>
      <c r="W6" s="67">
        <v>0.1</v>
      </c>
      <c r="X6" s="969"/>
      <c r="Y6" s="68">
        <f>N6</f>
        <v>0.88</v>
      </c>
      <c r="Z6" s="69"/>
      <c r="AA6" s="63"/>
      <c r="AB6" s="63"/>
      <c r="AC6" s="969"/>
      <c r="AD6" s="70"/>
      <c r="AE6" s="970">
        <f ca="1">IF(AN6="",0,SUMIF(INDIRECT("'"&amp;AN6&amp;"'"&amp;"!E:E"),$AE$5,INDIRECT("'"&amp;AN6&amp;"'"&amp;"!F:F")))</f>
        <v>15.53</v>
      </c>
      <c r="AF6" s="74"/>
      <c r="AG6" s="129">
        <f>IF(AF6="",0,AE6-AF6)</f>
        <v>0</v>
      </c>
      <c r="AH6" s="71"/>
      <c r="AI6" s="73">
        <v>365</v>
      </c>
      <c r="AJ6" s="74"/>
      <c r="AK6" s="75">
        <v>5.0000000000000001E-3</v>
      </c>
      <c r="AL6" s="76">
        <v>1E-3</v>
      </c>
      <c r="AM6" s="77">
        <v>0.01</v>
      </c>
      <c r="AN6" s="1578" t="s">
        <v>4047</v>
      </c>
      <c r="AO6" s="50">
        <f ca="1">SUMIF(INDIRECT("'"&amp;AN6&amp;"'"&amp;"!A:A"),"总价",INDIRECT("'"&amp;AN6&amp;"'"&amp;"!B:B"))</f>
        <v>230.2466</v>
      </c>
      <c r="AP6" s="1579">
        <f>IF(C6="住宅",K6*L6,0)</f>
        <v>0</v>
      </c>
      <c r="AQ6" s="50">
        <f>ROUND($L$14*$N$14*S6/10000,0)</f>
        <v>0</v>
      </c>
      <c r="AR6" s="50">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剩余商业</v>
      </c>
      <c r="B7" s="1576" t="str">
        <f t="shared" ref="B7:B13" si="1">IF(A7=0,"","经营性")</f>
        <v>经营性</v>
      </c>
      <c r="C7" s="1577" t="s">
        <v>670</v>
      </c>
      <c r="D7" s="799">
        <f>SUMIF(项目基本情况!C$12:I$12,C7,项目基本情况!C$14:I$14)</f>
        <v>40</v>
      </c>
      <c r="E7" s="798">
        <f>IF(B7="","",SUMIF(项目基本情况!C$12:I$12,C7,项目基本情况!C$13:I$13))</f>
        <v>51266</v>
      </c>
      <c r="F7" s="61">
        <f>SUMIF(项目基本情况!C$12:I$12,C7,项目基本情况!C$15:I$15)</f>
        <v>15.53</v>
      </c>
      <c r="G7" s="62">
        <f t="shared" ref="G7:G11" si="2">IF(ISERROR(ROUND(POWER(1+H7,D7-F7)*(POWER(1+H7,F7)-1)/(POWER(1+H7,D7)-1),3)),0,ROUND(POWER(1+H7,D7-F7)*(POWER(1+H7,F7)-1)/(POWER(1+H7,D7)-1),3))</f>
        <v>0.61899999999999999</v>
      </c>
      <c r="H7" s="687">
        <v>0.05</v>
      </c>
      <c r="I7" s="687">
        <v>5.5E-2</v>
      </c>
      <c r="J7" s="63">
        <v>7.0000000000000007E-2</v>
      </c>
      <c r="K7" s="960">
        <f>SUMIF('数据-汇总表'!C$19:C$33,A7,'数据-汇总表'!E$19:E$33)</f>
        <v>1680.55</v>
      </c>
      <c r="L7" s="3156">
        <f>L6</f>
        <v>3500</v>
      </c>
      <c r="M7" s="64">
        <f t="shared" si="0"/>
        <v>588</v>
      </c>
      <c r="N7" s="686">
        <f>N6</f>
        <v>0.88</v>
      </c>
      <c r="O7" s="64" t="str">
        <f t="shared" ref="O7:O14" si="3">IF($N$5="成新度","——",ROUND(M7*N7,0))</f>
        <v>——</v>
      </c>
      <c r="P7" s="65" t="str">
        <f t="shared" ref="P7:P14" si="4">IF($N$5="成新度","——",M7-O7)</f>
        <v>——</v>
      </c>
      <c r="Q7" s="689">
        <v>0.2</v>
      </c>
      <c r="R7" s="66">
        <f ca="1">SUMIF('数据-汇总表'!C$19:C$33,A7,'数据-汇总表'!R$19:R$27)</f>
        <v>0</v>
      </c>
      <c r="S7" s="49">
        <f>IF('数据-汇总表'!$I$17="按面积比例",SUMIF('数据-汇总表'!C$19:C$33,A7,'数据-汇总表'!K$19:K$33),SUMIF('数据-汇总表'!C$19:C$33,A7,'数据-汇总表'!N$19:N$33))</f>
        <v>0</v>
      </c>
      <c r="T7" s="1082">
        <f t="shared" ref="T7:T13" si="5">ROUND($L$14*S7/10000,0)</f>
        <v>0</v>
      </c>
      <c r="U7" s="1539"/>
      <c r="V7" s="67"/>
      <c r="W7" s="67"/>
      <c r="X7" s="969"/>
      <c r="Y7" s="68">
        <f t="shared" ref="Y7:Y9" si="6">N7</f>
        <v>0.88</v>
      </c>
      <c r="Z7" s="69"/>
      <c r="AA7" s="63"/>
      <c r="AB7" s="63"/>
      <c r="AC7" s="969"/>
      <c r="AD7" s="70"/>
      <c r="AE7" s="970">
        <f t="shared" ref="AE7:AE13" ca="1" si="7">IF(AN7="",0,SUMIF(INDIRECT("'"&amp;AN7&amp;"'"&amp;"!E:E"),$AE$5,INDIRECT("'"&amp;AN7&amp;"'"&amp;"!F:F")))</f>
        <v>0</v>
      </c>
      <c r="AF7" s="74"/>
      <c r="AG7" s="129">
        <f t="shared" ref="AG7:AG13" si="8">IF(AF7="",0,AE7-AF7)</f>
        <v>0</v>
      </c>
      <c r="AH7" s="71"/>
      <c r="AI7" s="73"/>
      <c r="AJ7" s="74"/>
      <c r="AK7" s="75"/>
      <c r="AL7" s="76"/>
      <c r="AM7" s="77"/>
      <c r="AN7" s="1578"/>
      <c r="AO7" s="50" t="e">
        <f t="shared" ref="AO7:AO13" ca="1" si="9">SUMIF(INDIRECT("'"&amp;AN7&amp;"'"&amp;"!A:A"),"总价",INDIRECT("'"&amp;AN7&amp;"'"&amp;"!B:B"))</f>
        <v>#REF!</v>
      </c>
      <c r="AP7" s="1579">
        <f t="shared" ref="AP7:AP13" si="10">IF(C7="住宅",K7*L7,0)</f>
        <v>0</v>
      </c>
      <c r="AQ7" s="50">
        <f t="shared" ref="AQ7:AQ13" si="11">ROUND($L$14*$N$14*S7/10000,0)</f>
        <v>0</v>
      </c>
      <c r="AR7" s="50">
        <f t="shared" ref="AR7:AR13" si="12">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基准办公</v>
      </c>
      <c r="B8" s="1576" t="str">
        <f t="shared" si="1"/>
        <v>经营性</v>
      </c>
      <c r="C8" s="1577" t="s">
        <v>21</v>
      </c>
      <c r="D8" s="799">
        <f>SUMIF(项目基本情况!C$12:I$12,C8,项目基本情况!C$14:I$14)</f>
        <v>50</v>
      </c>
      <c r="E8" s="798">
        <f>IF(B8="","",SUMIF(项目基本情况!C$12:I$12,C8,项目基本情况!C$13:I$13))</f>
        <v>54918</v>
      </c>
      <c r="F8" s="61">
        <f>SUMIF(项目基本情况!C$12:I$12,C8,项目基本情况!C$15:I$15)</f>
        <v>25.53</v>
      </c>
      <c r="G8" s="62">
        <f t="shared" si="2"/>
        <v>0.75900000000000001</v>
      </c>
      <c r="H8" s="687">
        <v>4.4999999999999998E-2</v>
      </c>
      <c r="I8" s="3199">
        <v>5.5E-2</v>
      </c>
      <c r="J8" s="63">
        <v>7.0000000000000007E-2</v>
      </c>
      <c r="K8" s="960">
        <f>SUMIF('数据-汇总表'!C$19:C$33,A8,'数据-汇总表'!E$19:E$33)</f>
        <v>51.46</v>
      </c>
      <c r="L8" s="3156">
        <f>L6</f>
        <v>3500</v>
      </c>
      <c r="M8" s="64">
        <f>ROUND(K8*L8/10000,0)</f>
        <v>18</v>
      </c>
      <c r="N8" s="686">
        <f>N6</f>
        <v>0.88</v>
      </c>
      <c r="O8" s="64" t="str">
        <f t="shared" si="3"/>
        <v>——</v>
      </c>
      <c r="P8" s="65" t="str">
        <f t="shared" si="4"/>
        <v>——</v>
      </c>
      <c r="Q8" s="689">
        <v>0.15</v>
      </c>
      <c r="R8" s="66">
        <f ca="1">SUMIF('数据-汇总表'!C$19:C$33,A8,'数据-汇总表'!R$19:R$27)</f>
        <v>0</v>
      </c>
      <c r="S8" s="49">
        <f>IF('数据-汇总表'!$I$17="按面积比例",SUMIF('数据-汇总表'!C$19:C$33,A8,'数据-汇总表'!K$19:K$33),SUMIF('数据-汇总表'!C$19:C$33,A8,'数据-汇总表'!N$19:N$33))</f>
        <v>0</v>
      </c>
      <c r="T8" s="1082">
        <f t="shared" si="5"/>
        <v>0</v>
      </c>
      <c r="U8" s="140">
        <f>'比较法-办公租金'!C49</f>
        <v>2.4</v>
      </c>
      <c r="V8" s="690">
        <v>0.02</v>
      </c>
      <c r="W8" s="690">
        <v>0.1</v>
      </c>
      <c r="X8" s="969"/>
      <c r="Y8" s="68">
        <f t="shared" si="6"/>
        <v>0.88</v>
      </c>
      <c r="Z8" s="69"/>
      <c r="AA8" s="63"/>
      <c r="AB8" s="63"/>
      <c r="AC8" s="969"/>
      <c r="AD8" s="70"/>
      <c r="AE8" s="970">
        <f t="shared" ca="1" si="7"/>
        <v>25.53</v>
      </c>
      <c r="AF8" s="74"/>
      <c r="AG8" s="129">
        <f t="shared" si="8"/>
        <v>0</v>
      </c>
      <c r="AH8" s="691"/>
      <c r="AI8" s="73">
        <v>365</v>
      </c>
      <c r="AJ8" s="74"/>
      <c r="AK8" s="75">
        <v>5.0000000000000001E-3</v>
      </c>
      <c r="AL8" s="76">
        <v>1E-3</v>
      </c>
      <c r="AM8" s="77">
        <v>0.01</v>
      </c>
      <c r="AN8" s="1578" t="s">
        <v>3998</v>
      </c>
      <c r="AO8" s="50">
        <f t="shared" ca="1" si="9"/>
        <v>54.47</v>
      </c>
      <c r="AP8" s="1579">
        <f t="shared" si="10"/>
        <v>0</v>
      </c>
      <c r="AQ8" s="50">
        <f t="shared" si="11"/>
        <v>0</v>
      </c>
      <c r="AR8" s="50">
        <f t="shared" si="12"/>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t="str">
        <f>'数据-汇总表'!C22</f>
        <v>剩余办公</v>
      </c>
      <c r="B9" s="1576" t="str">
        <f t="shared" si="1"/>
        <v>经营性</v>
      </c>
      <c r="C9" s="1577" t="s">
        <v>21</v>
      </c>
      <c r="D9" s="799">
        <f>SUMIF(项目基本情况!C$12:I$12,C9,项目基本情况!C$14:I$14)</f>
        <v>50</v>
      </c>
      <c r="E9" s="798">
        <f>IF(B9="","",SUMIF(项目基本情况!C$12:I$12,C9,项目基本情况!C$13:I$13))</f>
        <v>54918</v>
      </c>
      <c r="F9" s="61">
        <f>SUMIF(项目基本情况!C$12:I$12,C9,项目基本情况!C$15:I$15)</f>
        <v>25.53</v>
      </c>
      <c r="G9" s="62">
        <f t="shared" si="2"/>
        <v>0.75900000000000001</v>
      </c>
      <c r="H9" s="687">
        <v>4.4999999999999998E-2</v>
      </c>
      <c r="I9" s="3199">
        <v>5.5E-2</v>
      </c>
      <c r="J9" s="63">
        <v>7.0000000000000007E-2</v>
      </c>
      <c r="K9" s="960">
        <f>SUMIF('数据-汇总表'!C$19:C$33,A9,'数据-汇总表'!E$19:E$33)</f>
        <v>49245.160000000593</v>
      </c>
      <c r="L9" s="3156">
        <f>L6</f>
        <v>3500</v>
      </c>
      <c r="M9" s="64">
        <f t="shared" si="0"/>
        <v>17236</v>
      </c>
      <c r="N9" s="686">
        <f>N6</f>
        <v>0.88</v>
      </c>
      <c r="O9" s="64" t="str">
        <f t="shared" si="3"/>
        <v>——</v>
      </c>
      <c r="P9" s="65" t="str">
        <f t="shared" si="4"/>
        <v>——</v>
      </c>
      <c r="Q9" s="689">
        <f>Q8</f>
        <v>0.15</v>
      </c>
      <c r="R9" s="66">
        <f ca="1">SUMIF('数据-汇总表'!C$19:C$33,A9,'数据-汇总表'!R$19:R$27)</f>
        <v>0</v>
      </c>
      <c r="S9" s="49">
        <f>IF('数据-汇总表'!$I$17="按面积比例",SUMIF('数据-汇总表'!C$19:C$33,A9,'数据-汇总表'!K$19:K$33),SUMIF('数据-汇总表'!C$19:C$33,A9,'数据-汇总表'!N$19:N$33))</f>
        <v>0</v>
      </c>
      <c r="T9" s="1082">
        <f t="shared" si="5"/>
        <v>0</v>
      </c>
      <c r="U9" s="1539"/>
      <c r="V9" s="67"/>
      <c r="W9" s="67"/>
      <c r="X9" s="969"/>
      <c r="Y9" s="68">
        <f t="shared" si="6"/>
        <v>0.88</v>
      </c>
      <c r="Z9" s="69"/>
      <c r="AA9" s="63"/>
      <c r="AB9" s="63"/>
      <c r="AC9" s="969"/>
      <c r="AD9" s="70"/>
      <c r="AE9" s="970">
        <f t="shared" ca="1" si="7"/>
        <v>0</v>
      </c>
      <c r="AF9" s="74"/>
      <c r="AG9" s="129">
        <f t="shared" si="8"/>
        <v>0</v>
      </c>
      <c r="AH9" s="71"/>
      <c r="AI9" s="73"/>
      <c r="AJ9" s="74"/>
      <c r="AK9" s="75"/>
      <c r="AL9" s="76"/>
      <c r="AM9" s="77"/>
      <c r="AN9" s="1578"/>
      <c r="AO9" s="50" t="e">
        <f t="shared" ca="1" si="9"/>
        <v>#REF!</v>
      </c>
      <c r="AP9" s="1579">
        <f t="shared" si="10"/>
        <v>0</v>
      </c>
      <c r="AQ9" s="50">
        <f t="shared" si="11"/>
        <v>0</v>
      </c>
      <c r="AR9" s="50">
        <f t="shared" si="12"/>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0">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2">
        <f t="shared" si="5"/>
        <v>0</v>
      </c>
      <c r="U10" s="3114"/>
      <c r="V10" s="67"/>
      <c r="W10" s="67"/>
      <c r="X10" s="969"/>
      <c r="Y10" s="68"/>
      <c r="Z10" s="69"/>
      <c r="AA10" s="63"/>
      <c r="AB10" s="63"/>
      <c r="AC10" s="969"/>
      <c r="AD10" s="70"/>
      <c r="AE10" s="970">
        <f t="shared" ca="1" si="7"/>
        <v>0</v>
      </c>
      <c r="AF10" s="74"/>
      <c r="AG10" s="129">
        <f t="shared" si="8"/>
        <v>0</v>
      </c>
      <c r="AH10" s="71"/>
      <c r="AI10" s="73"/>
      <c r="AJ10" s="74"/>
      <c r="AK10" s="75"/>
      <c r="AL10" s="76"/>
      <c r="AM10" s="77"/>
      <c r="AN10" s="1578"/>
      <c r="AO10" s="50" t="e">
        <f t="shared" ca="1" si="9"/>
        <v>#REF!</v>
      </c>
      <c r="AP10" s="1579">
        <f t="shared" si="10"/>
        <v>0</v>
      </c>
      <c r="AQ10" s="50">
        <f t="shared" si="11"/>
        <v>0</v>
      </c>
      <c r="AR10" s="50">
        <f t="shared" si="12"/>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0">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2">
        <f t="shared" si="5"/>
        <v>0</v>
      </c>
      <c r="U11" s="3114"/>
      <c r="V11" s="63"/>
      <c r="W11" s="63"/>
      <c r="X11" s="969"/>
      <c r="Y11" s="68"/>
      <c r="Z11" s="81"/>
      <c r="AA11" s="63"/>
      <c r="AB11" s="63"/>
      <c r="AC11" s="969"/>
      <c r="AD11" s="70"/>
      <c r="AE11" s="970">
        <f t="shared" ca="1" si="7"/>
        <v>0</v>
      </c>
      <c r="AF11" s="74"/>
      <c r="AG11" s="129">
        <f t="shared" si="8"/>
        <v>0</v>
      </c>
      <c r="AH11" s="71"/>
      <c r="AI11" s="73"/>
      <c r="AJ11" s="74"/>
      <c r="AK11" s="75"/>
      <c r="AL11" s="76"/>
      <c r="AM11" s="77"/>
      <c r="AN11" s="1578"/>
      <c r="AO11" s="50" t="e">
        <f t="shared" ca="1" si="9"/>
        <v>#REF!</v>
      </c>
      <c r="AP11" s="1579">
        <f t="shared" si="10"/>
        <v>0</v>
      </c>
      <c r="AQ11" s="50">
        <f t="shared" si="11"/>
        <v>0</v>
      </c>
      <c r="AR11" s="50">
        <f t="shared" si="12"/>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0">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2">
        <f t="shared" si="5"/>
        <v>0</v>
      </c>
      <c r="U12" s="3114"/>
      <c r="V12" s="63"/>
      <c r="W12" s="63"/>
      <c r="X12" s="969"/>
      <c r="Y12" s="68"/>
      <c r="Z12" s="81"/>
      <c r="AA12" s="63"/>
      <c r="AB12" s="63"/>
      <c r="AC12" s="969"/>
      <c r="AD12" s="70"/>
      <c r="AE12" s="970">
        <f t="shared" ca="1" si="7"/>
        <v>0</v>
      </c>
      <c r="AF12" s="74"/>
      <c r="AG12" s="129">
        <f t="shared" si="8"/>
        <v>0</v>
      </c>
      <c r="AH12" s="71"/>
      <c r="AI12" s="73"/>
      <c r="AJ12" s="74"/>
      <c r="AK12" s="75"/>
      <c r="AL12" s="76"/>
      <c r="AM12" s="77"/>
      <c r="AN12" s="1578"/>
      <c r="AO12" s="50" t="e">
        <f t="shared" ca="1" si="9"/>
        <v>#REF!</v>
      </c>
      <c r="AP12" s="1579">
        <f t="shared" si="10"/>
        <v>0</v>
      </c>
      <c r="AQ12" s="50">
        <f t="shared" si="11"/>
        <v>0</v>
      </c>
      <c r="AR12" s="50">
        <f t="shared" si="12"/>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2">
        <f t="shared" si="5"/>
        <v>0</v>
      </c>
      <c r="U13" s="3115"/>
      <c r="V13" s="67"/>
      <c r="W13" s="67"/>
      <c r="X13" s="969"/>
      <c r="Y13" s="68"/>
      <c r="Z13" s="69"/>
      <c r="AA13" s="63"/>
      <c r="AB13" s="63"/>
      <c r="AC13" s="969"/>
      <c r="AD13" s="70"/>
      <c r="AE13" s="970">
        <f t="shared" ca="1" si="7"/>
        <v>0</v>
      </c>
      <c r="AF13" s="74"/>
      <c r="AG13" s="129">
        <f t="shared" si="8"/>
        <v>0</v>
      </c>
      <c r="AH13" s="71"/>
      <c r="AI13" s="73"/>
      <c r="AJ13" s="74"/>
      <c r="AK13" s="75"/>
      <c r="AL13" s="76"/>
      <c r="AM13" s="77"/>
      <c r="AN13" s="1578"/>
      <c r="AO13" s="50" t="e">
        <f t="shared" ca="1" si="9"/>
        <v>#REF!</v>
      </c>
      <c r="AP13" s="1579">
        <f t="shared" si="10"/>
        <v>0</v>
      </c>
      <c r="AQ13" s="50">
        <f t="shared" si="11"/>
        <v>0</v>
      </c>
      <c r="AR13" s="50">
        <f t="shared" si="12"/>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1202</v>
      </c>
      <c r="B14" s="1576" t="s">
        <v>1203</v>
      </c>
      <c r="C14" s="1581" t="s">
        <v>1202</v>
      </c>
      <c r="D14" s="799"/>
      <c r="E14" s="798"/>
      <c r="F14" s="61"/>
      <c r="G14" s="62"/>
      <c r="H14" s="959"/>
      <c r="I14" s="959"/>
      <c r="J14" s="959"/>
      <c r="K14" s="960">
        <f>SUMIF('数据-汇总表'!C$19:C$33,A14,'数据-汇总表'!E$19:E$33)</f>
        <v>0</v>
      </c>
      <c r="L14" s="79"/>
      <c r="M14" s="64">
        <f t="shared" si="0"/>
        <v>0</v>
      </c>
      <c r="N14" s="80"/>
      <c r="O14" s="64" t="str">
        <f t="shared" si="3"/>
        <v>——</v>
      </c>
      <c r="P14" s="65" t="str">
        <f t="shared" si="4"/>
        <v>——</v>
      </c>
      <c r="Q14" s="963"/>
      <c r="R14" s="66"/>
      <c r="S14" s="49"/>
      <c r="T14" s="1082"/>
      <c r="U14" s="633"/>
      <c r="V14" s="965"/>
      <c r="W14" s="965"/>
      <c r="X14" s="966"/>
      <c r="Y14" s="967"/>
      <c r="Z14" s="54"/>
      <c r="AA14" s="968"/>
      <c r="AB14" s="968"/>
      <c r="AC14" s="969"/>
      <c r="AD14" s="966"/>
      <c r="AE14" s="970"/>
      <c r="AF14" s="50"/>
      <c r="AG14" s="129"/>
      <c r="AH14" s="970"/>
      <c r="AI14" s="1255"/>
      <c r="AJ14" s="50"/>
      <c r="AK14" s="971"/>
      <c r="AL14" s="972"/>
      <c r="AM14" s="973"/>
      <c r="AN14" s="2436"/>
      <c r="AO14" s="2426"/>
      <c r="AP14" s="2426"/>
      <c r="AQ14" s="2426"/>
      <c r="AR14" s="2426"/>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1204</v>
      </c>
      <c r="B15" s="1576" t="s">
        <v>1203</v>
      </c>
      <c r="C15" s="1581" t="s">
        <v>1205</v>
      </c>
      <c r="D15" s="799"/>
      <c r="E15" s="798"/>
      <c r="F15" s="61"/>
      <c r="G15" s="62"/>
      <c r="H15" s="959"/>
      <c r="I15" s="959"/>
      <c r="J15" s="959"/>
      <c r="K15" s="960">
        <f>SUMIF('数据-汇总表'!C$19:C$33,A15,'数据-汇总表'!E$19:E$33)</f>
        <v>0</v>
      </c>
      <c r="L15" s="961"/>
      <c r="M15" s="64"/>
      <c r="N15" s="962"/>
      <c r="O15" s="64"/>
      <c r="P15" s="65"/>
      <c r="Q15" s="963"/>
      <c r="R15" s="66"/>
      <c r="S15" s="49"/>
      <c r="T15" s="1082"/>
      <c r="U15" s="633"/>
      <c r="V15" s="965"/>
      <c r="W15" s="965"/>
      <c r="X15" s="966"/>
      <c r="Y15" s="967"/>
      <c r="Z15" s="54"/>
      <c r="AA15" s="968"/>
      <c r="AB15" s="968"/>
      <c r="AC15" s="969"/>
      <c r="AD15" s="966"/>
      <c r="AE15" s="970"/>
      <c r="AF15" s="50"/>
      <c r="AG15" s="129"/>
      <c r="AH15" s="970"/>
      <c r="AI15" s="1255"/>
      <c r="AJ15" s="50"/>
      <c r="AK15" s="971"/>
      <c r="AL15" s="972"/>
      <c r="AM15" s="973"/>
      <c r="AN15" s="2436"/>
      <c r="AO15" s="2426"/>
      <c r="AP15" s="2426"/>
      <c r="AQ15" s="2426"/>
      <c r="AR15" s="2426"/>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1206</v>
      </c>
      <c r="B16" s="82"/>
      <c r="C16" s="777"/>
      <c r="D16" s="1583"/>
      <c r="E16" s="82"/>
      <c r="F16" s="82"/>
      <c r="G16" s="83">
        <f>ROUND(SUMPRODUCT(G6:G13,K6:K13)/SUMPRODUCT((G6:G13&gt;0)*(K6:K13)),3)</f>
        <v>0.754</v>
      </c>
      <c r="H16" s="84">
        <f>ROUND(SUMPRODUCT(H6:H13,K6:K13)/SUMPRODUCT((H6:H13&gt;0)*(K6:K13)),3)</f>
        <v>4.4999999999999998E-2</v>
      </c>
      <c r="I16" s="85"/>
      <c r="J16" s="85"/>
      <c r="K16" s="86">
        <f>SUM(K6:K15)</f>
        <v>51111.68000000059</v>
      </c>
      <c r="L16" s="87">
        <f>ROUND(M16*10000/SUM(K6:K14),0)</f>
        <v>3500</v>
      </c>
      <c r="M16" s="87">
        <f>SUM(M6:M14)</f>
        <v>17889</v>
      </c>
      <c r="N16" s="88">
        <f>ROUND(SUMPRODUCT(M6:M14,N6:N14)/M16,3)</f>
        <v>0.88</v>
      </c>
      <c r="O16" s="87">
        <f>SUM(O6:O14)</f>
        <v>0</v>
      </c>
      <c r="P16" s="87">
        <f>SUM(P6:P14)</f>
        <v>0</v>
      </c>
      <c r="Q16" s="89">
        <f>ROUND(SUMPRODUCT(Q6:Q13,K6:K13)/SUMPRODUCT((Q6:Q13&gt;0)*(K6:K13)),2)</f>
        <v>0.15</v>
      </c>
      <c r="R16" s="96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1207</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85" t="s">
        <v>1208</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86" t="s">
        <v>1209</v>
      </c>
      <c r="B20" s="98">
        <v>2</v>
      </c>
      <c r="C20" s="2549" t="s">
        <v>2289</v>
      </c>
      <c r="D20" s="2439"/>
      <c r="E20" s="2426"/>
      <c r="F20" s="2426"/>
      <c r="G20" s="2426"/>
      <c r="H20" s="2426"/>
      <c r="I20" s="2426"/>
      <c r="J20" s="2426"/>
      <c r="K20" s="2437"/>
      <c r="L20" s="243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87" t="s">
        <v>1210</v>
      </c>
      <c r="B21" s="98">
        <v>2</v>
      </c>
      <c r="C21" s="2426"/>
      <c r="D21" s="2439"/>
      <c r="E21" s="2426"/>
      <c r="F21" s="2426"/>
      <c r="G21" s="2426"/>
      <c r="H21" s="2426"/>
      <c r="I21" s="2426"/>
      <c r="J21" s="2426"/>
      <c r="K21" s="2437"/>
      <c r="L21" s="243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86" t="s">
        <v>1211</v>
      </c>
      <c r="B22" s="99">
        <f>B19+B20</f>
        <v>2</v>
      </c>
      <c r="C22" s="2426"/>
      <c r="D22" s="2439"/>
      <c r="E22" s="2426"/>
      <c r="F22" s="2426"/>
      <c r="G22" s="2426"/>
      <c r="H22" s="2426"/>
      <c r="I22" s="2426"/>
      <c r="J22" s="2426"/>
      <c r="K22" s="2437"/>
      <c r="L22" s="243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87" t="s">
        <v>1212</v>
      </c>
      <c r="B23" s="99">
        <f>B19+B21</f>
        <v>2</v>
      </c>
      <c r="C23" s="2426"/>
      <c r="D23" s="2439"/>
      <c r="E23" s="2426"/>
      <c r="F23" s="2426"/>
      <c r="G23" s="2426"/>
      <c r="H23" s="2426"/>
      <c r="I23" s="2426"/>
      <c r="J23" s="2426"/>
      <c r="K23" s="2437"/>
      <c r="L23" s="243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88" t="s">
        <v>1213</v>
      </c>
      <c r="B24" s="100">
        <f>B20-B21</f>
        <v>0</v>
      </c>
      <c r="C24" s="2426"/>
      <c r="D24" s="2439"/>
      <c r="E24" s="2426"/>
      <c r="F24" s="2426"/>
      <c r="G24" s="2426"/>
      <c r="H24" s="2426"/>
      <c r="I24" s="2426"/>
      <c r="J24" s="2426"/>
      <c r="K24" s="2437"/>
      <c r="L24" s="243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38"/>
      <c r="B25" s="1531"/>
      <c r="C25" s="2426"/>
      <c r="D25" s="2439"/>
      <c r="E25" s="2426"/>
      <c r="F25" s="2426"/>
      <c r="G25" s="2426"/>
      <c r="H25" s="2426"/>
      <c r="I25" s="2426"/>
      <c r="J25" s="2426"/>
      <c r="K25" s="2437"/>
      <c r="L25" s="243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1" t="s">
        <v>1214</v>
      </c>
      <c r="B26" s="1589" t="s">
        <v>1215</v>
      </c>
      <c r="C26" s="2440" t="s">
        <v>1216</v>
      </c>
      <c r="D26" s="2439"/>
      <c r="E26" s="2426"/>
      <c r="F26" s="2426"/>
      <c r="G26" s="2426"/>
      <c r="H26" s="2426"/>
      <c r="I26" s="2426"/>
      <c r="J26" s="2426"/>
      <c r="K26" s="2437"/>
      <c r="L26" s="243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0" t="s">
        <v>1217</v>
      </c>
      <c r="B27" s="101">
        <v>150</v>
      </c>
      <c r="C27" s="2550" t="s">
        <v>2293</v>
      </c>
      <c r="D27" s="2442"/>
      <c r="E27" s="2427"/>
      <c r="F27" s="2427"/>
      <c r="G27" s="2426"/>
      <c r="H27" s="2426"/>
      <c r="I27" s="2426"/>
      <c r="J27" s="2426"/>
      <c r="K27" s="2437"/>
      <c r="L27" s="243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1" t="s">
        <v>1218</v>
      </c>
      <c r="B28" s="103">
        <v>190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2" t="s">
        <v>1219</v>
      </c>
      <c r="B29" s="105">
        <f>ROUND(B28*K16/10000,0)</f>
        <v>971</v>
      </c>
      <c r="C29" s="2551" t="s">
        <v>2282</v>
      </c>
      <c r="D29" s="2442"/>
      <c r="E29" s="2427"/>
      <c r="F29" s="2427"/>
      <c r="G29" s="2426"/>
      <c r="H29" s="2426"/>
      <c r="I29" s="2426"/>
      <c r="J29" s="2426"/>
      <c r="K29" s="2437"/>
      <c r="L29" s="243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3" t="s">
        <v>1220</v>
      </c>
      <c r="B30" s="634">
        <v>200</v>
      </c>
      <c r="C30" s="2443"/>
      <c r="D30" s="2442"/>
      <c r="E30" s="2427"/>
      <c r="F30" s="2427"/>
      <c r="G30" s="2426"/>
      <c r="H30" s="2426"/>
      <c r="I30" s="2426"/>
      <c r="J30" s="2426"/>
      <c r="K30" s="2437"/>
      <c r="L30" s="243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1" t="s">
        <v>1221</v>
      </c>
      <c r="B31" s="104">
        <f>B30-B32</f>
        <v>200</v>
      </c>
      <c r="C31" s="2441"/>
      <c r="D31" s="2442"/>
      <c r="E31" s="2427"/>
      <c r="F31" s="2427"/>
      <c r="G31" s="2426"/>
      <c r="H31" s="2426"/>
      <c r="I31" s="2426"/>
      <c r="J31" s="2426"/>
      <c r="K31" s="2437"/>
      <c r="L31" s="243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594" t="s">
        <v>1222</v>
      </c>
      <c r="B32" s="635">
        <v>0</v>
      </c>
      <c r="C32" s="2443"/>
      <c r="D32" s="2439"/>
      <c r="E32" s="2426"/>
      <c r="F32" s="2426"/>
      <c r="G32" s="2426"/>
      <c r="H32" s="2426"/>
      <c r="I32" s="2426"/>
      <c r="J32" s="2426"/>
      <c r="K32" s="2437"/>
      <c r="L32" s="243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0" t="s">
        <v>1223</v>
      </c>
      <c r="B33" s="636">
        <v>0.05</v>
      </c>
      <c r="C33" s="2552" t="s">
        <v>3366</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1" t="s">
        <v>1224</v>
      </c>
      <c r="B34" s="106">
        <v>0</v>
      </c>
      <c r="C34" s="2552" t="s">
        <v>2283</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1" t="s">
        <v>1225</v>
      </c>
      <c r="B35" s="103">
        <v>200</v>
      </c>
      <c r="C35" s="2552" t="s">
        <v>2284</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2" t="s">
        <v>1226</v>
      </c>
      <c r="B36" s="107">
        <v>0.02</v>
      </c>
      <c r="C36" s="2552" t="s">
        <v>3367</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3" t="s">
        <v>1227</v>
      </c>
      <c r="B37" s="108">
        <v>0.02</v>
      </c>
      <c r="C37" s="2552" t="s">
        <v>2285</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1" t="s">
        <v>1228</v>
      </c>
      <c r="B38" s="106">
        <v>0.02</v>
      </c>
      <c r="C38" s="2552" t="s">
        <v>2285</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594" t="s">
        <v>1229</v>
      </c>
      <c r="B39" s="308">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15" thickBot="1">
      <c r="A40" s="2561" t="s">
        <v>2300</v>
      </c>
      <c r="B40" s="1005">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0" t="s">
        <v>1230</v>
      </c>
      <c r="B41" s="109">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595" t="s">
        <v>1231</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595" t="s">
        <v>1232</v>
      </c>
      <c r="B43" s="111">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596" t="s">
        <v>1233</v>
      </c>
      <c r="B44" s="110">
        <v>7.0000000000000007E-2</v>
      </c>
      <c r="C44" s="2552" t="s">
        <v>2294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596" t="s">
        <v>1234</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596" t="s">
        <v>1235</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597" t="s">
        <v>1236</v>
      </c>
      <c r="B47" s="112"/>
      <c r="C47" s="2554" t="s">
        <v>2295</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598" t="s">
        <v>1237</v>
      </c>
      <c r="B48" s="113">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594" t="s">
        <v>1238</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599" t="s">
        <v>1239</v>
      </c>
      <c r="B50" s="114">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2" t="s">
        <v>1240</v>
      </c>
      <c r="B51" s="115">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599" t="s">
        <v>1241</v>
      </c>
      <c r="B52" s="116">
        <f>SUMIF(A54:A63,B53,B54:B63)</f>
        <v>1.5</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1" t="s">
        <v>1242</v>
      </c>
      <c r="B53" s="1600" t="s">
        <v>29</v>
      </c>
      <c r="C53" s="2427" t="s">
        <v>1243</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1" t="s">
        <v>1244</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1" t="s">
        <v>1245</v>
      </c>
      <c r="B55" s="72"/>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1" t="s">
        <v>1246</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1" t="s">
        <v>1247</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1" t="s">
        <v>1248</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1" t="s">
        <v>1249</v>
      </c>
      <c r="B59" s="72">
        <v>1.5</v>
      </c>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1" t="s">
        <v>1250</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1" t="s">
        <v>1251</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1" t="s">
        <v>1252</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2" t="s">
        <v>1253</v>
      </c>
      <c r="B63" s="117"/>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0"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0"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0"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0"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0"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0" customFormat="1">
      <c r="A69" s="1603"/>
      <c r="D69" s="1604"/>
      <c r="K69" s="683"/>
      <c r="L69" s="683"/>
    </row>
    <row r="70" spans="1:44" s="680" customFormat="1">
      <c r="A70" s="1603"/>
      <c r="D70" s="1604"/>
      <c r="K70" s="683"/>
      <c r="L70" s="683"/>
    </row>
    <row r="71" spans="1:44" s="680" customFormat="1">
      <c r="A71" s="1603"/>
      <c r="D71" s="1604"/>
      <c r="K71" s="683"/>
      <c r="L71" s="683"/>
    </row>
    <row r="72" spans="1:44" s="680" customFormat="1">
      <c r="A72" s="1603"/>
      <c r="D72" s="1604"/>
      <c r="K72" s="683"/>
      <c r="L72" s="683"/>
    </row>
    <row r="73" spans="1:44" s="680" customFormat="1">
      <c r="A73" s="1603"/>
      <c r="D73" s="1604"/>
      <c r="K73" s="683"/>
      <c r="L73" s="683"/>
    </row>
    <row r="74" spans="1:44" s="680" customFormat="1">
      <c r="A74" s="1603"/>
      <c r="D74" s="1604"/>
      <c r="K74" s="683"/>
      <c r="L74" s="683"/>
    </row>
    <row r="75" spans="1:44" s="680" customFormat="1">
      <c r="A75" s="1603"/>
      <c r="D75" s="1604"/>
      <c r="K75" s="683"/>
      <c r="L75" s="683"/>
    </row>
    <row r="76" spans="1:44" s="680" customFormat="1">
      <c r="A76" s="1603"/>
      <c r="D76" s="1604"/>
      <c r="K76" s="683"/>
      <c r="L76" s="683"/>
    </row>
    <row r="77" spans="1:44" s="680" customFormat="1">
      <c r="A77" s="1603"/>
      <c r="D77" s="1604"/>
      <c r="K77" s="683"/>
      <c r="L77" s="683"/>
    </row>
    <row r="78" spans="1:44" s="680" customFormat="1">
      <c r="A78" s="1603"/>
      <c r="D78" s="1604"/>
      <c r="K78" s="683"/>
      <c r="L78" s="683"/>
    </row>
    <row r="79" spans="1:44" s="680" customFormat="1">
      <c r="A79" s="1603"/>
      <c r="D79" s="1604"/>
      <c r="K79" s="683"/>
      <c r="L79" s="683"/>
    </row>
    <row r="80" spans="1:44" s="680" customFormat="1">
      <c r="A80" s="1603"/>
      <c r="D80" s="1604"/>
      <c r="K80" s="683"/>
      <c r="L80" s="683"/>
    </row>
    <row r="81" spans="1:12" s="680" customFormat="1">
      <c r="A81" s="1603"/>
      <c r="D81" s="1604"/>
      <c r="K81" s="683"/>
      <c r="L81" s="683"/>
    </row>
    <row r="82" spans="1:12" s="680" customFormat="1">
      <c r="A82" s="1603"/>
      <c r="D82" s="1604"/>
      <c r="K82" s="683"/>
      <c r="L82" s="683"/>
    </row>
    <row r="83" spans="1:12" s="680" customFormat="1">
      <c r="A83" s="1603"/>
      <c r="D83" s="1604"/>
      <c r="K83" s="683"/>
      <c r="L83" s="683"/>
    </row>
    <row r="84" spans="1:12" s="680" customFormat="1">
      <c r="A84" s="1603"/>
      <c r="D84" s="1604"/>
      <c r="K84" s="683"/>
      <c r="L84" s="683"/>
    </row>
    <row r="85" spans="1:12" s="680" customFormat="1">
      <c r="A85" s="1603"/>
      <c r="D85" s="1604"/>
      <c r="K85" s="683"/>
      <c r="L85" s="683"/>
    </row>
    <row r="86" spans="1:12" s="680" customFormat="1">
      <c r="A86" s="1603"/>
      <c r="D86" s="1604"/>
      <c r="K86" s="683"/>
      <c r="L86" s="683"/>
    </row>
    <row r="87" spans="1:12" s="680" customFormat="1">
      <c r="A87" s="1603"/>
      <c r="D87" s="1604"/>
      <c r="K87" s="683"/>
      <c r="L87" s="683"/>
    </row>
    <row r="88" spans="1:12" s="680" customFormat="1">
      <c r="A88" s="1603"/>
      <c r="D88" s="1604"/>
      <c r="K88" s="683"/>
      <c r="L88" s="683"/>
    </row>
    <row r="89" spans="1:12" s="680" customFormat="1">
      <c r="A89" s="1603"/>
      <c r="D89" s="1604"/>
      <c r="K89" s="683"/>
      <c r="L89" s="683"/>
    </row>
    <row r="90" spans="1:12" s="680" customFormat="1">
      <c r="A90" s="1603"/>
      <c r="D90" s="1604"/>
      <c r="K90" s="683"/>
      <c r="L90" s="683"/>
    </row>
    <row r="91" spans="1:12" s="680" customFormat="1">
      <c r="A91" s="1603"/>
      <c r="D91" s="1604"/>
      <c r="K91" s="683"/>
      <c r="L91" s="683"/>
    </row>
    <row r="92" spans="1:12" s="680" customFormat="1">
      <c r="A92" s="1603"/>
      <c r="D92" s="1604"/>
      <c r="K92" s="683"/>
      <c r="L92" s="683"/>
    </row>
    <row r="93" spans="1:12" s="680" customFormat="1">
      <c r="A93" s="1603"/>
      <c r="D93" s="1604"/>
      <c r="K93" s="683"/>
      <c r="L93" s="683"/>
    </row>
    <row r="94" spans="1:12" s="680" customFormat="1">
      <c r="A94" s="1603"/>
      <c r="D94" s="1604"/>
      <c r="K94" s="683"/>
      <c r="L94" s="683"/>
    </row>
    <row r="95" spans="1:12" s="680" customFormat="1">
      <c r="A95" s="1603"/>
      <c r="D95" s="1604"/>
      <c r="K95" s="683"/>
      <c r="L95" s="683"/>
    </row>
    <row r="96" spans="1:12" s="680" customFormat="1">
      <c r="A96" s="1603"/>
      <c r="D96" s="1604"/>
      <c r="K96" s="683"/>
      <c r="L96" s="683"/>
    </row>
    <row r="97" spans="1:12" s="680" customFormat="1">
      <c r="A97" s="1603"/>
      <c r="D97" s="1604"/>
      <c r="K97" s="683"/>
      <c r="L97" s="683"/>
    </row>
    <row r="98" spans="1:12" s="680" customFormat="1">
      <c r="A98" s="1603"/>
      <c r="D98" s="1604"/>
      <c r="K98" s="683"/>
      <c r="L98" s="683"/>
    </row>
    <row r="99" spans="1:12" s="680" customFormat="1">
      <c r="A99" s="1603"/>
      <c r="D99" s="1604"/>
      <c r="K99" s="683"/>
      <c r="L99" s="683"/>
    </row>
    <row r="100" spans="1:12" s="680" customFormat="1">
      <c r="A100" s="1603"/>
      <c r="D100" s="1604"/>
      <c r="K100" s="683"/>
      <c r="L100" s="683"/>
    </row>
    <row r="101" spans="1:12" s="680" customFormat="1">
      <c r="A101" s="1603"/>
      <c r="D101" s="1604"/>
      <c r="K101" s="683"/>
      <c r="L101" s="683"/>
    </row>
    <row r="102" spans="1:12" s="680" customFormat="1">
      <c r="A102" s="1603"/>
      <c r="D102" s="1604"/>
      <c r="K102" s="683"/>
      <c r="L102" s="683"/>
    </row>
    <row r="103" spans="1:12" s="680" customFormat="1">
      <c r="A103" s="1603"/>
      <c r="D103" s="1604"/>
      <c r="K103" s="683"/>
      <c r="L103" s="683"/>
    </row>
    <row r="104" spans="1:12" s="680" customFormat="1">
      <c r="A104" s="1603"/>
      <c r="D104" s="1604"/>
      <c r="K104" s="683"/>
      <c r="L104" s="683"/>
    </row>
    <row r="105" spans="1:12" s="680" customFormat="1">
      <c r="A105" s="1603"/>
      <c r="D105" s="1604"/>
      <c r="K105" s="683"/>
      <c r="L105" s="683"/>
    </row>
    <row r="106" spans="1:12" s="680" customFormat="1">
      <c r="A106" s="1603"/>
      <c r="D106" s="1604"/>
      <c r="K106" s="683"/>
      <c r="L106" s="683"/>
    </row>
    <row r="107" spans="1:12" s="680" customFormat="1">
      <c r="A107" s="1603"/>
      <c r="D107" s="1604"/>
      <c r="K107" s="683"/>
      <c r="L107" s="683"/>
    </row>
    <row r="108" spans="1:12" s="680" customFormat="1">
      <c r="A108" s="1603"/>
      <c r="D108" s="1604"/>
      <c r="K108" s="683"/>
      <c r="L108" s="683"/>
    </row>
    <row r="109" spans="1:12" s="680" customFormat="1">
      <c r="A109" s="1603"/>
      <c r="D109" s="1604"/>
      <c r="K109" s="683"/>
      <c r="L109" s="683"/>
    </row>
    <row r="110" spans="1:12" s="680" customFormat="1">
      <c r="A110" s="1603"/>
      <c r="D110" s="1604"/>
      <c r="K110" s="683"/>
      <c r="L110" s="683"/>
    </row>
    <row r="111" spans="1:12" s="680" customFormat="1">
      <c r="A111" s="1603"/>
      <c r="D111" s="1604"/>
      <c r="K111" s="683"/>
      <c r="L111" s="683"/>
    </row>
    <row r="112" spans="1:12" s="680" customFormat="1">
      <c r="A112" s="1603"/>
      <c r="D112" s="1604"/>
      <c r="K112" s="683"/>
      <c r="L112" s="683"/>
    </row>
    <row r="113" spans="1:12" s="680" customFormat="1">
      <c r="A113" s="1603"/>
      <c r="D113" s="1604"/>
      <c r="K113" s="683"/>
      <c r="L113" s="683"/>
    </row>
    <row r="114" spans="1:12" s="680" customFormat="1">
      <c r="A114" s="1603"/>
      <c r="D114" s="1604"/>
      <c r="K114" s="683"/>
      <c r="L114" s="683"/>
    </row>
    <row r="115" spans="1:12" s="680" customFormat="1">
      <c r="A115" s="1603"/>
      <c r="D115" s="1604"/>
      <c r="K115" s="683"/>
      <c r="L115" s="683"/>
    </row>
    <row r="116" spans="1:12" s="680" customFormat="1">
      <c r="A116" s="1603"/>
      <c r="D116" s="1604"/>
      <c r="K116" s="683"/>
      <c r="L116" s="683"/>
    </row>
    <row r="117" spans="1:12" s="680" customFormat="1">
      <c r="A117" s="1603"/>
      <c r="D117" s="1604"/>
      <c r="K117" s="683"/>
      <c r="L117" s="683"/>
    </row>
    <row r="118" spans="1:12" s="680" customFormat="1">
      <c r="A118" s="1603"/>
      <c r="D118" s="1604"/>
      <c r="K118" s="683"/>
      <c r="L118" s="683"/>
    </row>
    <row r="119" spans="1:12" s="680" customFormat="1">
      <c r="A119" s="1603"/>
      <c r="D119" s="1604"/>
      <c r="K119" s="683"/>
      <c r="L119" s="683"/>
    </row>
    <row r="120" spans="1:12" s="680" customFormat="1">
      <c r="A120" s="1603"/>
      <c r="D120" s="1604"/>
      <c r="K120" s="683"/>
      <c r="L120" s="683"/>
    </row>
    <row r="121" spans="1:12" s="680" customFormat="1">
      <c r="A121" s="1603"/>
      <c r="D121" s="1604"/>
      <c r="K121" s="683"/>
      <c r="L121" s="683"/>
    </row>
    <row r="122" spans="1:12" s="680" customFormat="1">
      <c r="A122" s="1603"/>
      <c r="D122" s="1604"/>
      <c r="K122" s="683"/>
      <c r="L122" s="683"/>
    </row>
    <row r="123" spans="1:12" s="680" customFormat="1">
      <c r="A123" s="1603"/>
      <c r="D123" s="1604"/>
      <c r="K123" s="683"/>
      <c r="L123" s="683"/>
    </row>
    <row r="124" spans="1:12" s="680" customFormat="1">
      <c r="A124" s="1603"/>
      <c r="D124" s="1604"/>
      <c r="K124" s="683"/>
      <c r="L124" s="683"/>
    </row>
    <row r="125" spans="1:12" s="680" customFormat="1">
      <c r="A125" s="1603"/>
      <c r="D125" s="1604"/>
      <c r="K125" s="683"/>
      <c r="L125" s="683"/>
    </row>
    <row r="126" spans="1:12" s="680" customFormat="1">
      <c r="A126" s="1603"/>
      <c r="D126" s="1604"/>
      <c r="K126" s="683"/>
      <c r="L126" s="683"/>
    </row>
    <row r="127" spans="1:12" s="680" customFormat="1">
      <c r="A127" s="1603"/>
      <c r="D127" s="1604"/>
      <c r="K127" s="683"/>
      <c r="L127" s="683"/>
    </row>
    <row r="128" spans="1:12" s="680" customFormat="1">
      <c r="A128" s="1603"/>
      <c r="D128" s="1604"/>
      <c r="K128" s="683"/>
      <c r="L128" s="683"/>
    </row>
    <row r="129" spans="1:12" s="680" customFormat="1">
      <c r="A129" s="1603"/>
      <c r="D129" s="1604"/>
      <c r="K129" s="683"/>
      <c r="L129" s="683"/>
    </row>
    <row r="130" spans="1:12" s="680" customFormat="1">
      <c r="A130" s="1603"/>
      <c r="D130" s="1604"/>
      <c r="K130" s="683"/>
      <c r="L130" s="683"/>
    </row>
    <row r="131" spans="1:12" s="680" customFormat="1">
      <c r="A131" s="1603"/>
      <c r="D131" s="1604"/>
      <c r="K131" s="683"/>
      <c r="L131" s="683"/>
    </row>
    <row r="132" spans="1:12" s="680" customFormat="1">
      <c r="A132" s="1603"/>
      <c r="D132" s="1604"/>
      <c r="K132" s="683"/>
      <c r="L132" s="683"/>
    </row>
    <row r="133" spans="1:12" s="680" customFormat="1">
      <c r="A133" s="1603"/>
      <c r="D133" s="1604"/>
      <c r="K133" s="683"/>
      <c r="L133" s="683"/>
    </row>
    <row r="134" spans="1:12" s="121" customFormat="1">
      <c r="A134" s="1605"/>
      <c r="D134" s="1606"/>
      <c r="K134" s="24"/>
      <c r="L134" s="24"/>
    </row>
    <row r="135" spans="1:12" s="121" customFormat="1">
      <c r="A135" s="1605"/>
      <c r="D135" s="1606"/>
      <c r="K135" s="24"/>
      <c r="L135" s="24"/>
    </row>
    <row r="136" spans="1:12" s="121" customFormat="1">
      <c r="A136" s="1605"/>
      <c r="D136" s="1606"/>
      <c r="K136" s="24"/>
      <c r="L136" s="24"/>
    </row>
    <row r="137" spans="1:12" s="121" customFormat="1">
      <c r="A137" s="1605"/>
      <c r="D137" s="1606"/>
      <c r="K137" s="24"/>
      <c r="L137" s="24"/>
    </row>
    <row r="138" spans="1:12" s="121" customFormat="1">
      <c r="A138" s="1605"/>
      <c r="D138" s="1606"/>
      <c r="K138" s="24"/>
      <c r="L138" s="24"/>
    </row>
    <row r="139" spans="1:12" s="121" customFormat="1">
      <c r="A139" s="1605"/>
      <c r="D139" s="1606"/>
      <c r="K139" s="24"/>
      <c r="L139" s="24"/>
    </row>
    <row r="140" spans="1:12" s="121" customFormat="1">
      <c r="A140" s="1605"/>
      <c r="D140" s="1606"/>
      <c r="K140" s="24"/>
      <c r="L140" s="24"/>
    </row>
    <row r="141" spans="1:12" s="121" customFormat="1">
      <c r="A141" s="1605"/>
      <c r="D141" s="1606"/>
      <c r="K141" s="24"/>
      <c r="L141" s="24"/>
    </row>
    <row r="142" spans="1:12" s="121" customFormat="1">
      <c r="A142" s="1605"/>
      <c r="D142" s="1606"/>
      <c r="K142" s="24"/>
      <c r="L142" s="24"/>
    </row>
    <row r="143" spans="1:12" s="121" customFormat="1">
      <c r="A143" s="1605"/>
      <c r="D143" s="1606"/>
      <c r="K143" s="24"/>
      <c r="L143" s="24"/>
    </row>
    <row r="144" spans="1:12" s="121" customFormat="1">
      <c r="A144" s="1605"/>
      <c r="D144" s="1606"/>
      <c r="K144" s="24"/>
      <c r="L144" s="24"/>
    </row>
    <row r="145" spans="1:12" s="121" customFormat="1">
      <c r="A145" s="1605"/>
      <c r="D145" s="1606"/>
      <c r="K145" s="24"/>
      <c r="L145" s="24"/>
    </row>
    <row r="146" spans="1:12" s="121" customFormat="1">
      <c r="A146" s="1605"/>
      <c r="D146" s="1606"/>
      <c r="K146" s="24"/>
      <c r="L146" s="24"/>
    </row>
    <row r="147" spans="1:12" s="121" customFormat="1">
      <c r="A147" s="1605"/>
      <c r="D147" s="1606"/>
      <c r="K147" s="24"/>
      <c r="L147" s="24"/>
    </row>
    <row r="148" spans="1:12" s="121" customFormat="1">
      <c r="A148" s="1605"/>
      <c r="D148" s="1606"/>
      <c r="K148" s="24"/>
      <c r="L148" s="24"/>
    </row>
    <row r="149" spans="1:12" s="121" customFormat="1">
      <c r="A149" s="1605"/>
      <c r="D149" s="1606"/>
      <c r="K149" s="24"/>
      <c r="L149" s="24"/>
    </row>
    <row r="150" spans="1:12" s="121" customFormat="1">
      <c r="A150" s="1605"/>
      <c r="D150" s="1606"/>
      <c r="K150" s="24"/>
      <c r="L150" s="24"/>
    </row>
    <row r="151" spans="1:12" s="121" customFormat="1">
      <c r="A151" s="1605"/>
      <c r="D151" s="1606"/>
      <c r="K151" s="24"/>
      <c r="L151" s="24"/>
    </row>
    <row r="152" spans="1:12" s="121" customFormat="1">
      <c r="A152" s="1605"/>
      <c r="D152" s="1606"/>
      <c r="K152" s="24"/>
      <c r="L152" s="24"/>
    </row>
    <row r="153" spans="1:12" s="121" customFormat="1">
      <c r="A153" s="1605"/>
      <c r="D153" s="1606"/>
      <c r="K153" s="24"/>
      <c r="L153" s="24"/>
    </row>
    <row r="154" spans="1:12" s="121" customFormat="1">
      <c r="A154" s="1605"/>
      <c r="D154" s="1606"/>
      <c r="K154" s="24"/>
      <c r="L154" s="24"/>
    </row>
    <row r="155" spans="1:12" s="121" customFormat="1">
      <c r="A155" s="1605"/>
      <c r="D155" s="1606"/>
      <c r="K155" s="24"/>
      <c r="L155" s="24"/>
    </row>
    <row r="156" spans="1:12" s="121" customFormat="1">
      <c r="A156" s="1605"/>
      <c r="D156" s="1606"/>
      <c r="K156" s="24"/>
      <c r="L156" s="24"/>
    </row>
    <row r="157" spans="1:12" s="121" customFormat="1">
      <c r="A157" s="1605"/>
      <c r="D157" s="1606"/>
      <c r="K157" s="24"/>
      <c r="L157" s="24"/>
    </row>
    <row r="158" spans="1:12" s="121" customFormat="1">
      <c r="A158" s="1605"/>
      <c r="D158" s="1606"/>
      <c r="K158" s="24"/>
      <c r="L158" s="24"/>
    </row>
    <row r="159" spans="1:12" s="121" customFormat="1">
      <c r="A159" s="1605"/>
      <c r="D159" s="1606"/>
      <c r="K159" s="24"/>
      <c r="L159" s="24"/>
    </row>
    <row r="160" spans="1:12" s="121" customFormat="1">
      <c r="A160" s="1605"/>
      <c r="D160" s="1606"/>
      <c r="K160" s="24"/>
      <c r="L160" s="24"/>
    </row>
    <row r="161" spans="1:12" s="121" customFormat="1">
      <c r="A161" s="1605"/>
      <c r="D161" s="1606"/>
      <c r="K161" s="24"/>
      <c r="L161" s="24"/>
    </row>
    <row r="162" spans="1:12" s="121" customFormat="1">
      <c r="A162" s="1605"/>
      <c r="D162" s="1606"/>
      <c r="K162" s="24"/>
      <c r="L162" s="24"/>
    </row>
    <row r="163" spans="1:12" s="121" customFormat="1">
      <c r="A163" s="1605"/>
      <c r="D163" s="1606"/>
      <c r="K163" s="24"/>
      <c r="L163" s="24"/>
    </row>
    <row r="164" spans="1:12" s="121" customFormat="1">
      <c r="A164" s="1605"/>
      <c r="D164" s="1606"/>
      <c r="K164" s="24"/>
      <c r="L164" s="24"/>
    </row>
    <row r="165" spans="1:12" s="121" customFormat="1">
      <c r="A165" s="1605"/>
      <c r="D165" s="1606"/>
      <c r="K165" s="24"/>
      <c r="L165" s="24"/>
    </row>
    <row r="166" spans="1:12" s="121" customFormat="1">
      <c r="A166" s="1605"/>
      <c r="D166" s="1606"/>
      <c r="K166" s="24"/>
      <c r="L166" s="24"/>
    </row>
    <row r="167" spans="1:12" s="121" customFormat="1">
      <c r="A167" s="1605"/>
      <c r="D167" s="1606"/>
      <c r="K167" s="24"/>
      <c r="L167" s="24"/>
    </row>
    <row r="168" spans="1:12" s="121" customFormat="1">
      <c r="A168" s="1605"/>
      <c r="D168" s="1606"/>
      <c r="K168" s="24"/>
      <c r="L168" s="24"/>
    </row>
    <row r="169" spans="1:12" s="121" customFormat="1">
      <c r="A169" s="1605"/>
      <c r="D169" s="1606"/>
      <c r="K169" s="24"/>
      <c r="L169" s="24"/>
    </row>
    <row r="170" spans="1:12" s="121" customFormat="1">
      <c r="A170" s="1605"/>
      <c r="D170" s="1606"/>
      <c r="K170" s="24"/>
      <c r="L170" s="24"/>
    </row>
    <row r="171" spans="1:12" s="121" customFormat="1">
      <c r="A171" s="1605"/>
      <c r="D171" s="1606"/>
      <c r="K171" s="24"/>
      <c r="L171" s="24"/>
    </row>
    <row r="172" spans="1:12" s="121" customFormat="1">
      <c r="A172" s="1605"/>
      <c r="D172" s="1606"/>
      <c r="K172" s="24"/>
      <c r="L172" s="24"/>
    </row>
    <row r="173" spans="1:12" s="121" customFormat="1">
      <c r="A173" s="1605"/>
      <c r="D173" s="1606"/>
      <c r="K173" s="24"/>
      <c r="L173" s="24"/>
    </row>
    <row r="174" spans="1:12" s="121" customFormat="1">
      <c r="A174" s="1605"/>
      <c r="D174" s="160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511" customWidth="1"/>
    <col min="2" max="3" width="24.5" style="507" customWidth="1"/>
    <col min="4" max="4" width="2.625" style="507" customWidth="1"/>
    <col min="5" max="5" width="5.875" style="507" customWidth="1"/>
    <col min="6" max="7" width="27" style="507"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5" customWidth="1"/>
    <col min="19" max="29" width="9" style="745"/>
    <col min="30" max="16384" width="9" style="1511"/>
  </cols>
  <sheetData>
    <row r="1" spans="1:29" s="2248" customFormat="1" ht="18.75" thickBot="1">
      <c r="A1" s="3287" t="s">
        <v>2274</v>
      </c>
      <c r="B1" s="3288"/>
      <c r="C1" s="3288"/>
      <c r="D1" s="3288"/>
      <c r="E1" s="3288"/>
      <c r="F1" s="3288"/>
      <c r="G1" s="3288"/>
      <c r="H1" s="2245"/>
      <c r="I1" s="2245"/>
      <c r="J1" s="2245"/>
      <c r="K1" s="2245"/>
      <c r="L1" s="2245"/>
      <c r="M1" s="2245"/>
      <c r="N1" s="2245"/>
      <c r="O1" s="2245"/>
      <c r="P1" s="2245"/>
      <c r="Q1" s="2246"/>
      <c r="R1" s="2247"/>
      <c r="S1" s="2247"/>
      <c r="T1" s="2247"/>
      <c r="U1" s="2247"/>
      <c r="V1" s="2247"/>
      <c r="W1" s="2247"/>
      <c r="X1" s="2247"/>
      <c r="Y1" s="2247"/>
      <c r="Z1" s="2247"/>
      <c r="AA1" s="2247"/>
      <c r="AB1" s="2247"/>
      <c r="AC1" s="2247"/>
    </row>
    <row r="2" spans="1:29" ht="15" thickBot="1">
      <c r="A2" s="2249"/>
      <c r="B2" s="2250"/>
      <c r="C2" s="2251" t="s">
        <v>2270</v>
      </c>
      <c r="D2" s="1584"/>
      <c r="E2" s="2249"/>
      <c r="F2" s="2252"/>
      <c r="G2" s="2251" t="s">
        <v>2271</v>
      </c>
      <c r="H2" s="745"/>
      <c r="I2" s="745"/>
      <c r="J2" s="745"/>
      <c r="K2" s="745"/>
      <c r="L2" s="745"/>
      <c r="M2" s="745"/>
      <c r="N2" s="745"/>
      <c r="O2" s="745"/>
      <c r="P2" s="745"/>
      <c r="Q2" s="745"/>
    </row>
    <row r="3" spans="1:29" ht="25.5">
      <c r="A3" s="2236" t="s">
        <v>2272</v>
      </c>
      <c r="B3" s="2253" t="s">
        <v>2244</v>
      </c>
      <c r="C3" s="2254"/>
      <c r="D3" s="2255"/>
      <c r="E3" s="2237" t="s">
        <v>2272</v>
      </c>
      <c r="F3" s="2256" t="s">
        <v>2245</v>
      </c>
      <c r="G3" s="2257" t="s">
        <v>2273</v>
      </c>
      <c r="H3" s="745"/>
      <c r="I3" s="745"/>
      <c r="J3" s="745"/>
      <c r="K3" s="745"/>
      <c r="L3" s="745"/>
      <c r="M3" s="745"/>
      <c r="N3" s="745"/>
      <c r="O3" s="745"/>
      <c r="P3" s="745"/>
      <c r="Q3" s="745"/>
    </row>
    <row r="4" spans="1:29" ht="36">
      <c r="A4" s="2237"/>
      <c r="B4" s="314" t="s">
        <v>2246</v>
      </c>
      <c r="C4" s="3157" t="s">
        <v>4006</v>
      </c>
      <c r="D4" s="2255"/>
      <c r="E4" s="2258"/>
      <c r="F4" s="1270" t="s">
        <v>2247</v>
      </c>
      <c r="G4" s="2259" t="s">
        <v>2248</v>
      </c>
      <c r="H4" s="745"/>
      <c r="I4" s="745"/>
      <c r="J4" s="745"/>
      <c r="K4" s="745"/>
      <c r="L4" s="745"/>
      <c r="M4" s="745"/>
      <c r="N4" s="745"/>
      <c r="O4" s="745"/>
      <c r="P4" s="745"/>
      <c r="Q4" s="745"/>
    </row>
    <row r="5" spans="1:29" ht="24">
      <c r="A5" s="2237"/>
      <c r="B5" s="314" t="s">
        <v>2249</v>
      </c>
      <c r="C5" s="3157" t="s">
        <v>4006</v>
      </c>
      <c r="D5" s="2255"/>
      <c r="E5" s="2258"/>
      <c r="F5" s="314" t="s">
        <v>2250</v>
      </c>
      <c r="G5" s="2259" t="s">
        <v>2251</v>
      </c>
      <c r="H5" s="745"/>
      <c r="I5" s="745"/>
      <c r="J5" s="745"/>
      <c r="K5" s="745"/>
      <c r="L5" s="745"/>
      <c r="M5" s="745"/>
      <c r="N5" s="745"/>
      <c r="O5" s="745"/>
      <c r="P5" s="745"/>
      <c r="Q5" s="745"/>
    </row>
    <row r="6" spans="1:29">
      <c r="A6" s="2237"/>
      <c r="B6" s="314" t="s">
        <v>2252</v>
      </c>
      <c r="C6" s="3157" t="s">
        <v>4006</v>
      </c>
      <c r="D6" s="2255"/>
      <c r="E6" s="2258"/>
      <c r="F6" s="314" t="s">
        <v>2253</v>
      </c>
      <c r="G6" s="2259" t="s">
        <v>2254</v>
      </c>
      <c r="H6" s="745"/>
      <c r="I6" s="745"/>
      <c r="J6" s="745"/>
      <c r="K6" s="745"/>
      <c r="L6" s="745"/>
      <c r="M6" s="745"/>
      <c r="N6" s="745"/>
      <c r="O6" s="745"/>
      <c r="P6" s="745"/>
      <c r="Q6" s="745"/>
    </row>
    <row r="7" spans="1:29" ht="24.75" thickBot="1">
      <c r="A7" s="2237"/>
      <c r="B7" s="314" t="s">
        <v>2250</v>
      </c>
      <c r="C7" s="3157" t="s">
        <v>4086</v>
      </c>
      <c r="D7" s="2234"/>
      <c r="E7" s="2260"/>
      <c r="F7" s="2261" t="s">
        <v>2255</v>
      </c>
      <c r="G7" s="2262" t="s">
        <v>2256</v>
      </c>
      <c r="H7" s="745"/>
      <c r="I7" s="745"/>
      <c r="J7" s="745"/>
      <c r="K7" s="745"/>
      <c r="L7" s="745"/>
      <c r="M7" s="745"/>
      <c r="N7" s="745"/>
      <c r="O7" s="745"/>
      <c r="P7" s="745"/>
      <c r="Q7" s="745"/>
    </row>
    <row r="8" spans="1:29">
      <c r="A8" s="2237"/>
      <c r="B8" s="314" t="s">
        <v>2253</v>
      </c>
      <c r="C8" s="3158" t="s">
        <v>4008</v>
      </c>
      <c r="D8" s="2234"/>
      <c r="E8" s="2234"/>
      <c r="F8" s="120"/>
      <c r="G8" s="120"/>
      <c r="H8" s="745"/>
      <c r="I8" s="745"/>
      <c r="J8" s="745"/>
      <c r="K8" s="745"/>
      <c r="L8" s="745"/>
      <c r="M8" s="745"/>
      <c r="N8" s="745"/>
      <c r="O8" s="745"/>
      <c r="P8" s="745"/>
      <c r="Q8" s="745"/>
    </row>
    <row r="9" spans="1:29">
      <c r="A9" s="2237"/>
      <c r="B9" s="314" t="s">
        <v>2257</v>
      </c>
      <c r="C9" s="3157" t="s">
        <v>4006</v>
      </c>
      <c r="D9" s="2255"/>
      <c r="E9" s="2234"/>
      <c r="F9" s="120"/>
      <c r="G9" s="120"/>
      <c r="H9" s="745"/>
      <c r="I9" s="745"/>
      <c r="J9" s="745"/>
      <c r="K9" s="745"/>
      <c r="L9" s="745"/>
      <c r="M9" s="745"/>
      <c r="N9" s="745"/>
      <c r="O9" s="745"/>
      <c r="P9" s="745"/>
      <c r="Q9" s="745"/>
    </row>
    <row r="10" spans="1:29" ht="15" thickBot="1">
      <c r="A10" s="2238"/>
      <c r="B10" s="2263" t="s">
        <v>2258</v>
      </c>
      <c r="C10" s="3159" t="s">
        <v>4009</v>
      </c>
      <c r="D10" s="2255"/>
      <c r="E10" s="2255"/>
      <c r="F10" s="120"/>
      <c r="G10" s="120"/>
      <c r="J10" s="2265"/>
      <c r="M10" s="2265"/>
      <c r="P10" s="2265"/>
      <c r="R10" s="2264"/>
    </row>
    <row r="11" spans="1:29">
      <c r="A11" s="2266"/>
      <c r="B11" s="2234"/>
      <c r="C11" s="2255"/>
      <c r="D11" s="2255"/>
      <c r="E11" s="2255"/>
      <c r="F11" s="2234"/>
      <c r="G11" s="2234"/>
      <c r="J11" s="2265"/>
      <c r="M11" s="2265"/>
      <c r="P11" s="2265"/>
      <c r="R11" s="2264"/>
    </row>
    <row r="12" spans="1:29" s="2248" customFormat="1" ht="18">
      <c r="A12" s="2266"/>
      <c r="B12" s="2234"/>
      <c r="C12" s="2255"/>
      <c r="D12" s="2267"/>
      <c r="E12" s="2255"/>
      <c r="F12" s="2234"/>
      <c r="G12" s="2234"/>
      <c r="H12" s="2268"/>
      <c r="I12" s="2268"/>
      <c r="J12" s="2268"/>
      <c r="K12" s="2268"/>
      <c r="L12" s="2269"/>
      <c r="M12" s="2268"/>
      <c r="N12" s="2270"/>
      <c r="O12" s="2270"/>
      <c r="P12" s="2270"/>
      <c r="Q12" s="2270"/>
      <c r="R12" s="2247"/>
      <c r="S12" s="2247"/>
      <c r="T12" s="2247"/>
      <c r="U12" s="2247"/>
      <c r="V12" s="2247"/>
      <c r="W12" s="2247"/>
      <c r="X12" s="2247"/>
      <c r="Y12" s="2247"/>
      <c r="Z12" s="2247"/>
      <c r="AA12" s="2247"/>
      <c r="AB12" s="2247"/>
      <c r="AC12" s="2247"/>
    </row>
    <row r="13" spans="1:29" ht="15.75" thickBot="1">
      <c r="A13" s="2271" t="s">
        <v>2275</v>
      </c>
      <c r="B13" s="2267"/>
      <c r="C13" s="2267"/>
      <c r="D13" s="2266"/>
      <c r="E13" s="2267"/>
      <c r="F13" s="2267"/>
      <c r="G13" s="2267"/>
    </row>
    <row r="14" spans="1:29" ht="15" thickBot="1">
      <c r="A14" s="2272"/>
      <c r="B14" s="2272"/>
      <c r="C14" s="2273" t="s">
        <v>2259</v>
      </c>
      <c r="D14" s="2255"/>
      <c r="E14" s="2274"/>
      <c r="F14" s="2274"/>
      <c r="G14" s="2251" t="s">
        <v>2260</v>
      </c>
    </row>
    <row r="15" spans="1:29" ht="25.5">
      <c r="A15" s="2239" t="s">
        <v>2261</v>
      </c>
      <c r="B15" s="2275" t="s">
        <v>2244</v>
      </c>
      <c r="C15" s="2276">
        <f>C3</f>
        <v>0</v>
      </c>
      <c r="D15" s="2255"/>
      <c r="E15" s="2240" t="s">
        <v>2262</v>
      </c>
      <c r="F15" s="2275" t="s">
        <v>2263</v>
      </c>
      <c r="G15" s="2277" t="str">
        <f>G3</f>
        <v>估价对象位于XX开发区，园区建设成熟度XX，产业集聚程度XX</v>
      </c>
    </row>
    <row r="16" spans="1:29" ht="38.25">
      <c r="A16" s="2241"/>
      <c r="B16" s="2278" t="s">
        <v>2246</v>
      </c>
      <c r="C16" s="2279" t="str">
        <f>C4</f>
        <v>一般</v>
      </c>
      <c r="D16" s="2255"/>
      <c r="E16" s="2242"/>
      <c r="F16" s="2280" t="s">
        <v>2247</v>
      </c>
      <c r="G16" s="2281" t="str">
        <f>G4</f>
        <v>估价对象周边道路状况、公共交通通达情况、停车便捷程度，综合评价交通便捷度较好</v>
      </c>
    </row>
    <row r="17" spans="1:17">
      <c r="A17" s="2241"/>
      <c r="B17" s="2278" t="s">
        <v>2249</v>
      </c>
      <c r="C17" s="2279" t="str">
        <f>C5</f>
        <v>一般</v>
      </c>
      <c r="D17" s="2234"/>
      <c r="E17" s="2242"/>
      <c r="F17" s="2280" t="s">
        <v>2264</v>
      </c>
      <c r="G17" s="2282"/>
    </row>
    <row r="18" spans="1:17" ht="25.5">
      <c r="A18" s="2241"/>
      <c r="B18" s="2280" t="s">
        <v>2252</v>
      </c>
      <c r="C18" s="2281" t="str">
        <f>C6</f>
        <v>一般</v>
      </c>
      <c r="D18" s="2234"/>
      <c r="E18" s="2242"/>
      <c r="F18" s="2280" t="s">
        <v>2255</v>
      </c>
      <c r="G18" s="2281" t="str">
        <f>G7</f>
        <v>该园区内是否有污染型企业，绿化情况，卫生条件，整体环境状况判断</v>
      </c>
    </row>
    <row r="19" spans="1:17" ht="25.5">
      <c r="A19" s="2241"/>
      <c r="B19" s="2280" t="s">
        <v>2265</v>
      </c>
      <c r="C19" s="2282"/>
      <c r="D19" s="2255"/>
      <c r="E19" s="2242"/>
      <c r="F19" s="314" t="s">
        <v>2250</v>
      </c>
      <c r="G19" s="2281" t="str">
        <f>G5</f>
        <v>估价对象所在区域公共配套设施齐备情况</v>
      </c>
    </row>
    <row r="20" spans="1:17">
      <c r="A20" s="2241"/>
      <c r="B20" s="2280" t="s">
        <v>2266</v>
      </c>
      <c r="C20" s="2279" t="str">
        <f>C9</f>
        <v>一般</v>
      </c>
      <c r="D20" s="2234"/>
      <c r="E20" s="2242"/>
      <c r="F20" s="314" t="s">
        <v>2253</v>
      </c>
      <c r="G20" s="2281" t="str">
        <f>G6</f>
        <v>估价对象所在区域基础设施水平</v>
      </c>
    </row>
    <row r="21" spans="1:17">
      <c r="A21" s="2241"/>
      <c r="B21" s="314" t="s">
        <v>2250</v>
      </c>
      <c r="C21" s="2281" t="str">
        <f>C7</f>
        <v>较好</v>
      </c>
      <c r="D21" s="2255"/>
      <c r="E21" s="2242"/>
      <c r="F21" s="2280" t="s">
        <v>2267</v>
      </c>
      <c r="G21" s="2283"/>
    </row>
    <row r="22" spans="1:17" ht="13.5" customHeight="1">
      <c r="A22" s="2241"/>
      <c r="B22" s="314" t="s">
        <v>2253</v>
      </c>
      <c r="C22" s="2281" t="str">
        <f>C8</f>
        <v>七通</v>
      </c>
      <c r="D22" s="2255"/>
      <c r="E22" s="2242"/>
      <c r="F22" s="2280" t="s">
        <v>2258</v>
      </c>
      <c r="G22" s="2282"/>
    </row>
    <row r="23" spans="1:17" s="745" customFormat="1" ht="15" thickBot="1">
      <c r="A23" s="2241"/>
      <c r="B23" s="2280" t="s">
        <v>2267</v>
      </c>
      <c r="C23" s="2283"/>
      <c r="D23" s="1603"/>
      <c r="E23" s="2243"/>
      <c r="F23" s="2284" t="s">
        <v>2268</v>
      </c>
      <c r="G23" s="2285"/>
      <c r="H23" s="2264"/>
      <c r="I23" s="2264"/>
      <c r="J23" s="2264"/>
      <c r="K23" s="2264"/>
      <c r="L23" s="2264"/>
      <c r="M23" s="2264"/>
      <c r="N23" s="2264"/>
      <c r="O23" s="2264"/>
      <c r="P23" s="2264"/>
      <c r="Q23" s="2264"/>
    </row>
    <row r="24" spans="1:17" s="745" customFormat="1" ht="15" thickBot="1">
      <c r="A24" s="2244"/>
      <c r="B24" s="2284" t="s">
        <v>2269</v>
      </c>
      <c r="C24" s="2286" t="str">
        <f>C10</f>
        <v>次干道-凉水河路</v>
      </c>
      <c r="D24" s="1603"/>
      <c r="E24" s="2234"/>
      <c r="F24" s="2234"/>
      <c r="G24" s="2234"/>
      <c r="H24" s="2264"/>
      <c r="I24" s="2264"/>
      <c r="J24" s="2264"/>
      <c r="K24" s="2264"/>
      <c r="L24" s="2264"/>
      <c r="M24" s="2264"/>
      <c r="N24" s="2264"/>
      <c r="O24" s="2264"/>
      <c r="P24" s="2264"/>
      <c r="Q24" s="2264"/>
    </row>
    <row r="25" spans="1:17" s="745" customFormat="1">
      <c r="B25" s="2264"/>
      <c r="C25" s="2264"/>
      <c r="D25" s="2264"/>
      <c r="H25" s="2264"/>
      <c r="I25" s="2264"/>
      <c r="J25" s="2264"/>
      <c r="K25" s="2264"/>
      <c r="L25" s="2264"/>
      <c r="M25" s="2264"/>
      <c r="N25" s="2264"/>
      <c r="O25" s="2264"/>
      <c r="P25" s="2264"/>
      <c r="Q25" s="2264"/>
    </row>
    <row r="26" spans="1:17" s="745" customFormat="1">
      <c r="B26" s="2264"/>
      <c r="C26" s="2264"/>
      <c r="D26" s="2264"/>
      <c r="H26" s="2264"/>
      <c r="I26" s="2264"/>
      <c r="J26" s="2264"/>
      <c r="K26" s="2264"/>
      <c r="L26" s="2264"/>
      <c r="M26" s="2264"/>
      <c r="N26" s="2264"/>
      <c r="O26" s="2264"/>
      <c r="P26" s="2264"/>
      <c r="Q26" s="2264"/>
    </row>
    <row r="27" spans="1:17" s="745" customFormat="1">
      <c r="B27" s="2264"/>
      <c r="C27" s="2264"/>
      <c r="D27" s="2264"/>
      <c r="H27" s="2264"/>
      <c r="I27" s="2264"/>
      <c r="J27" s="2264"/>
      <c r="K27" s="2264"/>
      <c r="L27" s="2264"/>
      <c r="M27" s="2264"/>
      <c r="N27" s="2264"/>
      <c r="O27" s="2264"/>
      <c r="P27" s="2264"/>
      <c r="Q27" s="2264"/>
    </row>
    <row r="28" spans="1:17" s="745" customFormat="1">
      <c r="B28" s="2264"/>
      <c r="C28" s="2264"/>
      <c r="D28" s="2264"/>
      <c r="H28" s="2264"/>
      <c r="I28" s="2264"/>
      <c r="J28" s="2264"/>
      <c r="K28" s="2264"/>
      <c r="L28" s="2264"/>
      <c r="M28" s="2264"/>
      <c r="N28" s="2264"/>
      <c r="O28" s="2264"/>
      <c r="P28" s="2264"/>
      <c r="Q28" s="2264"/>
    </row>
    <row r="29" spans="1:17" s="745" customFormat="1">
      <c r="B29" s="2264"/>
      <c r="C29" s="2264"/>
      <c r="D29" s="2264"/>
      <c r="H29" s="2264"/>
      <c r="I29" s="2264"/>
      <c r="J29" s="2264"/>
      <c r="K29" s="2264"/>
      <c r="L29" s="2264"/>
      <c r="M29" s="2264"/>
      <c r="N29" s="2264"/>
      <c r="O29" s="2264"/>
      <c r="P29" s="2264"/>
      <c r="Q29" s="2264"/>
    </row>
    <row r="30" spans="1:17" s="745" customFormat="1">
      <c r="B30" s="2264"/>
      <c r="C30" s="2264"/>
      <c r="D30" s="2264"/>
      <c r="H30" s="2264"/>
      <c r="I30" s="2264"/>
      <c r="J30" s="2264"/>
      <c r="K30" s="2264"/>
      <c r="L30" s="2264"/>
      <c r="M30" s="2264"/>
      <c r="N30" s="2264"/>
      <c r="O30" s="2264"/>
      <c r="P30" s="2264"/>
      <c r="Q30" s="2264"/>
    </row>
    <row r="31" spans="1:17" s="745" customFormat="1">
      <c r="B31" s="2264"/>
      <c r="C31" s="2264"/>
      <c r="D31" s="2264"/>
      <c r="H31" s="2264"/>
      <c r="I31" s="2264"/>
      <c r="J31" s="2264"/>
      <c r="K31" s="2264"/>
      <c r="L31" s="2264"/>
      <c r="M31" s="2264"/>
      <c r="N31" s="2264"/>
      <c r="O31" s="2264"/>
      <c r="P31" s="2264"/>
      <c r="Q31" s="2264"/>
    </row>
    <row r="32" spans="1:17" s="745" customFormat="1">
      <c r="B32" s="2264"/>
      <c r="C32" s="2264"/>
      <c r="D32" s="2264"/>
      <c r="H32" s="2264"/>
      <c r="I32" s="2264"/>
      <c r="J32" s="2264"/>
      <c r="K32" s="2264"/>
      <c r="L32" s="2264"/>
      <c r="M32" s="2264"/>
      <c r="N32" s="2264"/>
      <c r="O32" s="2264"/>
      <c r="P32" s="2264"/>
      <c r="Q32" s="2264"/>
    </row>
    <row r="33" spans="2:17" s="745" customFormat="1">
      <c r="B33" s="2264"/>
      <c r="C33" s="2264"/>
      <c r="D33" s="2264"/>
      <c r="H33" s="2264"/>
      <c r="I33" s="2264"/>
      <c r="J33" s="2264"/>
      <c r="K33" s="2264"/>
      <c r="L33" s="2264"/>
      <c r="M33" s="2264"/>
      <c r="N33" s="2264"/>
      <c r="O33" s="2264"/>
      <c r="P33" s="2264"/>
      <c r="Q33" s="2264"/>
    </row>
    <row r="34" spans="2:17" s="745" customFormat="1">
      <c r="B34" s="2264"/>
      <c r="C34" s="2264"/>
      <c r="D34" s="2264"/>
      <c r="H34" s="2264"/>
      <c r="I34" s="2264"/>
      <c r="J34" s="2264"/>
      <c r="K34" s="2264"/>
      <c r="L34" s="2264"/>
      <c r="M34" s="2264"/>
      <c r="N34" s="2264"/>
      <c r="O34" s="2264"/>
      <c r="P34" s="2264"/>
      <c r="Q34" s="2264"/>
    </row>
    <row r="35" spans="2:17" s="745" customFormat="1">
      <c r="B35" s="2264"/>
      <c r="C35" s="2264"/>
      <c r="D35" s="2264"/>
      <c r="H35" s="2264"/>
      <c r="I35" s="2264"/>
      <c r="J35" s="2264"/>
      <c r="K35" s="2264"/>
      <c r="L35" s="2264"/>
      <c r="M35" s="2264"/>
      <c r="N35" s="2264"/>
      <c r="O35" s="2264"/>
      <c r="P35" s="2264"/>
      <c r="Q35" s="2264"/>
    </row>
    <row r="36" spans="2:17" s="745" customFormat="1">
      <c r="B36" s="2264"/>
      <c r="C36" s="2264"/>
      <c r="D36" s="2264"/>
      <c r="H36" s="2264"/>
      <c r="I36" s="2264"/>
      <c r="J36" s="2264"/>
      <c r="K36" s="2264"/>
      <c r="L36" s="2264"/>
      <c r="M36" s="2264"/>
      <c r="N36" s="2264"/>
      <c r="O36" s="2264"/>
      <c r="P36" s="2264"/>
      <c r="Q36" s="2264"/>
    </row>
    <row r="37" spans="2:17" s="745" customFormat="1">
      <c r="B37" s="2264"/>
      <c r="C37" s="2264"/>
      <c r="D37" s="2264"/>
      <c r="H37" s="2264"/>
      <c r="I37" s="2264"/>
      <c r="J37" s="2264"/>
      <c r="K37" s="2264"/>
      <c r="L37" s="2264"/>
      <c r="M37" s="2264"/>
      <c r="N37" s="2264"/>
      <c r="O37" s="2264"/>
      <c r="P37" s="2264"/>
      <c r="Q37" s="2264"/>
    </row>
    <row r="38" spans="2:17" s="745" customFormat="1">
      <c r="B38" s="2264"/>
      <c r="C38" s="2264"/>
      <c r="D38" s="2264"/>
      <c r="E38" s="2264"/>
      <c r="F38" s="2264"/>
      <c r="G38" s="2264"/>
      <c r="H38" s="2264"/>
      <c r="I38" s="2264"/>
      <c r="J38" s="2264"/>
      <c r="K38" s="2264"/>
      <c r="L38" s="2264"/>
      <c r="M38" s="2264"/>
      <c r="N38" s="2264"/>
      <c r="O38" s="2264"/>
      <c r="P38" s="2264"/>
      <c r="Q38" s="2264"/>
    </row>
    <row r="39" spans="2:17" s="745" customFormat="1">
      <c r="B39" s="2264"/>
      <c r="C39" s="2264"/>
      <c r="D39" s="2264"/>
      <c r="E39" s="2264"/>
      <c r="F39" s="2264"/>
      <c r="G39" s="2264"/>
      <c r="H39" s="2264"/>
      <c r="I39" s="2264"/>
      <c r="J39" s="2264"/>
      <c r="K39" s="2264"/>
      <c r="L39" s="2264"/>
      <c r="M39" s="2264"/>
      <c r="N39" s="2264"/>
      <c r="O39" s="2264"/>
      <c r="P39" s="2264"/>
      <c r="Q39" s="2264"/>
    </row>
    <row r="40" spans="2:17" s="745" customFormat="1">
      <c r="B40" s="2264"/>
      <c r="C40" s="2264"/>
      <c r="D40" s="2264"/>
      <c r="E40" s="2264"/>
      <c r="F40" s="2264"/>
      <c r="G40" s="2264"/>
      <c r="H40" s="2264"/>
      <c r="I40" s="2264"/>
      <c r="J40" s="2264"/>
      <c r="K40" s="2264"/>
      <c r="L40" s="2264"/>
      <c r="M40" s="2264"/>
      <c r="N40" s="2264"/>
      <c r="O40" s="2264"/>
      <c r="P40" s="2264"/>
      <c r="Q40" s="2264"/>
    </row>
    <row r="41" spans="2:17" s="745" customFormat="1">
      <c r="B41" s="2264"/>
      <c r="C41" s="2264"/>
      <c r="D41" s="2264"/>
      <c r="E41" s="2264"/>
      <c r="F41" s="2264"/>
      <c r="G41" s="2264"/>
      <c r="H41" s="2264"/>
      <c r="I41" s="2264"/>
      <c r="J41" s="2264"/>
      <c r="K41" s="2264"/>
      <c r="L41" s="2264"/>
      <c r="M41" s="2264"/>
      <c r="N41" s="2264"/>
      <c r="O41" s="2264"/>
      <c r="P41" s="2264"/>
      <c r="Q41" s="2264"/>
    </row>
    <row r="42" spans="2:17" s="745" customFormat="1">
      <c r="B42" s="2264"/>
      <c r="C42" s="2264"/>
      <c r="D42" s="2264"/>
      <c r="E42" s="2264"/>
      <c r="F42" s="2264"/>
      <c r="G42" s="2264"/>
      <c r="H42" s="2264"/>
      <c r="I42" s="2264"/>
      <c r="J42" s="2264"/>
      <c r="K42" s="2264"/>
      <c r="L42" s="2264"/>
      <c r="M42" s="2264"/>
      <c r="N42" s="2264"/>
      <c r="O42" s="2264"/>
      <c r="P42" s="2264"/>
      <c r="Q42" s="2264"/>
    </row>
    <row r="43" spans="2:17" s="745" customFormat="1">
      <c r="B43" s="2264"/>
      <c r="C43" s="2264"/>
      <c r="D43" s="2264"/>
      <c r="E43" s="2264"/>
      <c r="F43" s="2264"/>
      <c r="G43" s="2264"/>
      <c r="H43" s="2264"/>
      <c r="I43" s="2264"/>
      <c r="J43" s="2264"/>
      <c r="K43" s="2264"/>
      <c r="L43" s="2264"/>
      <c r="M43" s="2264"/>
      <c r="N43" s="2264"/>
      <c r="O43" s="2264"/>
      <c r="P43" s="2264"/>
      <c r="Q43" s="2264"/>
    </row>
    <row r="44" spans="2:17" s="745" customFormat="1">
      <c r="B44" s="2264"/>
      <c r="C44" s="2264"/>
      <c r="D44" s="2264"/>
      <c r="E44" s="2264"/>
      <c r="F44" s="2264"/>
      <c r="G44" s="2264"/>
      <c r="H44" s="2264"/>
      <c r="I44" s="2264"/>
      <c r="J44" s="2264"/>
      <c r="K44" s="2264"/>
      <c r="L44" s="2264"/>
      <c r="M44" s="2264"/>
      <c r="N44" s="2264"/>
      <c r="O44" s="2264"/>
      <c r="P44" s="2264"/>
      <c r="Q44" s="2264"/>
    </row>
    <row r="45" spans="2:17" s="745" customFormat="1">
      <c r="B45" s="2264"/>
      <c r="C45" s="2264"/>
      <c r="D45" s="2264"/>
      <c r="E45" s="2264"/>
      <c r="F45" s="2264"/>
      <c r="G45" s="2264"/>
      <c r="H45" s="2264"/>
      <c r="I45" s="2264"/>
      <c r="J45" s="2264"/>
      <c r="K45" s="2264"/>
      <c r="L45" s="2264"/>
      <c r="M45" s="2264"/>
      <c r="N45" s="2264"/>
      <c r="O45" s="2264"/>
      <c r="P45" s="2264"/>
      <c r="Q45" s="2264"/>
    </row>
    <row r="46" spans="2:17" s="745" customFormat="1">
      <c r="B46" s="2264"/>
      <c r="C46" s="2264"/>
      <c r="D46" s="2264"/>
      <c r="E46" s="2264"/>
      <c r="F46" s="2264"/>
      <c r="G46" s="2264"/>
      <c r="H46" s="2264"/>
      <c r="I46" s="2264"/>
      <c r="J46" s="2264"/>
      <c r="K46" s="2264"/>
      <c r="L46" s="2264"/>
      <c r="M46" s="2264"/>
      <c r="N46" s="2264"/>
      <c r="O46" s="2264"/>
      <c r="P46" s="2264"/>
      <c r="Q46" s="2264"/>
    </row>
    <row r="47" spans="2:17" s="745" customFormat="1">
      <c r="B47" s="2264"/>
      <c r="C47" s="2264"/>
      <c r="D47" s="2264"/>
      <c r="E47" s="2264"/>
      <c r="F47" s="2264"/>
      <c r="G47" s="2264"/>
      <c r="H47" s="2264"/>
      <c r="I47" s="2264"/>
      <c r="J47" s="2264"/>
      <c r="K47" s="2264"/>
      <c r="L47" s="2264"/>
      <c r="M47" s="2264"/>
      <c r="N47" s="2264"/>
      <c r="O47" s="2264"/>
      <c r="P47" s="2264"/>
      <c r="Q47" s="2264"/>
    </row>
    <row r="48" spans="2:17" s="745" customFormat="1">
      <c r="B48" s="2264"/>
      <c r="C48" s="2264"/>
      <c r="D48" s="2264"/>
      <c r="E48" s="2264"/>
      <c r="F48" s="2264"/>
      <c r="G48" s="2264"/>
      <c r="H48" s="2264"/>
      <c r="I48" s="2264"/>
      <c r="J48" s="2264"/>
      <c r="K48" s="2264"/>
      <c r="L48" s="2264"/>
      <c r="M48" s="2264"/>
      <c r="N48" s="2264"/>
      <c r="O48" s="2264"/>
      <c r="P48" s="2264"/>
      <c r="Q48" s="2264"/>
    </row>
    <row r="49" spans="2:17" s="745" customFormat="1">
      <c r="B49" s="2264"/>
      <c r="C49" s="2264"/>
      <c r="D49" s="2264"/>
      <c r="E49" s="2264"/>
      <c r="F49" s="2264"/>
      <c r="G49" s="2264"/>
      <c r="H49" s="2264"/>
      <c r="I49" s="2264"/>
      <c r="J49" s="2264"/>
      <c r="K49" s="2264"/>
      <c r="L49" s="2264"/>
      <c r="M49" s="2264"/>
      <c r="N49" s="2264"/>
      <c r="O49" s="2264"/>
      <c r="P49" s="2264"/>
      <c r="Q49" s="2264"/>
    </row>
    <row r="50" spans="2:17" s="745" customFormat="1">
      <c r="B50" s="2264"/>
      <c r="C50" s="2264"/>
      <c r="D50" s="2264"/>
      <c r="E50" s="2264"/>
      <c r="F50" s="2264"/>
      <c r="G50" s="2264"/>
      <c r="H50" s="2264"/>
      <c r="I50" s="2264"/>
      <c r="J50" s="2264"/>
      <c r="K50" s="2264"/>
      <c r="L50" s="2264"/>
      <c r="M50" s="2264"/>
      <c r="N50" s="2264"/>
      <c r="O50" s="2264"/>
      <c r="P50" s="2264"/>
      <c r="Q50" s="2264"/>
    </row>
    <row r="51" spans="2:17" s="745" customFormat="1">
      <c r="B51" s="2264"/>
      <c r="C51" s="2264"/>
      <c r="D51" s="2264"/>
      <c r="E51" s="2264"/>
      <c r="F51" s="2264"/>
      <c r="G51" s="2264"/>
      <c r="H51" s="2264"/>
      <c r="I51" s="2264"/>
      <c r="J51" s="2264"/>
      <c r="K51" s="2264"/>
      <c r="L51" s="2264"/>
      <c r="M51" s="2264"/>
      <c r="N51" s="2264"/>
      <c r="O51" s="2264"/>
      <c r="P51" s="2264"/>
      <c r="Q51" s="2264"/>
    </row>
    <row r="52" spans="2:17" s="745" customFormat="1">
      <c r="B52" s="2264"/>
      <c r="C52" s="2264"/>
      <c r="D52" s="2264"/>
      <c r="E52" s="2264"/>
      <c r="F52" s="2264"/>
      <c r="G52" s="2264"/>
      <c r="H52" s="2264"/>
      <c r="I52" s="2264"/>
      <c r="J52" s="2264"/>
      <c r="K52" s="2264"/>
      <c r="L52" s="2264"/>
      <c r="M52" s="2264"/>
      <c r="N52" s="2264"/>
      <c r="O52" s="2264"/>
      <c r="P52" s="2264"/>
      <c r="Q52" s="2264"/>
    </row>
    <row r="53" spans="2:17" s="745" customFormat="1">
      <c r="B53" s="2264"/>
      <c r="C53" s="2264"/>
      <c r="D53" s="2264"/>
      <c r="E53" s="2264"/>
      <c r="F53" s="2264"/>
      <c r="G53" s="2264"/>
      <c r="H53" s="2264"/>
      <c r="I53" s="2264"/>
      <c r="J53" s="2264"/>
      <c r="K53" s="2264"/>
      <c r="L53" s="2264"/>
      <c r="M53" s="2264"/>
      <c r="N53" s="2264"/>
      <c r="O53" s="2264"/>
      <c r="P53" s="2264"/>
      <c r="Q53" s="2264"/>
    </row>
    <row r="54" spans="2:17" s="745" customFormat="1">
      <c r="B54" s="2264"/>
      <c r="C54" s="2264"/>
      <c r="D54" s="2264"/>
      <c r="E54" s="2264"/>
      <c r="F54" s="2264"/>
      <c r="G54" s="2264"/>
      <c r="H54" s="2264"/>
      <c r="I54" s="2264"/>
      <c r="J54" s="2264"/>
      <c r="K54" s="2264"/>
      <c r="L54" s="2264"/>
      <c r="M54" s="2264"/>
      <c r="N54" s="2264"/>
      <c r="O54" s="2264"/>
      <c r="P54" s="2264"/>
      <c r="Q54" s="2264"/>
    </row>
    <row r="55" spans="2:17" s="745" customFormat="1">
      <c r="B55" s="2264"/>
      <c r="C55" s="2264"/>
      <c r="D55" s="2264"/>
      <c r="E55" s="2264"/>
      <c r="F55" s="2264"/>
      <c r="G55" s="2264"/>
      <c r="H55" s="2264"/>
      <c r="I55" s="2264"/>
      <c r="J55" s="2264"/>
      <c r="K55" s="2264"/>
      <c r="L55" s="2264"/>
      <c r="M55" s="2264"/>
      <c r="N55" s="2264"/>
      <c r="O55" s="2264"/>
      <c r="P55" s="2264"/>
      <c r="Q55" s="2264"/>
    </row>
    <row r="56" spans="2:17" s="745" customFormat="1">
      <c r="B56" s="2264"/>
      <c r="C56" s="2264"/>
      <c r="D56" s="2264"/>
      <c r="E56" s="2264"/>
      <c r="F56" s="2264"/>
      <c r="G56" s="2264"/>
      <c r="H56" s="2264"/>
      <c r="I56" s="2264"/>
      <c r="J56" s="2264"/>
      <c r="K56" s="2264"/>
      <c r="L56" s="2264"/>
      <c r="M56" s="2264"/>
      <c r="N56" s="2264"/>
      <c r="O56" s="2264"/>
      <c r="P56" s="2264"/>
      <c r="Q56" s="2264"/>
    </row>
    <row r="57" spans="2:17" s="745" customFormat="1">
      <c r="B57" s="2264"/>
      <c r="C57" s="2264"/>
      <c r="D57" s="2264"/>
      <c r="E57" s="2264"/>
      <c r="F57" s="2264"/>
      <c r="G57" s="2264"/>
      <c r="H57" s="2264"/>
      <c r="I57" s="2264"/>
      <c r="J57" s="2264"/>
      <c r="K57" s="2264"/>
      <c r="L57" s="2264"/>
      <c r="M57" s="2264"/>
      <c r="N57" s="2264"/>
      <c r="O57" s="2264"/>
      <c r="P57" s="2264"/>
      <c r="Q57" s="2264"/>
    </row>
    <row r="58" spans="2:17" s="745" customFormat="1">
      <c r="B58" s="2264"/>
      <c r="C58" s="2264"/>
      <c r="D58" s="2264"/>
      <c r="E58" s="2264"/>
      <c r="F58" s="2264"/>
      <c r="G58" s="2264"/>
      <c r="H58" s="2264"/>
      <c r="I58" s="2264"/>
      <c r="J58" s="2264"/>
      <c r="K58" s="2264"/>
      <c r="L58" s="2264"/>
      <c r="M58" s="2264"/>
      <c r="N58" s="2264"/>
      <c r="O58" s="2264"/>
      <c r="P58" s="2264"/>
      <c r="Q58" s="2264"/>
    </row>
    <row r="59" spans="2:17" s="745" customFormat="1">
      <c r="B59" s="2264"/>
      <c r="C59" s="2264"/>
      <c r="D59" s="2264"/>
      <c r="E59" s="2264"/>
      <c r="F59" s="2264"/>
      <c r="G59" s="2264"/>
      <c r="H59" s="2264"/>
      <c r="I59" s="2264"/>
      <c r="J59" s="2264"/>
      <c r="K59" s="2264"/>
      <c r="L59" s="2264"/>
      <c r="M59" s="2264"/>
      <c r="N59" s="2264"/>
      <c r="O59" s="2264"/>
      <c r="P59" s="2264"/>
      <c r="Q59" s="2264"/>
    </row>
    <row r="60" spans="2:17" s="745" customFormat="1">
      <c r="B60" s="2264"/>
      <c r="C60" s="2264"/>
      <c r="D60" s="2264"/>
      <c r="E60" s="2264"/>
      <c r="F60" s="2264"/>
      <c r="G60" s="2264"/>
      <c r="H60" s="2264"/>
      <c r="I60" s="2264"/>
      <c r="J60" s="2264"/>
      <c r="K60" s="2264"/>
      <c r="L60" s="2264"/>
      <c r="M60" s="2264"/>
      <c r="N60" s="2264"/>
      <c r="O60" s="2264"/>
      <c r="P60" s="2264"/>
      <c r="Q60" s="2264"/>
    </row>
    <row r="61" spans="2:17" s="745" customFormat="1">
      <c r="B61" s="2264"/>
      <c r="C61" s="2264"/>
      <c r="D61" s="2264"/>
      <c r="E61" s="2264"/>
      <c r="F61" s="2264"/>
      <c r="G61" s="2264"/>
      <c r="H61" s="2264"/>
      <c r="I61" s="2264"/>
      <c r="J61" s="2264"/>
      <c r="K61" s="2264"/>
      <c r="L61" s="2264"/>
      <c r="M61" s="2264"/>
      <c r="N61" s="2264"/>
      <c r="O61" s="2264"/>
      <c r="P61" s="2264"/>
      <c r="Q61" s="2264"/>
    </row>
    <row r="62" spans="2:17" s="745" customFormat="1">
      <c r="B62" s="2264"/>
      <c r="C62" s="2264"/>
      <c r="D62" s="2264"/>
      <c r="E62" s="2264"/>
      <c r="F62" s="2264"/>
      <c r="G62" s="2264"/>
      <c r="H62" s="2264"/>
      <c r="I62" s="2264"/>
      <c r="J62" s="2264"/>
      <c r="K62" s="2264"/>
      <c r="L62" s="2264"/>
      <c r="M62" s="2264"/>
      <c r="N62" s="2264"/>
      <c r="O62" s="2264"/>
      <c r="P62" s="2264"/>
      <c r="Q62" s="2264"/>
    </row>
    <row r="63" spans="2:17" s="745" customFormat="1">
      <c r="B63" s="2264"/>
      <c r="C63" s="2264"/>
      <c r="D63" s="2264"/>
      <c r="E63" s="2264"/>
      <c r="F63" s="2264"/>
      <c r="G63" s="2264"/>
      <c r="H63" s="2264"/>
      <c r="I63" s="2264"/>
      <c r="J63" s="2264"/>
      <c r="K63" s="2264"/>
      <c r="L63" s="2264"/>
      <c r="M63" s="2264"/>
      <c r="N63" s="2264"/>
      <c r="O63" s="2264"/>
      <c r="P63" s="2264"/>
      <c r="Q63" s="2264"/>
    </row>
    <row r="64" spans="2:17" s="745" customFormat="1">
      <c r="B64" s="2264"/>
      <c r="C64" s="2264"/>
      <c r="D64" s="2264"/>
      <c r="E64" s="2264"/>
      <c r="F64" s="2264"/>
      <c r="G64" s="2264"/>
      <c r="H64" s="2264"/>
      <c r="I64" s="2264"/>
      <c r="J64" s="2264"/>
      <c r="K64" s="2264"/>
      <c r="L64" s="2264"/>
      <c r="M64" s="2264"/>
      <c r="N64" s="2264"/>
      <c r="O64" s="2264"/>
      <c r="P64" s="2264"/>
      <c r="Q64" s="2264"/>
    </row>
    <row r="65" spans="2:17" s="745" customFormat="1">
      <c r="B65" s="2264"/>
      <c r="C65" s="2264"/>
      <c r="D65" s="2264"/>
      <c r="E65" s="2264"/>
      <c r="F65" s="2264"/>
      <c r="G65" s="2264"/>
      <c r="H65" s="2264"/>
      <c r="I65" s="2264"/>
      <c r="J65" s="2264"/>
      <c r="K65" s="2264"/>
      <c r="L65" s="2264"/>
      <c r="M65" s="2264"/>
      <c r="N65" s="2264"/>
      <c r="O65" s="2264"/>
      <c r="P65" s="2264"/>
      <c r="Q65" s="2264"/>
    </row>
    <row r="66" spans="2:17" s="745" customFormat="1">
      <c r="B66" s="2264"/>
      <c r="C66" s="2264"/>
      <c r="D66" s="2264"/>
      <c r="E66" s="2264"/>
      <c r="F66" s="2264"/>
      <c r="G66" s="2264"/>
      <c r="H66" s="2264"/>
      <c r="I66" s="2264"/>
      <c r="J66" s="2264"/>
      <c r="K66" s="2264"/>
      <c r="L66" s="2264"/>
      <c r="M66" s="2264"/>
      <c r="N66" s="2264"/>
      <c r="O66" s="2264"/>
      <c r="P66" s="2264"/>
      <c r="Q66" s="2264"/>
    </row>
    <row r="67" spans="2:17" s="745" customFormat="1">
      <c r="B67" s="2264"/>
      <c r="C67" s="2264"/>
      <c r="D67" s="2264"/>
      <c r="E67" s="2264"/>
      <c r="F67" s="2264"/>
      <c r="G67" s="2264"/>
      <c r="H67" s="2264"/>
      <c r="I67" s="2264"/>
      <c r="J67" s="2264"/>
      <c r="K67" s="2264"/>
      <c r="L67" s="2264"/>
      <c r="M67" s="2264"/>
      <c r="N67" s="2264"/>
      <c r="O67" s="2264"/>
      <c r="P67" s="2264"/>
      <c r="Q67" s="2264"/>
    </row>
    <row r="68" spans="2:17" s="745" customFormat="1">
      <c r="B68" s="2264"/>
      <c r="C68" s="2264"/>
      <c r="D68" s="2264"/>
      <c r="E68" s="2264"/>
      <c r="F68" s="2264"/>
      <c r="G68" s="2264"/>
      <c r="H68" s="2264"/>
      <c r="I68" s="2264"/>
      <c r="J68" s="2264"/>
      <c r="K68" s="2264"/>
      <c r="L68" s="2264"/>
      <c r="M68" s="2264"/>
      <c r="N68" s="2264"/>
      <c r="O68" s="2264"/>
      <c r="P68" s="2264"/>
      <c r="Q68" s="2264"/>
    </row>
    <row r="69" spans="2:17" s="745" customFormat="1">
      <c r="B69" s="2264"/>
      <c r="C69" s="2264"/>
      <c r="D69" s="2264"/>
      <c r="E69" s="2264"/>
      <c r="F69" s="2264"/>
      <c r="G69" s="2264"/>
      <c r="H69" s="2264"/>
      <c r="I69" s="2264"/>
      <c r="J69" s="2264"/>
      <c r="K69" s="2264"/>
      <c r="L69" s="2264"/>
      <c r="M69" s="2264"/>
      <c r="N69" s="2264"/>
      <c r="O69" s="2264"/>
      <c r="P69" s="2264"/>
      <c r="Q69" s="2264"/>
    </row>
    <row r="70" spans="2:17" s="745" customFormat="1">
      <c r="B70" s="2264"/>
      <c r="C70" s="2264"/>
      <c r="D70" s="2264"/>
      <c r="E70" s="2264"/>
      <c r="F70" s="2264"/>
      <c r="G70" s="2264"/>
      <c r="H70" s="2264"/>
      <c r="I70" s="2264"/>
      <c r="J70" s="2264"/>
      <c r="K70" s="2264"/>
      <c r="L70" s="2264"/>
      <c r="M70" s="2264"/>
      <c r="N70" s="2264"/>
      <c r="O70" s="2264"/>
      <c r="P70" s="2264"/>
      <c r="Q70" s="2264"/>
    </row>
    <row r="71" spans="2:17" s="745" customFormat="1">
      <c r="B71" s="2264"/>
      <c r="C71" s="2264"/>
      <c r="D71" s="2264"/>
      <c r="E71" s="2264"/>
      <c r="F71" s="2264"/>
      <c r="G71" s="2264"/>
      <c r="H71" s="2264"/>
      <c r="I71" s="2264"/>
      <c r="J71" s="2264"/>
      <c r="K71" s="2264"/>
      <c r="L71" s="2264"/>
      <c r="M71" s="2264"/>
      <c r="N71" s="2264"/>
      <c r="O71" s="2264"/>
      <c r="P71" s="2264"/>
      <c r="Q71" s="2264"/>
    </row>
    <row r="72" spans="2:17" s="745" customFormat="1">
      <c r="B72" s="2264"/>
      <c r="C72" s="2264"/>
      <c r="D72" s="2264"/>
      <c r="E72" s="2264"/>
      <c r="F72" s="2264"/>
      <c r="G72" s="2264"/>
      <c r="H72" s="2264"/>
      <c r="I72" s="2264"/>
      <c r="J72" s="2264"/>
      <c r="K72" s="2264"/>
      <c r="L72" s="2264"/>
      <c r="M72" s="2264"/>
      <c r="N72" s="2264"/>
      <c r="O72" s="2264"/>
      <c r="P72" s="2264"/>
      <c r="Q72" s="2264"/>
    </row>
    <row r="73" spans="2:17" s="745" customFormat="1">
      <c r="B73" s="2264"/>
      <c r="C73" s="2264"/>
      <c r="D73" s="2264"/>
      <c r="E73" s="2264"/>
      <c r="F73" s="2264"/>
      <c r="G73" s="2264"/>
      <c r="H73" s="2264"/>
      <c r="I73" s="2264"/>
      <c r="J73" s="2264"/>
      <c r="K73" s="2264"/>
      <c r="L73" s="2264"/>
      <c r="M73" s="2264"/>
      <c r="N73" s="2264"/>
      <c r="O73" s="2264"/>
      <c r="P73" s="2264"/>
      <c r="Q73" s="2264"/>
    </row>
    <row r="74" spans="2:17" s="745" customFormat="1">
      <c r="B74" s="2264"/>
      <c r="C74" s="2264"/>
      <c r="D74" s="2264"/>
      <c r="E74" s="2264"/>
      <c r="F74" s="2264"/>
      <c r="G74" s="2264"/>
      <c r="H74" s="2264"/>
      <c r="I74" s="2264"/>
      <c r="J74" s="2264"/>
      <c r="K74" s="2264"/>
      <c r="L74" s="2264"/>
      <c r="M74" s="2264"/>
      <c r="N74" s="2264"/>
      <c r="O74" s="2264"/>
      <c r="P74" s="2264"/>
      <c r="Q74" s="2264"/>
    </row>
    <row r="75" spans="2:17" s="745" customFormat="1">
      <c r="B75" s="2264"/>
      <c r="C75" s="2264"/>
      <c r="D75" s="2264"/>
      <c r="E75" s="2264"/>
      <c r="F75" s="2264"/>
      <c r="G75" s="2264"/>
      <c r="H75" s="2264"/>
      <c r="I75" s="2264"/>
      <c r="J75" s="2264"/>
      <c r="K75" s="2264"/>
      <c r="L75" s="2264"/>
      <c r="M75" s="2264"/>
      <c r="N75" s="2264"/>
      <c r="O75" s="2264"/>
      <c r="P75" s="2264"/>
      <c r="Q75" s="2264"/>
    </row>
    <row r="76" spans="2:17" s="745" customFormat="1">
      <c r="B76" s="2264"/>
      <c r="C76" s="2264"/>
      <c r="D76" s="2264"/>
      <c r="E76" s="2264"/>
      <c r="F76" s="2264"/>
      <c r="G76" s="2264"/>
      <c r="H76" s="2264"/>
      <c r="I76" s="2264"/>
      <c r="J76" s="2264"/>
      <c r="K76" s="2264"/>
      <c r="L76" s="2264"/>
      <c r="M76" s="2264"/>
      <c r="N76" s="2264"/>
      <c r="O76" s="2264"/>
      <c r="P76" s="2264"/>
      <c r="Q76" s="2264"/>
    </row>
    <row r="77" spans="2:17" s="745" customFormat="1">
      <c r="B77" s="2264"/>
      <c r="C77" s="2264"/>
      <c r="D77" s="2264"/>
      <c r="E77" s="2264"/>
      <c r="F77" s="2264"/>
      <c r="G77" s="2264"/>
      <c r="H77" s="2264"/>
      <c r="I77" s="2264"/>
      <c r="J77" s="2264"/>
      <c r="K77" s="2264"/>
      <c r="L77" s="2264"/>
      <c r="M77" s="2264"/>
      <c r="N77" s="2264"/>
      <c r="O77" s="2264"/>
      <c r="P77" s="2264"/>
      <c r="Q77" s="2264"/>
    </row>
    <row r="78" spans="2:17" s="745" customFormat="1">
      <c r="B78" s="2264"/>
      <c r="C78" s="2264"/>
      <c r="D78" s="2264"/>
      <c r="E78" s="2264"/>
      <c r="F78" s="2264"/>
      <c r="G78" s="2264"/>
      <c r="H78" s="2264"/>
      <c r="I78" s="2264"/>
      <c r="J78" s="2264"/>
      <c r="K78" s="2264"/>
      <c r="L78" s="2264"/>
      <c r="M78" s="2264"/>
      <c r="N78" s="2264"/>
      <c r="O78" s="2264"/>
      <c r="P78" s="2264"/>
      <c r="Q78" s="2264"/>
    </row>
    <row r="79" spans="2:17" s="745" customFormat="1">
      <c r="B79" s="2264"/>
      <c r="C79" s="2264"/>
      <c r="D79" s="2264"/>
      <c r="E79" s="2264"/>
      <c r="F79" s="2264"/>
      <c r="G79" s="2264"/>
      <c r="H79" s="2264"/>
      <c r="I79" s="2264"/>
      <c r="J79" s="2264"/>
      <c r="K79" s="2264"/>
      <c r="L79" s="2264"/>
      <c r="M79" s="2264"/>
      <c r="N79" s="2264"/>
      <c r="O79" s="2264"/>
      <c r="P79" s="2264"/>
      <c r="Q79" s="2264"/>
    </row>
    <row r="80" spans="2:17" s="745" customFormat="1">
      <c r="B80" s="2264"/>
      <c r="C80" s="2264"/>
      <c r="D80" s="2264"/>
      <c r="E80" s="2264"/>
      <c r="F80" s="2264"/>
      <c r="G80" s="2264"/>
      <c r="H80" s="2264"/>
      <c r="I80" s="2264"/>
      <c r="J80" s="2264"/>
      <c r="K80" s="2264"/>
      <c r="L80" s="2264"/>
      <c r="M80" s="2264"/>
      <c r="N80" s="2264"/>
      <c r="O80" s="2264"/>
      <c r="P80" s="2264"/>
      <c r="Q80" s="2264"/>
    </row>
    <row r="81" spans="2:17" s="745" customFormat="1">
      <c r="B81" s="2264"/>
      <c r="C81" s="2264"/>
      <c r="D81" s="2264"/>
      <c r="E81" s="2264"/>
      <c r="F81" s="2264"/>
      <c r="G81" s="2264"/>
      <c r="H81" s="2264"/>
      <c r="I81" s="2264"/>
      <c r="J81" s="2264"/>
      <c r="K81" s="2264"/>
      <c r="L81" s="2264"/>
      <c r="M81" s="2264"/>
      <c r="N81" s="2264"/>
      <c r="O81" s="2264"/>
      <c r="P81" s="2264"/>
      <c r="Q81" s="2264"/>
    </row>
    <row r="82" spans="2:17" s="745" customFormat="1">
      <c r="B82" s="2264"/>
      <c r="C82" s="2264"/>
      <c r="D82" s="2264"/>
      <c r="E82" s="2264"/>
      <c r="F82" s="2264"/>
      <c r="G82" s="2264"/>
      <c r="H82" s="2264"/>
      <c r="I82" s="2264"/>
      <c r="J82" s="2264"/>
      <c r="K82" s="2264"/>
      <c r="L82" s="2264"/>
      <c r="M82" s="2264"/>
      <c r="N82" s="2264"/>
      <c r="O82" s="2264"/>
      <c r="P82" s="2264"/>
      <c r="Q82" s="2264"/>
    </row>
    <row r="83" spans="2:17" s="745" customFormat="1">
      <c r="B83" s="2264"/>
      <c r="C83" s="2264"/>
      <c r="D83" s="2264"/>
      <c r="E83" s="2264"/>
      <c r="F83" s="2264"/>
      <c r="G83" s="2264"/>
      <c r="H83" s="2264"/>
      <c r="I83" s="2264"/>
      <c r="J83" s="2264"/>
      <c r="K83" s="2264"/>
      <c r="L83" s="2264"/>
      <c r="M83" s="2264"/>
      <c r="N83" s="2264"/>
      <c r="O83" s="2264"/>
      <c r="P83" s="2264"/>
      <c r="Q83" s="2264"/>
    </row>
    <row r="84" spans="2:17" s="745" customFormat="1">
      <c r="B84" s="2264"/>
      <c r="C84" s="2264"/>
      <c r="D84" s="2264"/>
      <c r="E84" s="2264"/>
      <c r="F84" s="2264"/>
      <c r="G84" s="2264"/>
      <c r="H84" s="2264"/>
      <c r="I84" s="2264"/>
      <c r="J84" s="2264"/>
      <c r="K84" s="2264"/>
      <c r="L84" s="2264"/>
      <c r="M84" s="2264"/>
      <c r="N84" s="2264"/>
      <c r="O84" s="2264"/>
      <c r="P84" s="2264"/>
      <c r="Q84" s="2264"/>
    </row>
    <row r="85" spans="2:17" s="745" customFormat="1">
      <c r="B85" s="2264"/>
      <c r="C85" s="2264"/>
      <c r="D85" s="2264"/>
      <c r="E85" s="2264"/>
      <c r="F85" s="2264"/>
      <c r="G85" s="2264"/>
      <c r="H85" s="2264"/>
      <c r="I85" s="2264"/>
      <c r="J85" s="2264"/>
      <c r="K85" s="2264"/>
      <c r="L85" s="2264"/>
      <c r="M85" s="2264"/>
      <c r="N85" s="2264"/>
      <c r="O85" s="2264"/>
      <c r="P85" s="2264"/>
      <c r="Q85" s="2264"/>
    </row>
    <row r="86" spans="2:17" s="745" customFormat="1">
      <c r="B86" s="2264"/>
      <c r="C86" s="2264"/>
      <c r="D86" s="2264"/>
      <c r="E86" s="2264"/>
      <c r="F86" s="2264"/>
      <c r="G86" s="2264"/>
      <c r="H86" s="2264"/>
      <c r="I86" s="2264"/>
      <c r="J86" s="2264"/>
      <c r="K86" s="2264"/>
      <c r="L86" s="2264"/>
      <c r="M86" s="2264"/>
      <c r="N86" s="2264"/>
      <c r="O86" s="2264"/>
      <c r="P86" s="2264"/>
      <c r="Q86" s="2264"/>
    </row>
    <row r="87" spans="2:17" s="745" customFormat="1">
      <c r="B87" s="2264"/>
      <c r="C87" s="2264"/>
      <c r="D87" s="2264"/>
      <c r="E87" s="2264"/>
      <c r="F87" s="2264"/>
      <c r="G87" s="2264"/>
      <c r="H87" s="2264"/>
      <c r="I87" s="2264"/>
      <c r="J87" s="2264"/>
      <c r="K87" s="2264"/>
      <c r="L87" s="2264"/>
      <c r="M87" s="2264"/>
      <c r="N87" s="2264"/>
      <c r="O87" s="2264"/>
      <c r="P87" s="2264"/>
      <c r="Q87" s="2264"/>
    </row>
    <row r="88" spans="2:17" s="745" customFormat="1">
      <c r="B88" s="2264"/>
      <c r="C88" s="2264"/>
      <c r="D88" s="2264"/>
      <c r="E88" s="2264"/>
      <c r="F88" s="2264"/>
      <c r="G88" s="2264"/>
      <c r="H88" s="2264"/>
      <c r="I88" s="2264"/>
      <c r="J88" s="2264"/>
      <c r="K88" s="2264"/>
      <c r="L88" s="2264"/>
      <c r="M88" s="2264"/>
      <c r="N88" s="2264"/>
      <c r="O88" s="2264"/>
      <c r="P88" s="2264"/>
      <c r="Q88" s="2264"/>
    </row>
    <row r="89" spans="2:17" s="745" customFormat="1">
      <c r="B89" s="2264"/>
      <c r="C89" s="2264"/>
      <c r="D89" s="2264"/>
      <c r="E89" s="2264"/>
      <c r="F89" s="2264"/>
      <c r="G89" s="2264"/>
      <c r="H89" s="2264"/>
      <c r="I89" s="2264"/>
      <c r="J89" s="2264"/>
      <c r="K89" s="2264"/>
      <c r="L89" s="2264"/>
      <c r="M89" s="2264"/>
      <c r="N89" s="2264"/>
      <c r="O89" s="2264"/>
      <c r="P89" s="2264"/>
      <c r="Q89" s="2264"/>
    </row>
    <row r="90" spans="2:17" s="745" customFormat="1">
      <c r="B90" s="2264"/>
      <c r="C90" s="2264"/>
      <c r="D90" s="2264"/>
      <c r="E90" s="2264"/>
      <c r="F90" s="2264"/>
      <c r="G90" s="2264"/>
      <c r="H90" s="2264"/>
      <c r="I90" s="2264"/>
      <c r="J90" s="2264"/>
      <c r="K90" s="2264"/>
      <c r="L90" s="2264"/>
      <c r="M90" s="2264"/>
      <c r="N90" s="2264"/>
      <c r="O90" s="2264"/>
      <c r="P90" s="2264"/>
      <c r="Q90" s="2264"/>
    </row>
    <row r="91" spans="2:17" s="745" customFormat="1">
      <c r="B91" s="2264"/>
      <c r="C91" s="2264"/>
      <c r="D91" s="2264"/>
      <c r="E91" s="2264"/>
      <c r="F91" s="2264"/>
      <c r="G91" s="2264"/>
      <c r="H91" s="2264"/>
      <c r="I91" s="2264"/>
      <c r="J91" s="2264"/>
      <c r="K91" s="2264"/>
      <c r="L91" s="2264"/>
      <c r="M91" s="2264"/>
      <c r="N91" s="2264"/>
      <c r="O91" s="2264"/>
      <c r="P91" s="2264"/>
      <c r="Q91" s="2264"/>
    </row>
    <row r="92" spans="2:17" s="745" customFormat="1">
      <c r="B92" s="2264"/>
      <c r="C92" s="2264"/>
      <c r="D92" s="2264"/>
      <c r="E92" s="2264"/>
      <c r="F92" s="2264"/>
      <c r="G92" s="2264"/>
      <c r="H92" s="2264"/>
      <c r="I92" s="2264"/>
      <c r="J92" s="2264"/>
      <c r="K92" s="2264"/>
      <c r="L92" s="2264"/>
      <c r="M92" s="2264"/>
      <c r="N92" s="2264"/>
      <c r="O92" s="2264"/>
      <c r="P92" s="2264"/>
      <c r="Q92" s="2264"/>
    </row>
    <row r="93" spans="2:17" s="745" customFormat="1">
      <c r="B93" s="2264"/>
      <c r="C93" s="2264"/>
      <c r="D93" s="2264"/>
      <c r="E93" s="2264"/>
      <c r="F93" s="2264"/>
      <c r="G93" s="2264"/>
      <c r="H93" s="2264"/>
      <c r="I93" s="2264"/>
      <c r="J93" s="2264"/>
      <c r="K93" s="2264"/>
      <c r="L93" s="2264"/>
      <c r="M93" s="2264"/>
      <c r="N93" s="2264"/>
      <c r="O93" s="2264"/>
      <c r="P93" s="2264"/>
      <c r="Q93" s="2264"/>
    </row>
    <row r="94" spans="2:17" s="745" customFormat="1">
      <c r="B94" s="2264"/>
      <c r="C94" s="2264"/>
      <c r="D94" s="2264"/>
      <c r="E94" s="2264"/>
      <c r="F94" s="2264"/>
      <c r="G94" s="2264"/>
      <c r="H94" s="2264"/>
      <c r="I94" s="2264"/>
      <c r="J94" s="2264"/>
      <c r="K94" s="2264"/>
      <c r="L94" s="2264"/>
      <c r="M94" s="2264"/>
      <c r="N94" s="2264"/>
      <c r="O94" s="2264"/>
      <c r="P94" s="2264"/>
      <c r="Q94" s="2264"/>
    </row>
    <row r="95" spans="2:17" s="745" customFormat="1">
      <c r="B95" s="2264"/>
      <c r="C95" s="2264"/>
      <c r="D95" s="2264"/>
      <c r="E95" s="2264"/>
      <c r="F95" s="2264"/>
      <c r="G95" s="2264"/>
      <c r="H95" s="2264"/>
      <c r="I95" s="2264"/>
      <c r="J95" s="2264"/>
      <c r="K95" s="2264"/>
      <c r="L95" s="2264"/>
      <c r="M95" s="2264"/>
      <c r="N95" s="2264"/>
      <c r="O95" s="2264"/>
      <c r="P95" s="2264"/>
      <c r="Q95" s="2264"/>
    </row>
    <row r="96" spans="2:17" s="745" customFormat="1">
      <c r="B96" s="2264"/>
      <c r="C96" s="2264"/>
      <c r="D96" s="2264"/>
      <c r="E96" s="2264"/>
      <c r="F96" s="2264"/>
      <c r="G96" s="2264"/>
      <c r="H96" s="2264"/>
      <c r="I96" s="2264"/>
      <c r="J96" s="2264"/>
      <c r="K96" s="2264"/>
      <c r="L96" s="2264"/>
      <c r="M96" s="2264"/>
      <c r="N96" s="2264"/>
      <c r="O96" s="2264"/>
      <c r="P96" s="2264"/>
      <c r="Q96" s="2264"/>
    </row>
    <row r="97" spans="2:17" s="745" customFormat="1">
      <c r="B97" s="2264"/>
      <c r="C97" s="2264"/>
      <c r="D97" s="2264"/>
      <c r="E97" s="2264"/>
      <c r="F97" s="2264"/>
      <c r="G97" s="2264"/>
      <c r="H97" s="2264"/>
      <c r="I97" s="2264"/>
      <c r="J97" s="2264"/>
      <c r="K97" s="2264"/>
      <c r="L97" s="2264"/>
      <c r="M97" s="2264"/>
      <c r="N97" s="2264"/>
      <c r="O97" s="2264"/>
      <c r="P97" s="2264"/>
      <c r="Q97" s="2264"/>
    </row>
    <row r="98" spans="2:17" s="745" customFormat="1">
      <c r="B98" s="2264"/>
      <c r="C98" s="2264"/>
      <c r="D98" s="2264"/>
      <c r="E98" s="2264"/>
      <c r="F98" s="2264"/>
      <c r="G98" s="2264"/>
      <c r="H98" s="2264"/>
      <c r="I98" s="2264"/>
      <c r="J98" s="2264"/>
      <c r="K98" s="2264"/>
      <c r="L98" s="2264"/>
      <c r="M98" s="2264"/>
      <c r="N98" s="2264"/>
      <c r="O98" s="2264"/>
      <c r="P98" s="2264"/>
      <c r="Q98" s="2264"/>
    </row>
    <row r="99" spans="2:17" s="745" customFormat="1">
      <c r="B99" s="2264"/>
      <c r="C99" s="2264"/>
      <c r="D99" s="2264"/>
      <c r="E99" s="2264"/>
      <c r="F99" s="2264"/>
      <c r="G99" s="2264"/>
      <c r="H99" s="2264"/>
      <c r="I99" s="2264"/>
      <c r="J99" s="2264"/>
      <c r="K99" s="2264"/>
      <c r="L99" s="2264"/>
      <c r="M99" s="2264"/>
      <c r="N99" s="2264"/>
      <c r="O99" s="2264"/>
      <c r="P99" s="2264"/>
      <c r="Q99" s="2264"/>
    </row>
    <row r="100" spans="2:17" s="745" customFormat="1">
      <c r="B100" s="2264"/>
      <c r="C100" s="2264"/>
      <c r="D100" s="2264"/>
      <c r="E100" s="2264"/>
      <c r="F100" s="2264"/>
      <c r="G100" s="2264"/>
      <c r="H100" s="2264"/>
      <c r="I100" s="2264"/>
      <c r="J100" s="2264"/>
      <c r="K100" s="2264"/>
      <c r="L100" s="2264"/>
      <c r="M100" s="2264"/>
      <c r="N100" s="2264"/>
      <c r="O100" s="2264"/>
      <c r="P100" s="2264"/>
      <c r="Q100" s="2264"/>
    </row>
    <row r="101" spans="2:17" s="745" customFormat="1">
      <c r="B101" s="2264"/>
      <c r="C101" s="2264"/>
      <c r="D101" s="2264"/>
      <c r="E101" s="2264"/>
      <c r="F101" s="2264"/>
      <c r="G101" s="2264"/>
      <c r="H101" s="2264"/>
      <c r="I101" s="2264"/>
      <c r="J101" s="2264"/>
      <c r="K101" s="2264"/>
      <c r="L101" s="2264"/>
      <c r="M101" s="2264"/>
      <c r="N101" s="2264"/>
      <c r="O101" s="2264"/>
      <c r="P101" s="2264"/>
      <c r="Q101" s="2264"/>
    </row>
    <row r="102" spans="2:17" s="745" customFormat="1">
      <c r="B102" s="2264"/>
      <c r="C102" s="2264"/>
      <c r="D102" s="2264"/>
      <c r="E102" s="2264"/>
      <c r="F102" s="2264"/>
      <c r="G102" s="2264"/>
      <c r="H102" s="2264"/>
      <c r="I102" s="2264"/>
      <c r="J102" s="2264"/>
      <c r="K102" s="2264"/>
      <c r="L102" s="2264"/>
      <c r="M102" s="2264"/>
      <c r="N102" s="2264"/>
      <c r="O102" s="2264"/>
      <c r="P102" s="2264"/>
      <c r="Q102" s="2264"/>
    </row>
    <row r="103" spans="2:17" s="745" customFormat="1">
      <c r="B103" s="2264"/>
      <c r="C103" s="2264"/>
      <c r="D103" s="2264"/>
      <c r="E103" s="2264"/>
      <c r="F103" s="2264"/>
      <c r="G103" s="2264"/>
      <c r="H103" s="2264"/>
      <c r="I103" s="2264"/>
      <c r="J103" s="2264"/>
      <c r="K103" s="2264"/>
      <c r="L103" s="2264"/>
      <c r="M103" s="2264"/>
      <c r="N103" s="2264"/>
      <c r="O103" s="2264"/>
      <c r="P103" s="2264"/>
      <c r="Q103" s="2264"/>
    </row>
    <row r="104" spans="2:17" s="745" customFormat="1">
      <c r="B104" s="2264"/>
      <c r="C104" s="2264"/>
      <c r="D104" s="2264"/>
      <c r="E104" s="2264"/>
      <c r="F104" s="2264"/>
      <c r="G104" s="2264"/>
      <c r="H104" s="2264"/>
      <c r="I104" s="2264"/>
      <c r="J104" s="2264"/>
      <c r="K104" s="2264"/>
      <c r="L104" s="2264"/>
      <c r="M104" s="2264"/>
      <c r="N104" s="2264"/>
      <c r="O104" s="2264"/>
      <c r="P104" s="2264"/>
      <c r="Q104" s="2264"/>
    </row>
    <row r="105" spans="2:17" s="745" customFormat="1">
      <c r="B105" s="2264"/>
      <c r="C105" s="2264"/>
      <c r="D105" s="2264"/>
      <c r="E105" s="2264"/>
      <c r="F105" s="2264"/>
      <c r="G105" s="2264"/>
      <c r="H105" s="2264"/>
      <c r="I105" s="2264"/>
      <c r="J105" s="2264"/>
      <c r="K105" s="2264"/>
      <c r="L105" s="2264"/>
      <c r="M105" s="2264"/>
      <c r="N105" s="2264"/>
      <c r="O105" s="2264"/>
      <c r="P105" s="2264"/>
      <c r="Q105" s="2264"/>
    </row>
    <row r="106" spans="2:17" s="745" customFormat="1">
      <c r="B106" s="2264"/>
      <c r="C106" s="2264"/>
      <c r="D106" s="2264"/>
      <c r="E106" s="2264"/>
      <c r="F106" s="2264"/>
      <c r="G106" s="2264"/>
      <c r="H106" s="2264"/>
      <c r="I106" s="2264"/>
      <c r="J106" s="2264"/>
      <c r="K106" s="2264"/>
      <c r="L106" s="2264"/>
      <c r="M106" s="2264"/>
      <c r="N106" s="2264"/>
      <c r="O106" s="2264"/>
      <c r="P106" s="2264"/>
      <c r="Q106" s="2264"/>
    </row>
    <row r="107" spans="2:17" s="745" customFormat="1">
      <c r="B107" s="2264"/>
      <c r="C107" s="2264"/>
      <c r="D107" s="2264"/>
      <c r="E107" s="2264"/>
      <c r="F107" s="2264"/>
      <c r="G107" s="2264"/>
      <c r="H107" s="2264"/>
      <c r="I107" s="2264"/>
      <c r="J107" s="2264"/>
      <c r="K107" s="2264"/>
      <c r="L107" s="2264"/>
      <c r="M107" s="2264"/>
      <c r="N107" s="2264"/>
      <c r="O107" s="2264"/>
      <c r="P107" s="2264"/>
      <c r="Q107" s="2264"/>
    </row>
    <row r="108" spans="2:17" s="745" customFormat="1">
      <c r="B108" s="2264"/>
      <c r="C108" s="2264"/>
      <c r="D108" s="2264"/>
      <c r="E108" s="2264"/>
      <c r="F108" s="2264"/>
      <c r="G108" s="2264"/>
      <c r="H108" s="2264"/>
      <c r="I108" s="2264"/>
      <c r="J108" s="2264"/>
      <c r="K108" s="2264"/>
      <c r="L108" s="2264"/>
      <c r="M108" s="2264"/>
      <c r="N108" s="2264"/>
      <c r="O108" s="2264"/>
      <c r="P108" s="2264"/>
      <c r="Q108" s="2264"/>
    </row>
    <row r="109" spans="2:17" s="745" customFormat="1">
      <c r="B109" s="2264"/>
      <c r="C109" s="2264"/>
      <c r="D109" s="2264"/>
      <c r="E109" s="2264"/>
      <c r="F109" s="2264"/>
      <c r="G109" s="2264"/>
      <c r="H109" s="2264"/>
      <c r="I109" s="2264"/>
      <c r="J109" s="2264"/>
      <c r="K109" s="2264"/>
      <c r="L109" s="2264"/>
      <c r="M109" s="2264"/>
      <c r="N109" s="2264"/>
      <c r="O109" s="2264"/>
      <c r="P109" s="2264"/>
      <c r="Q109" s="2264"/>
    </row>
    <row r="110" spans="2:17" s="745" customFormat="1">
      <c r="B110" s="2264"/>
      <c r="C110" s="2264"/>
      <c r="D110" s="2264"/>
      <c r="E110" s="2264"/>
      <c r="F110" s="2264"/>
      <c r="G110" s="2264"/>
      <c r="H110" s="2264"/>
      <c r="I110" s="2264"/>
      <c r="J110" s="2264"/>
      <c r="K110" s="2264"/>
      <c r="L110" s="2264"/>
      <c r="M110" s="2264"/>
      <c r="N110" s="2264"/>
      <c r="O110" s="2264"/>
      <c r="P110" s="2264"/>
      <c r="Q110" s="2264"/>
    </row>
    <row r="111" spans="2:17" s="745" customFormat="1">
      <c r="B111" s="2264"/>
      <c r="C111" s="2264"/>
      <c r="D111" s="2264"/>
      <c r="E111" s="2264"/>
      <c r="F111" s="2264"/>
      <c r="G111" s="2264"/>
      <c r="H111" s="2264"/>
      <c r="I111" s="2264"/>
      <c r="J111" s="2264"/>
      <c r="K111" s="2264"/>
      <c r="L111" s="2264"/>
      <c r="M111" s="2264"/>
      <c r="N111" s="2264"/>
      <c r="O111" s="2264"/>
      <c r="P111" s="2264"/>
      <c r="Q111" s="2264"/>
    </row>
    <row r="112" spans="2:17" s="745" customFormat="1">
      <c r="B112" s="2264"/>
      <c r="C112" s="2264"/>
      <c r="D112" s="2264"/>
      <c r="E112" s="2264"/>
      <c r="F112" s="2264"/>
      <c r="G112" s="2264"/>
      <c r="H112" s="2264"/>
      <c r="I112" s="2264"/>
      <c r="J112" s="2264"/>
      <c r="K112" s="2264"/>
      <c r="L112" s="2264"/>
      <c r="M112" s="2264"/>
      <c r="N112" s="2264"/>
      <c r="O112" s="2264"/>
      <c r="P112" s="2264"/>
      <c r="Q112" s="2264"/>
    </row>
    <row r="113" spans="2:17" s="745" customFormat="1">
      <c r="B113" s="2264"/>
      <c r="C113" s="2264"/>
      <c r="D113" s="2264"/>
      <c r="E113" s="2264"/>
      <c r="F113" s="2264"/>
      <c r="G113" s="2264"/>
      <c r="H113" s="2264"/>
      <c r="I113" s="2264"/>
      <c r="J113" s="2264"/>
      <c r="K113" s="2264"/>
      <c r="L113" s="2264"/>
      <c r="M113" s="2264"/>
      <c r="N113" s="2264"/>
      <c r="O113" s="2264"/>
      <c r="P113" s="2264"/>
      <c r="Q113" s="2264"/>
    </row>
    <row r="114" spans="2:17" s="745" customFormat="1">
      <c r="B114" s="2264"/>
      <c r="C114" s="2264"/>
      <c r="D114" s="2264"/>
      <c r="E114" s="2264"/>
      <c r="F114" s="2264"/>
      <c r="G114" s="2264"/>
      <c r="H114" s="2264"/>
      <c r="I114" s="2264"/>
      <c r="J114" s="2264"/>
      <c r="K114" s="2264"/>
      <c r="L114" s="2264"/>
      <c r="M114" s="2264"/>
      <c r="N114" s="2264"/>
      <c r="O114" s="2264"/>
      <c r="P114" s="2264"/>
      <c r="Q114" s="2264"/>
    </row>
    <row r="115" spans="2:17" s="745" customFormat="1">
      <c r="B115" s="2264"/>
      <c r="C115" s="2264"/>
      <c r="D115" s="2264"/>
      <c r="E115" s="2264"/>
      <c r="F115" s="2264"/>
      <c r="G115" s="2264"/>
      <c r="H115" s="2264"/>
      <c r="I115" s="2264"/>
      <c r="J115" s="2264"/>
      <c r="K115" s="2264"/>
      <c r="L115" s="2264"/>
      <c r="M115" s="2264"/>
      <c r="N115" s="2264"/>
      <c r="O115" s="2264"/>
      <c r="P115" s="2264"/>
      <c r="Q115" s="2264"/>
    </row>
    <row r="116" spans="2:17" s="745" customFormat="1">
      <c r="B116" s="2264"/>
      <c r="C116" s="2264"/>
      <c r="D116" s="2264"/>
      <c r="E116" s="2264"/>
      <c r="F116" s="2264"/>
      <c r="G116" s="2264"/>
      <c r="H116" s="2264"/>
      <c r="I116" s="2264"/>
      <c r="J116" s="2264"/>
      <c r="K116" s="2264"/>
      <c r="L116" s="2264"/>
      <c r="M116" s="2264"/>
      <c r="N116" s="2264"/>
      <c r="O116" s="2264"/>
      <c r="P116" s="2264"/>
      <c r="Q116" s="2264"/>
    </row>
    <row r="117" spans="2:17" s="745" customFormat="1">
      <c r="B117" s="2264"/>
      <c r="C117" s="2264"/>
      <c r="D117" s="2264"/>
      <c r="E117" s="2264"/>
      <c r="F117" s="2264"/>
      <c r="G117" s="2264"/>
      <c r="H117" s="2264"/>
      <c r="I117" s="2264"/>
      <c r="J117" s="2264"/>
      <c r="K117" s="2264"/>
      <c r="L117" s="2264"/>
      <c r="M117" s="2264"/>
      <c r="N117" s="2264"/>
      <c r="O117" s="2264"/>
      <c r="P117" s="2264"/>
      <c r="Q117" s="2264"/>
    </row>
    <row r="118" spans="2:17" s="745" customFormat="1">
      <c r="B118" s="2264"/>
      <c r="C118" s="2264"/>
      <c r="D118" s="2264"/>
      <c r="E118" s="2264"/>
      <c r="F118" s="2264"/>
      <c r="G118" s="2264"/>
      <c r="H118" s="2264"/>
      <c r="I118" s="2264"/>
      <c r="J118" s="2264"/>
      <c r="K118" s="2264"/>
      <c r="L118" s="2264"/>
      <c r="M118" s="2264"/>
      <c r="N118" s="2264"/>
      <c r="O118" s="2264"/>
      <c r="P118" s="2264"/>
      <c r="Q118" s="2264"/>
    </row>
    <row r="119" spans="2:17" s="745" customFormat="1">
      <c r="B119" s="2264"/>
      <c r="C119" s="2264"/>
      <c r="D119" s="2264"/>
      <c r="E119" s="2264"/>
      <c r="F119" s="2264"/>
      <c r="G119" s="2264"/>
      <c r="H119" s="2264"/>
      <c r="I119" s="2264"/>
      <c r="J119" s="2264"/>
      <c r="K119" s="2264"/>
      <c r="L119" s="2264"/>
      <c r="M119" s="2264"/>
      <c r="N119" s="2264"/>
      <c r="O119" s="2264"/>
      <c r="P119" s="2264"/>
      <c r="Q119" s="2264"/>
    </row>
    <row r="120" spans="2:17" s="745" customFormat="1">
      <c r="B120" s="2264"/>
      <c r="C120" s="2264"/>
      <c r="D120" s="2264"/>
      <c r="E120" s="2264"/>
      <c r="F120" s="2264"/>
      <c r="G120" s="2264"/>
      <c r="H120" s="2264"/>
      <c r="I120" s="2264"/>
      <c r="J120" s="2264"/>
      <c r="K120" s="2264"/>
      <c r="L120" s="2264"/>
      <c r="M120" s="2264"/>
      <c r="N120" s="2264"/>
      <c r="O120" s="2264"/>
      <c r="P120" s="2264"/>
      <c r="Q120" s="2264"/>
    </row>
    <row r="121" spans="2:17" s="745" customFormat="1">
      <c r="B121" s="2264"/>
      <c r="C121" s="2264"/>
      <c r="D121" s="2264"/>
      <c r="E121" s="2264"/>
      <c r="F121" s="2264"/>
      <c r="G121" s="2264"/>
      <c r="H121" s="2264"/>
      <c r="I121" s="2264"/>
      <c r="J121" s="2264"/>
      <c r="K121" s="2264"/>
      <c r="L121" s="2264"/>
      <c r="M121" s="2264"/>
      <c r="N121" s="2264"/>
      <c r="O121" s="2264"/>
      <c r="P121" s="2264"/>
      <c r="Q121" s="2264"/>
    </row>
    <row r="122" spans="2:17" s="745" customFormat="1">
      <c r="B122" s="2264"/>
      <c r="C122" s="2264"/>
      <c r="D122" s="2264"/>
      <c r="E122" s="2264"/>
      <c r="F122" s="2264"/>
      <c r="G122" s="2264"/>
      <c r="H122" s="2264"/>
      <c r="I122" s="2264"/>
      <c r="J122" s="2264"/>
      <c r="K122" s="2264"/>
      <c r="L122" s="2264"/>
      <c r="M122" s="2264"/>
      <c r="N122" s="2264"/>
      <c r="O122" s="2264"/>
      <c r="P122" s="2264"/>
      <c r="Q122" s="2264"/>
    </row>
    <row r="123" spans="2:17" s="745" customFormat="1">
      <c r="B123" s="2264"/>
      <c r="C123" s="2264"/>
      <c r="D123" s="2264"/>
      <c r="E123" s="2264"/>
      <c r="F123" s="2264"/>
      <c r="G123" s="2264"/>
      <c r="H123" s="2264"/>
      <c r="I123" s="2264"/>
      <c r="J123" s="2264"/>
      <c r="K123" s="2264"/>
      <c r="L123" s="2264"/>
      <c r="M123" s="2264"/>
      <c r="N123" s="2264"/>
      <c r="O123" s="2264"/>
      <c r="P123" s="2264"/>
      <c r="Q123" s="2264"/>
    </row>
    <row r="124" spans="2:17" s="745" customFormat="1">
      <c r="B124" s="2264"/>
      <c r="C124" s="2264"/>
      <c r="D124" s="2264"/>
      <c r="E124" s="2264"/>
      <c r="F124" s="2264"/>
      <c r="G124" s="2264"/>
      <c r="H124" s="2264"/>
      <c r="I124" s="2264"/>
      <c r="J124" s="2264"/>
      <c r="K124" s="2264"/>
      <c r="L124" s="2264"/>
      <c r="M124" s="2264"/>
      <c r="N124" s="2264"/>
      <c r="O124" s="2264"/>
      <c r="P124" s="2264"/>
      <c r="Q124" s="2264"/>
    </row>
    <row r="125" spans="2:17" s="745" customFormat="1">
      <c r="B125" s="2264"/>
      <c r="C125" s="2264"/>
      <c r="D125" s="2264"/>
      <c r="E125" s="2264"/>
      <c r="F125" s="2264"/>
      <c r="G125" s="2264"/>
      <c r="H125" s="2264"/>
      <c r="I125" s="2264"/>
      <c r="J125" s="2264"/>
      <c r="K125" s="2264"/>
      <c r="L125" s="2264"/>
      <c r="M125" s="2264"/>
      <c r="N125" s="2264"/>
      <c r="O125" s="2264"/>
      <c r="P125" s="2264"/>
      <c r="Q125" s="2264"/>
    </row>
    <row r="126" spans="2:17" s="745" customFormat="1">
      <c r="B126" s="2264"/>
      <c r="C126" s="2264"/>
      <c r="D126" s="2264"/>
      <c r="E126" s="2264"/>
      <c r="F126" s="2264"/>
      <c r="G126" s="2264"/>
      <c r="H126" s="2264"/>
      <c r="I126" s="2264"/>
      <c r="J126" s="2264"/>
      <c r="K126" s="2264"/>
      <c r="L126" s="2264"/>
      <c r="M126" s="2264"/>
      <c r="N126" s="2264"/>
      <c r="O126" s="2264"/>
      <c r="P126" s="2264"/>
      <c r="Q126" s="2264"/>
    </row>
    <row r="127" spans="2:17" s="745" customFormat="1">
      <c r="B127" s="2264"/>
      <c r="C127" s="2264"/>
      <c r="D127" s="2264"/>
      <c r="E127" s="2264"/>
      <c r="F127" s="2264"/>
      <c r="G127" s="2264"/>
      <c r="H127" s="2264"/>
      <c r="I127" s="2264"/>
      <c r="J127" s="2264"/>
      <c r="K127" s="2264"/>
      <c r="L127" s="2264"/>
      <c r="M127" s="2264"/>
      <c r="N127" s="2264"/>
      <c r="O127" s="2264"/>
      <c r="P127" s="2264"/>
      <c r="Q127" s="2264"/>
    </row>
    <row r="128" spans="2:17" s="745" customFormat="1">
      <c r="B128" s="2264"/>
      <c r="C128" s="2264"/>
      <c r="D128" s="2264"/>
      <c r="E128" s="2264"/>
      <c r="F128" s="2264"/>
      <c r="G128" s="2264"/>
      <c r="H128" s="2264"/>
      <c r="I128" s="2264"/>
      <c r="J128" s="2264"/>
      <c r="K128" s="2264"/>
      <c r="L128" s="2264"/>
      <c r="M128" s="2264"/>
      <c r="N128" s="2264"/>
      <c r="O128" s="2264"/>
      <c r="P128" s="2264"/>
      <c r="Q128" s="2264"/>
    </row>
    <row r="129" spans="2:17" s="745" customFormat="1">
      <c r="B129" s="2264"/>
      <c r="C129" s="2264"/>
      <c r="D129" s="2264"/>
      <c r="E129" s="2264"/>
      <c r="F129" s="2264"/>
      <c r="G129" s="2264"/>
      <c r="H129" s="2264"/>
      <c r="I129" s="2264"/>
      <c r="J129" s="2264"/>
      <c r="K129" s="2264"/>
      <c r="L129" s="2264"/>
      <c r="M129" s="2264"/>
      <c r="N129" s="2264"/>
      <c r="O129" s="2264"/>
      <c r="P129" s="2264"/>
      <c r="Q129" s="2264"/>
    </row>
    <row r="130" spans="2:17" s="745" customFormat="1">
      <c r="B130" s="2264"/>
      <c r="C130" s="2264"/>
      <c r="D130" s="2264"/>
      <c r="E130" s="2264"/>
      <c r="F130" s="2264"/>
      <c r="G130" s="2264"/>
      <c r="H130" s="2264"/>
      <c r="I130" s="2264"/>
      <c r="J130" s="2264"/>
      <c r="K130" s="2264"/>
      <c r="L130" s="2264"/>
      <c r="M130" s="2264"/>
      <c r="N130" s="2264"/>
      <c r="O130" s="2264"/>
      <c r="P130" s="2264"/>
      <c r="Q130" s="2264"/>
    </row>
    <row r="131" spans="2:17" s="745" customFormat="1">
      <c r="B131" s="2264"/>
      <c r="C131" s="2264"/>
      <c r="D131" s="2264"/>
      <c r="E131" s="2264"/>
      <c r="F131" s="2264"/>
      <c r="G131" s="2264"/>
      <c r="H131" s="2264"/>
      <c r="I131" s="2264"/>
      <c r="J131" s="2264"/>
      <c r="K131" s="2264"/>
      <c r="L131" s="2264"/>
      <c r="M131" s="2264"/>
      <c r="N131" s="2264"/>
      <c r="O131" s="2264"/>
      <c r="P131" s="2264"/>
      <c r="Q131" s="2264"/>
    </row>
    <row r="132" spans="2:17" s="745" customFormat="1">
      <c r="B132" s="2264"/>
      <c r="C132" s="2264"/>
      <c r="D132" s="2264"/>
      <c r="E132" s="2264"/>
      <c r="F132" s="2264"/>
      <c r="G132" s="2264"/>
      <c r="H132" s="2264"/>
      <c r="I132" s="2264"/>
      <c r="J132" s="2264"/>
      <c r="K132" s="2264"/>
      <c r="L132" s="2264"/>
      <c r="M132" s="2264"/>
      <c r="N132" s="2264"/>
      <c r="O132" s="2264"/>
      <c r="P132" s="2264"/>
      <c r="Q132" s="2264"/>
    </row>
    <row r="133" spans="2:17" s="745" customFormat="1">
      <c r="B133" s="2264"/>
      <c r="C133" s="2264"/>
      <c r="D133" s="2264"/>
      <c r="E133" s="2264"/>
      <c r="F133" s="2264"/>
      <c r="G133" s="2264"/>
      <c r="H133" s="2264"/>
      <c r="I133" s="2264"/>
      <c r="J133" s="2264"/>
      <c r="K133" s="2264"/>
      <c r="L133" s="2264"/>
      <c r="M133" s="2264"/>
      <c r="N133" s="2264"/>
      <c r="O133" s="2264"/>
      <c r="P133" s="2264"/>
      <c r="Q133" s="2264"/>
    </row>
    <row r="134" spans="2:17" s="745" customFormat="1">
      <c r="B134" s="2264"/>
      <c r="C134" s="2264"/>
      <c r="D134" s="2264"/>
      <c r="E134" s="2264"/>
      <c r="F134" s="2264"/>
      <c r="G134" s="2264"/>
      <c r="H134" s="2264"/>
      <c r="I134" s="2264"/>
      <c r="J134" s="2264"/>
      <c r="K134" s="2264"/>
      <c r="L134" s="2264"/>
      <c r="M134" s="2264"/>
      <c r="N134" s="2264"/>
      <c r="O134" s="2264"/>
      <c r="P134" s="2264"/>
      <c r="Q134" s="2264"/>
    </row>
    <row r="135" spans="2:17" s="745" customFormat="1">
      <c r="B135" s="2264"/>
      <c r="C135" s="2264"/>
      <c r="D135" s="2264"/>
      <c r="E135" s="2264"/>
      <c r="F135" s="2264"/>
      <c r="G135" s="2264"/>
      <c r="H135" s="2264"/>
      <c r="I135" s="2264"/>
      <c r="J135" s="2264"/>
      <c r="K135" s="2264"/>
      <c r="L135" s="2264"/>
      <c r="M135" s="2264"/>
      <c r="N135" s="2264"/>
      <c r="O135" s="2264"/>
      <c r="P135" s="2264"/>
      <c r="Q135" s="2264"/>
    </row>
    <row r="136" spans="2:17" s="745" customFormat="1">
      <c r="B136" s="2264"/>
      <c r="C136" s="2264"/>
      <c r="D136" s="2264"/>
      <c r="E136" s="2264"/>
      <c r="F136" s="2264"/>
      <c r="G136" s="2264"/>
      <c r="H136" s="2264"/>
      <c r="I136" s="2264"/>
      <c r="J136" s="2264"/>
      <c r="K136" s="2264"/>
      <c r="L136" s="2264"/>
      <c r="M136" s="2264"/>
      <c r="N136" s="2264"/>
      <c r="O136" s="2264"/>
      <c r="P136" s="2264"/>
      <c r="Q136" s="2264"/>
    </row>
    <row r="137" spans="2:17" s="745" customFormat="1">
      <c r="B137" s="2264"/>
      <c r="C137" s="2264"/>
      <c r="D137" s="2264"/>
      <c r="E137" s="2264"/>
      <c r="F137" s="2264"/>
      <c r="G137" s="2264"/>
      <c r="H137" s="2264"/>
      <c r="I137" s="2264"/>
      <c r="J137" s="2264"/>
      <c r="K137" s="2264"/>
      <c r="L137" s="2264"/>
      <c r="M137" s="2264"/>
      <c r="N137" s="2264"/>
      <c r="O137" s="2264"/>
      <c r="P137" s="2264"/>
      <c r="Q137" s="2264"/>
    </row>
    <row r="138" spans="2:17" s="745" customFormat="1">
      <c r="B138" s="2264"/>
      <c r="C138" s="2264"/>
      <c r="D138" s="2264"/>
      <c r="E138" s="2264"/>
      <c r="F138" s="2264"/>
      <c r="G138" s="2264"/>
      <c r="H138" s="2264"/>
      <c r="I138" s="2264"/>
      <c r="J138" s="2264"/>
      <c r="K138" s="2264"/>
      <c r="L138" s="2264"/>
      <c r="M138" s="2264"/>
      <c r="N138" s="2264"/>
      <c r="O138" s="2264"/>
      <c r="P138" s="2264"/>
      <c r="Q138" s="2264"/>
    </row>
    <row r="139" spans="2:17" s="745" customFormat="1">
      <c r="B139" s="2264"/>
      <c r="C139" s="2264"/>
      <c r="D139" s="2264"/>
      <c r="E139" s="2264"/>
      <c r="F139" s="2264"/>
      <c r="G139" s="2264"/>
      <c r="H139" s="2264"/>
      <c r="I139" s="2264"/>
      <c r="J139" s="2264"/>
      <c r="K139" s="2264"/>
      <c r="L139" s="2264"/>
      <c r="M139" s="2264"/>
      <c r="N139" s="2264"/>
      <c r="O139" s="2264"/>
      <c r="P139" s="2264"/>
      <c r="Q139" s="2264"/>
    </row>
    <row r="140" spans="2:17" s="745" customFormat="1">
      <c r="B140" s="2264"/>
      <c r="C140" s="2264"/>
      <c r="D140" s="2264"/>
      <c r="E140" s="2264"/>
      <c r="F140" s="2264"/>
      <c r="G140" s="2264"/>
      <c r="H140" s="2264"/>
      <c r="I140" s="2264"/>
      <c r="J140" s="2264"/>
      <c r="K140" s="2264"/>
      <c r="L140" s="2264"/>
      <c r="M140" s="2264"/>
      <c r="N140" s="2264"/>
      <c r="O140" s="2264"/>
      <c r="P140" s="2264"/>
      <c r="Q140" s="2264"/>
    </row>
    <row r="141" spans="2:17" s="745" customFormat="1">
      <c r="B141" s="2264"/>
      <c r="C141" s="2264"/>
      <c r="D141" s="2264"/>
      <c r="E141" s="2264"/>
      <c r="F141" s="2264"/>
      <c r="G141" s="2264"/>
      <c r="H141" s="2264"/>
      <c r="I141" s="2264"/>
      <c r="J141" s="2264"/>
      <c r="K141" s="2264"/>
      <c r="L141" s="2264"/>
      <c r="M141" s="2264"/>
      <c r="N141" s="2264"/>
      <c r="O141" s="2264"/>
      <c r="P141" s="2264"/>
      <c r="Q141" s="2264"/>
    </row>
    <row r="142" spans="2:17" s="745" customFormat="1">
      <c r="B142" s="2264"/>
      <c r="C142" s="2264"/>
      <c r="D142" s="2264"/>
      <c r="E142" s="2264"/>
      <c r="F142" s="2264"/>
      <c r="G142" s="2264"/>
      <c r="H142" s="2264"/>
      <c r="I142" s="2264"/>
      <c r="J142" s="2264"/>
      <c r="K142" s="2264"/>
      <c r="L142" s="2264"/>
      <c r="M142" s="2264"/>
      <c r="N142" s="2264"/>
      <c r="O142" s="2264"/>
      <c r="P142" s="2264"/>
      <c r="Q142" s="2264"/>
    </row>
    <row r="143" spans="2:17" s="745" customFormat="1">
      <c r="B143" s="2264"/>
      <c r="C143" s="2264"/>
      <c r="D143" s="2264"/>
      <c r="E143" s="2264"/>
      <c r="F143" s="2264"/>
      <c r="G143" s="2264"/>
      <c r="H143" s="2264"/>
      <c r="I143" s="2264"/>
      <c r="J143" s="2264"/>
      <c r="K143" s="2264"/>
      <c r="L143" s="2264"/>
      <c r="M143" s="2264"/>
      <c r="N143" s="2264"/>
      <c r="O143" s="2264"/>
      <c r="P143" s="2264"/>
      <c r="Q143" s="2264"/>
    </row>
    <row r="144" spans="2:17" s="745" customFormat="1">
      <c r="B144" s="2264"/>
      <c r="C144" s="2264"/>
      <c r="D144" s="2264"/>
      <c r="E144" s="2264"/>
      <c r="F144" s="2264"/>
      <c r="G144" s="2264"/>
      <c r="H144" s="2264"/>
      <c r="I144" s="2264"/>
      <c r="J144" s="2264"/>
      <c r="K144" s="2264"/>
      <c r="L144" s="2264"/>
      <c r="M144" s="2264"/>
      <c r="N144" s="2264"/>
      <c r="O144" s="2264"/>
      <c r="P144" s="2264"/>
      <c r="Q144" s="2264"/>
    </row>
    <row r="145" spans="2:17" s="745" customFormat="1">
      <c r="B145" s="2264"/>
      <c r="C145" s="2264"/>
      <c r="D145" s="2264"/>
      <c r="E145" s="2264"/>
      <c r="F145" s="2264"/>
      <c r="G145" s="2264"/>
      <c r="H145" s="2264"/>
      <c r="I145" s="2264"/>
      <c r="J145" s="2264"/>
      <c r="K145" s="2264"/>
      <c r="L145" s="2264"/>
      <c r="M145" s="2264"/>
      <c r="N145" s="2264"/>
      <c r="O145" s="2264"/>
      <c r="P145" s="2264"/>
      <c r="Q145" s="2264"/>
    </row>
    <row r="146" spans="2:17" s="745" customFormat="1">
      <c r="B146" s="2264"/>
      <c r="C146" s="2264"/>
      <c r="D146" s="2264"/>
      <c r="E146" s="2264"/>
      <c r="F146" s="2264"/>
      <c r="G146" s="2264"/>
      <c r="H146" s="2264"/>
      <c r="I146" s="2264"/>
      <c r="J146" s="2264"/>
      <c r="K146" s="2264"/>
      <c r="L146" s="2264"/>
      <c r="M146" s="2264"/>
      <c r="N146" s="2264"/>
      <c r="O146" s="2264"/>
      <c r="P146" s="2264"/>
      <c r="Q146" s="2264"/>
    </row>
    <row r="147" spans="2:17" s="745" customFormat="1">
      <c r="B147" s="2264"/>
      <c r="C147" s="2264"/>
      <c r="D147" s="2264"/>
      <c r="E147" s="2264"/>
      <c r="F147" s="2264"/>
      <c r="G147" s="2264"/>
      <c r="H147" s="2264"/>
      <c r="I147" s="2264"/>
      <c r="J147" s="2264"/>
      <c r="K147" s="2264"/>
      <c r="L147" s="2264"/>
      <c r="M147" s="2264"/>
      <c r="N147" s="2264"/>
      <c r="O147" s="2264"/>
      <c r="P147" s="2264"/>
      <c r="Q147" s="2264"/>
    </row>
    <row r="148" spans="2:17" s="745" customFormat="1">
      <c r="B148" s="2264"/>
      <c r="C148" s="2264"/>
      <c r="D148" s="2264"/>
      <c r="E148" s="2264"/>
      <c r="F148" s="2264"/>
      <c r="G148" s="2264"/>
      <c r="H148" s="2264"/>
      <c r="I148" s="2264"/>
      <c r="J148" s="2264"/>
      <c r="K148" s="2264"/>
      <c r="L148" s="2264"/>
      <c r="M148" s="2264"/>
      <c r="N148" s="2264"/>
      <c r="O148" s="2264"/>
      <c r="P148" s="2264"/>
      <c r="Q148" s="2264"/>
    </row>
    <row r="149" spans="2:17" s="745" customFormat="1">
      <c r="B149" s="2264"/>
      <c r="C149" s="2264"/>
      <c r="D149" s="2264"/>
      <c r="E149" s="2264"/>
      <c r="F149" s="2264"/>
      <c r="G149" s="2264"/>
      <c r="H149" s="2264"/>
      <c r="I149" s="2264"/>
      <c r="J149" s="2264"/>
      <c r="K149" s="2264"/>
      <c r="L149" s="2264"/>
      <c r="M149" s="2264"/>
      <c r="N149" s="2264"/>
      <c r="O149" s="2264"/>
      <c r="P149" s="2264"/>
      <c r="Q149" s="2264"/>
    </row>
    <row r="150" spans="2:17" s="745" customFormat="1">
      <c r="B150" s="2264"/>
      <c r="C150" s="2264"/>
      <c r="D150" s="2264"/>
      <c r="E150" s="2264"/>
      <c r="F150" s="2264"/>
      <c r="G150" s="2264"/>
      <c r="H150" s="2264"/>
      <c r="I150" s="2264"/>
      <c r="J150" s="2264"/>
      <c r="K150" s="2264"/>
      <c r="L150" s="2264"/>
      <c r="M150" s="2264"/>
      <c r="N150" s="2264"/>
      <c r="O150" s="2264"/>
      <c r="P150" s="2264"/>
      <c r="Q150" s="2264"/>
    </row>
    <row r="151" spans="2:17" s="745" customFormat="1">
      <c r="B151" s="2264"/>
      <c r="C151" s="2264"/>
      <c r="D151" s="2264"/>
      <c r="E151" s="2264"/>
      <c r="F151" s="2264"/>
      <c r="G151" s="2264"/>
      <c r="H151" s="2264"/>
      <c r="I151" s="2264"/>
      <c r="J151" s="2264"/>
      <c r="K151" s="2264"/>
      <c r="L151" s="2264"/>
      <c r="M151" s="2264"/>
      <c r="N151" s="2264"/>
      <c r="O151" s="2264"/>
      <c r="P151" s="2264"/>
      <c r="Q151" s="2264"/>
    </row>
    <row r="152" spans="2:17" s="745" customFormat="1">
      <c r="B152" s="2264"/>
      <c r="C152" s="2264"/>
      <c r="D152" s="2264"/>
      <c r="E152" s="2264"/>
      <c r="F152" s="2264"/>
      <c r="G152" s="2264"/>
      <c r="H152" s="2264"/>
      <c r="I152" s="2264"/>
      <c r="J152" s="2264"/>
      <c r="K152" s="2264"/>
      <c r="L152" s="2264"/>
      <c r="M152" s="2264"/>
      <c r="N152" s="2264"/>
      <c r="O152" s="2264"/>
      <c r="P152" s="2264"/>
      <c r="Q152" s="2264"/>
    </row>
    <row r="153" spans="2:17" s="745" customFormat="1">
      <c r="B153" s="2264"/>
      <c r="C153" s="2264"/>
      <c r="D153" s="2264"/>
      <c r="E153" s="2264"/>
      <c r="F153" s="2264"/>
      <c r="G153" s="2264"/>
      <c r="H153" s="2264"/>
      <c r="I153" s="2264"/>
      <c r="J153" s="2264"/>
      <c r="K153" s="2264"/>
      <c r="L153" s="2264"/>
      <c r="M153" s="2264"/>
      <c r="N153" s="2264"/>
      <c r="O153" s="2264"/>
      <c r="P153" s="2264"/>
      <c r="Q153" s="2264"/>
    </row>
    <row r="154" spans="2:17" s="745" customFormat="1">
      <c r="B154" s="2264"/>
      <c r="C154" s="2264"/>
      <c r="D154" s="2264"/>
      <c r="E154" s="2264"/>
      <c r="F154" s="2264"/>
      <c r="G154" s="2264"/>
      <c r="H154" s="2264"/>
      <c r="I154" s="2264"/>
      <c r="J154" s="2264"/>
      <c r="K154" s="2264"/>
      <c r="L154" s="2264"/>
      <c r="M154" s="2264"/>
      <c r="N154" s="2264"/>
      <c r="O154" s="2264"/>
      <c r="P154" s="2264"/>
      <c r="Q154" s="2264"/>
    </row>
    <row r="155" spans="2:17" s="745" customFormat="1">
      <c r="B155" s="2264"/>
      <c r="C155" s="2264"/>
      <c r="D155" s="2264"/>
      <c r="E155" s="2264"/>
      <c r="F155" s="2264"/>
      <c r="G155" s="2264"/>
      <c r="H155" s="2264"/>
      <c r="I155" s="2264"/>
      <c r="J155" s="2264"/>
      <c r="K155" s="2264"/>
      <c r="L155" s="2264"/>
      <c r="M155" s="2264"/>
      <c r="N155" s="2264"/>
      <c r="O155" s="2264"/>
      <c r="P155" s="2264"/>
      <c r="Q155" s="2264"/>
    </row>
    <row r="156" spans="2:17" s="745" customFormat="1">
      <c r="B156" s="2264"/>
      <c r="C156" s="2264"/>
      <c r="D156" s="2264"/>
      <c r="E156" s="2264"/>
      <c r="F156" s="2264"/>
      <c r="G156" s="2264"/>
      <c r="H156" s="2264"/>
      <c r="I156" s="2264"/>
      <c r="J156" s="2264"/>
      <c r="K156" s="2264"/>
      <c r="L156" s="2264"/>
      <c r="M156" s="2264"/>
      <c r="N156" s="2264"/>
      <c r="O156" s="2264"/>
      <c r="P156" s="2264"/>
      <c r="Q156" s="2264"/>
    </row>
    <row r="157" spans="2:17" s="745" customFormat="1">
      <c r="B157" s="2264"/>
      <c r="C157" s="2264"/>
      <c r="D157" s="2264"/>
      <c r="E157" s="2264"/>
      <c r="F157" s="2264"/>
      <c r="G157" s="2264"/>
      <c r="H157" s="2264"/>
      <c r="I157" s="2264"/>
      <c r="J157" s="2264"/>
      <c r="K157" s="2264"/>
      <c r="L157" s="2264"/>
      <c r="M157" s="2264"/>
      <c r="N157" s="2264"/>
      <c r="O157" s="2264"/>
      <c r="P157" s="2264"/>
      <c r="Q157" s="2264"/>
    </row>
    <row r="158" spans="2:17" s="745" customFormat="1">
      <c r="B158" s="2264"/>
      <c r="C158" s="2264"/>
      <c r="D158" s="2264"/>
      <c r="E158" s="2264"/>
      <c r="F158" s="2264"/>
      <c r="G158" s="2264"/>
      <c r="H158" s="2264"/>
      <c r="I158" s="2264"/>
      <c r="J158" s="2264"/>
      <c r="K158" s="2264"/>
      <c r="L158" s="2264"/>
      <c r="M158" s="2264"/>
      <c r="N158" s="2264"/>
      <c r="O158" s="2264"/>
      <c r="P158" s="2264"/>
      <c r="Q158" s="2264"/>
    </row>
    <row r="159" spans="2:17" s="745" customFormat="1">
      <c r="B159" s="2264"/>
      <c r="C159" s="2264"/>
      <c r="D159" s="2264"/>
      <c r="E159" s="2264"/>
      <c r="F159" s="2264"/>
      <c r="G159" s="2264"/>
      <c r="H159" s="2264"/>
      <c r="I159" s="2264"/>
      <c r="J159" s="2264"/>
      <c r="K159" s="2264"/>
      <c r="L159" s="2264"/>
      <c r="M159" s="2264"/>
      <c r="N159" s="2264"/>
      <c r="O159" s="2264"/>
      <c r="P159" s="2264"/>
      <c r="Q159" s="2264"/>
    </row>
    <row r="160" spans="2:17" s="745" customFormat="1">
      <c r="B160" s="2264"/>
      <c r="C160" s="2264"/>
      <c r="D160" s="2264"/>
      <c r="E160" s="2264"/>
      <c r="F160" s="2264"/>
      <c r="G160" s="2264"/>
      <c r="H160" s="2264"/>
      <c r="I160" s="2264"/>
      <c r="J160" s="2264"/>
      <c r="K160" s="2264"/>
      <c r="L160" s="2264"/>
      <c r="M160" s="2264"/>
      <c r="N160" s="2264"/>
      <c r="O160" s="2264"/>
      <c r="P160" s="2264"/>
      <c r="Q160" s="2264"/>
    </row>
    <row r="161" spans="2:17" s="745" customFormat="1">
      <c r="B161" s="2264"/>
      <c r="C161" s="2264"/>
      <c r="D161" s="2264"/>
      <c r="E161" s="2264"/>
      <c r="F161" s="2264"/>
      <c r="G161" s="2264"/>
      <c r="H161" s="2264"/>
      <c r="I161" s="2264"/>
      <c r="J161" s="2264"/>
      <c r="K161" s="2264"/>
      <c r="L161" s="2264"/>
      <c r="M161" s="2264"/>
      <c r="N161" s="2264"/>
      <c r="O161" s="2264"/>
      <c r="P161" s="2264"/>
      <c r="Q161" s="2264"/>
    </row>
    <row r="162" spans="2:17" s="745" customFormat="1">
      <c r="B162" s="2264"/>
      <c r="C162" s="2264"/>
      <c r="D162" s="2264"/>
      <c r="E162" s="2264"/>
      <c r="F162" s="2264"/>
      <c r="G162" s="2264"/>
      <c r="H162" s="2264"/>
      <c r="I162" s="2264"/>
      <c r="J162" s="2264"/>
      <c r="K162" s="2264"/>
      <c r="L162" s="2264"/>
      <c r="M162" s="2264"/>
      <c r="N162" s="2264"/>
      <c r="O162" s="2264"/>
      <c r="P162" s="2264"/>
      <c r="Q162" s="2264"/>
    </row>
    <row r="163" spans="2:17" s="745" customFormat="1">
      <c r="B163" s="2264"/>
      <c r="C163" s="2264"/>
      <c r="D163" s="2264"/>
      <c r="E163" s="2264"/>
      <c r="F163" s="2264"/>
      <c r="G163" s="2264"/>
      <c r="H163" s="2264"/>
      <c r="I163" s="2264"/>
      <c r="J163" s="2264"/>
      <c r="K163" s="2264"/>
      <c r="L163" s="2264"/>
      <c r="M163" s="2264"/>
      <c r="N163" s="2264"/>
      <c r="O163" s="2264"/>
      <c r="P163" s="2264"/>
      <c r="Q163" s="2264"/>
    </row>
    <row r="164" spans="2:17" s="745" customFormat="1">
      <c r="B164" s="2264"/>
      <c r="C164" s="2264"/>
      <c r="D164" s="2264"/>
      <c r="E164" s="2264"/>
      <c r="F164" s="2264"/>
      <c r="G164" s="2264"/>
      <c r="H164" s="2264"/>
      <c r="I164" s="2264"/>
      <c r="J164" s="2264"/>
      <c r="K164" s="2264"/>
      <c r="L164" s="2264"/>
      <c r="M164" s="2264"/>
      <c r="N164" s="2264"/>
      <c r="O164" s="2264"/>
      <c r="P164" s="2264"/>
      <c r="Q164" s="2264"/>
    </row>
    <row r="165" spans="2:17" s="745" customFormat="1">
      <c r="B165" s="2264"/>
      <c r="C165" s="2264"/>
      <c r="D165" s="2264"/>
      <c r="E165" s="2264"/>
      <c r="F165" s="2264"/>
      <c r="G165" s="2264"/>
      <c r="H165" s="2264"/>
      <c r="I165" s="2264"/>
      <c r="J165" s="2264"/>
      <c r="K165" s="2264"/>
      <c r="L165" s="2264"/>
      <c r="M165" s="2264"/>
      <c r="N165" s="2264"/>
      <c r="O165" s="2264"/>
      <c r="P165" s="2264"/>
      <c r="Q165" s="2264"/>
    </row>
    <row r="166" spans="2:17" s="745" customFormat="1">
      <c r="B166" s="2264"/>
      <c r="C166" s="2264"/>
      <c r="D166" s="2264"/>
      <c r="E166" s="2264"/>
      <c r="F166" s="2264"/>
      <c r="G166" s="2264"/>
      <c r="H166" s="2264"/>
      <c r="I166" s="2264"/>
      <c r="J166" s="2264"/>
      <c r="K166" s="2264"/>
      <c r="L166" s="2264"/>
      <c r="M166" s="2264"/>
      <c r="N166" s="2264"/>
      <c r="O166" s="2264"/>
      <c r="P166" s="2264"/>
      <c r="Q166" s="2264"/>
    </row>
    <row r="167" spans="2:17" s="745" customFormat="1">
      <c r="B167" s="2264"/>
      <c r="C167" s="2264"/>
      <c r="D167" s="2264"/>
      <c r="E167" s="2264"/>
      <c r="F167" s="2264"/>
      <c r="G167" s="2264"/>
      <c r="H167" s="2264"/>
      <c r="I167" s="2264"/>
      <c r="J167" s="2264"/>
      <c r="K167" s="2264"/>
      <c r="L167" s="2264"/>
      <c r="M167" s="2264"/>
      <c r="N167" s="2264"/>
      <c r="O167" s="2264"/>
      <c r="P167" s="2264"/>
      <c r="Q167" s="2264"/>
    </row>
    <row r="168" spans="2:17" s="745" customFormat="1">
      <c r="B168" s="2264"/>
      <c r="C168" s="2264"/>
      <c r="D168" s="2264"/>
      <c r="E168" s="2264"/>
      <c r="F168" s="2264"/>
      <c r="G168" s="2264"/>
      <c r="H168" s="2264"/>
      <c r="I168" s="2264"/>
      <c r="J168" s="2264"/>
      <c r="K168" s="2264"/>
      <c r="L168" s="2264"/>
      <c r="M168" s="2264"/>
      <c r="N168" s="2264"/>
      <c r="O168" s="2264"/>
      <c r="P168" s="2264"/>
      <c r="Q168" s="2264"/>
    </row>
    <row r="169" spans="2:17" s="745" customFormat="1">
      <c r="B169" s="2264"/>
      <c r="C169" s="2264"/>
      <c r="D169" s="2264"/>
      <c r="E169" s="2264"/>
      <c r="F169" s="2264"/>
      <c r="G169" s="2264"/>
      <c r="H169" s="2264"/>
      <c r="I169" s="2264"/>
      <c r="J169" s="2264"/>
      <c r="K169" s="2264"/>
      <c r="L169" s="2264"/>
      <c r="M169" s="2264"/>
      <c r="N169" s="2264"/>
      <c r="O169" s="2264"/>
      <c r="P169" s="2264"/>
      <c r="Q169" s="2264"/>
    </row>
    <row r="170" spans="2:17" s="745" customFormat="1">
      <c r="B170" s="2264"/>
      <c r="C170" s="2264"/>
      <c r="D170" s="2264"/>
      <c r="E170" s="2264"/>
      <c r="F170" s="2264"/>
      <c r="G170" s="2264"/>
      <c r="H170" s="2264"/>
      <c r="I170" s="2264"/>
      <c r="J170" s="2264"/>
      <c r="K170" s="2264"/>
      <c r="L170" s="2264"/>
      <c r="M170" s="2264"/>
      <c r="N170" s="2264"/>
      <c r="O170" s="2264"/>
      <c r="P170" s="2264"/>
      <c r="Q170" s="2264"/>
    </row>
    <row r="171" spans="2:17" s="745" customFormat="1">
      <c r="B171" s="2264"/>
      <c r="C171" s="2264"/>
      <c r="D171" s="2264"/>
      <c r="E171" s="2264"/>
      <c r="F171" s="2264"/>
      <c r="G171" s="2264"/>
      <c r="H171" s="2264"/>
      <c r="I171" s="2264"/>
      <c r="J171" s="2264"/>
      <c r="K171" s="2264"/>
      <c r="L171" s="2264"/>
      <c r="M171" s="2264"/>
      <c r="N171" s="2264"/>
      <c r="O171" s="2264"/>
      <c r="P171" s="2264"/>
      <c r="Q171" s="2264"/>
    </row>
    <row r="172" spans="2:17" s="745" customFormat="1">
      <c r="B172" s="2264"/>
      <c r="C172" s="2264"/>
      <c r="D172" s="2264"/>
      <c r="E172" s="2264"/>
      <c r="F172" s="2264"/>
      <c r="G172" s="2264"/>
      <c r="H172" s="2264"/>
      <c r="I172" s="2264"/>
      <c r="J172" s="2264"/>
      <c r="K172" s="2264"/>
      <c r="L172" s="2264"/>
      <c r="M172" s="2264"/>
      <c r="N172" s="2264"/>
      <c r="O172" s="2264"/>
      <c r="P172" s="2264"/>
      <c r="Q172" s="2264"/>
    </row>
    <row r="173" spans="2:17" s="745" customFormat="1">
      <c r="B173" s="2264"/>
      <c r="C173" s="2264"/>
      <c r="D173" s="2264"/>
      <c r="E173" s="2264"/>
      <c r="F173" s="2264"/>
      <c r="G173" s="2264"/>
      <c r="H173" s="2264"/>
      <c r="I173" s="2264"/>
      <c r="J173" s="2264"/>
      <c r="K173" s="2264"/>
      <c r="L173" s="2264"/>
      <c r="M173" s="2264"/>
      <c r="N173" s="2264"/>
      <c r="O173" s="2264"/>
      <c r="P173" s="2264"/>
      <c r="Q173" s="2264"/>
    </row>
    <row r="174" spans="2:17" s="745" customFormat="1">
      <c r="B174" s="2264"/>
      <c r="C174" s="2264"/>
      <c r="D174" s="2264"/>
      <c r="E174" s="2264"/>
      <c r="F174" s="2264"/>
      <c r="G174" s="2264"/>
      <c r="H174" s="2264"/>
      <c r="I174" s="2264"/>
      <c r="J174" s="2264"/>
      <c r="K174" s="2264"/>
      <c r="L174" s="2264"/>
      <c r="M174" s="2264"/>
      <c r="N174" s="2264"/>
      <c r="O174" s="2264"/>
      <c r="P174" s="2264"/>
      <c r="Q174" s="2264"/>
    </row>
    <row r="175" spans="2:17" s="745" customFormat="1">
      <c r="B175" s="2264"/>
      <c r="C175" s="2264"/>
      <c r="D175" s="2264"/>
      <c r="E175" s="2264"/>
      <c r="F175" s="2264"/>
      <c r="G175" s="2264"/>
      <c r="H175" s="2264"/>
      <c r="I175" s="2264"/>
      <c r="J175" s="2264"/>
      <c r="K175" s="2264"/>
      <c r="L175" s="2264"/>
      <c r="M175" s="2264"/>
      <c r="N175" s="2264"/>
      <c r="O175" s="2264"/>
      <c r="P175" s="2264"/>
      <c r="Q175" s="2264"/>
    </row>
    <row r="176" spans="2:17" s="745" customFormat="1">
      <c r="B176" s="2264"/>
      <c r="C176" s="2264"/>
      <c r="D176" s="2264"/>
      <c r="E176" s="2264"/>
      <c r="F176" s="2264"/>
      <c r="G176" s="2264"/>
      <c r="H176" s="2264"/>
      <c r="I176" s="2264"/>
      <c r="J176" s="2264"/>
      <c r="K176" s="2264"/>
      <c r="L176" s="2264"/>
      <c r="M176" s="2264"/>
      <c r="N176" s="2264"/>
      <c r="O176" s="2264"/>
      <c r="P176" s="2264"/>
      <c r="Q176" s="2264"/>
    </row>
    <row r="177" spans="1:17" s="745" customFormat="1">
      <c r="B177" s="2264"/>
      <c r="C177" s="2264"/>
      <c r="D177" s="2264"/>
      <c r="E177" s="2264"/>
      <c r="F177" s="2264"/>
      <c r="G177" s="2264"/>
      <c r="H177" s="2264"/>
      <c r="I177" s="2264"/>
      <c r="J177" s="2264"/>
      <c r="K177" s="2264"/>
      <c r="L177" s="2264"/>
      <c r="M177" s="2264"/>
      <c r="N177" s="2264"/>
      <c r="O177" s="2264"/>
      <c r="P177" s="2264"/>
      <c r="Q177" s="2264"/>
    </row>
    <row r="178" spans="1:17" s="745" customFormat="1">
      <c r="B178" s="2264"/>
      <c r="C178" s="2264"/>
      <c r="D178" s="2264"/>
      <c r="E178" s="2264"/>
      <c r="F178" s="2264"/>
      <c r="G178" s="2264"/>
      <c r="H178" s="2264"/>
      <c r="I178" s="2264"/>
      <c r="J178" s="2264"/>
      <c r="K178" s="2264"/>
      <c r="L178" s="2264"/>
      <c r="M178" s="2264"/>
      <c r="N178" s="2264"/>
      <c r="O178" s="2264"/>
      <c r="P178" s="2264"/>
      <c r="Q178" s="2264"/>
    </row>
    <row r="179" spans="1:17" s="745" customFormat="1">
      <c r="B179" s="2264"/>
      <c r="C179" s="2264"/>
      <c r="D179" s="2264"/>
      <c r="E179" s="2264"/>
      <c r="F179" s="2264"/>
      <c r="G179" s="2264"/>
      <c r="H179" s="2264"/>
      <c r="I179" s="2264"/>
      <c r="J179" s="2264"/>
      <c r="K179" s="2264"/>
      <c r="L179" s="2264"/>
      <c r="M179" s="2264"/>
      <c r="N179" s="2264"/>
      <c r="O179" s="2264"/>
      <c r="P179" s="2264"/>
      <c r="Q179" s="2264"/>
    </row>
    <row r="180" spans="1:17" s="745" customFormat="1">
      <c r="B180" s="2264"/>
      <c r="C180" s="2264"/>
      <c r="D180" s="2264"/>
      <c r="E180" s="2264"/>
      <c r="F180" s="2264"/>
      <c r="G180" s="2264"/>
      <c r="H180" s="2264"/>
      <c r="I180" s="2264"/>
      <c r="J180" s="2264"/>
      <c r="K180" s="2264"/>
      <c r="L180" s="2264"/>
      <c r="M180" s="2264"/>
      <c r="N180" s="2264"/>
      <c r="O180" s="2264"/>
      <c r="P180" s="2264"/>
      <c r="Q180" s="2264"/>
    </row>
    <row r="181" spans="1:17" s="745" customFormat="1">
      <c r="B181" s="2264"/>
      <c r="C181" s="2264"/>
      <c r="D181" s="2264"/>
      <c r="E181" s="2264"/>
      <c r="F181" s="2264"/>
      <c r="G181" s="2264"/>
      <c r="H181" s="2264"/>
      <c r="I181" s="2264"/>
      <c r="J181" s="2264"/>
      <c r="K181" s="2264"/>
      <c r="L181" s="2264"/>
      <c r="M181" s="2264"/>
      <c r="N181" s="2264"/>
      <c r="O181" s="2264"/>
      <c r="P181" s="2264"/>
      <c r="Q181" s="2264"/>
    </row>
    <row r="182" spans="1:17" s="745" customFormat="1">
      <c r="B182" s="2264"/>
      <c r="C182" s="2264"/>
      <c r="D182" s="2264"/>
      <c r="E182" s="2264"/>
      <c r="F182" s="2264"/>
      <c r="G182" s="2264"/>
      <c r="H182" s="2264"/>
      <c r="I182" s="2264"/>
      <c r="J182" s="2264"/>
      <c r="K182" s="2264"/>
      <c r="L182" s="2264"/>
      <c r="M182" s="2264"/>
      <c r="N182" s="2264"/>
      <c r="O182" s="2264"/>
      <c r="P182" s="2264"/>
      <c r="Q182" s="2264"/>
    </row>
    <row r="183" spans="1:17" s="745" customFormat="1">
      <c r="B183" s="2264"/>
      <c r="C183" s="2264"/>
      <c r="D183" s="2264"/>
      <c r="E183" s="2264"/>
      <c r="F183" s="2264"/>
      <c r="G183" s="2264"/>
      <c r="H183" s="2264"/>
      <c r="I183" s="2264"/>
      <c r="J183" s="2264"/>
      <c r="K183" s="2264"/>
      <c r="L183" s="2264"/>
      <c r="M183" s="2264"/>
      <c r="N183" s="2264"/>
      <c r="O183" s="2264"/>
      <c r="P183" s="2264"/>
      <c r="Q183" s="2264"/>
    </row>
    <row r="184" spans="1:17" s="745" customFormat="1">
      <c r="B184" s="2264"/>
      <c r="C184" s="2264"/>
      <c r="D184" s="2264"/>
      <c r="E184" s="2264"/>
      <c r="F184" s="2264"/>
      <c r="G184" s="2264"/>
      <c r="H184" s="2264"/>
      <c r="I184" s="2264"/>
      <c r="J184" s="2264"/>
      <c r="K184" s="2264"/>
      <c r="L184" s="2264"/>
      <c r="M184" s="2264"/>
      <c r="N184" s="2264"/>
      <c r="O184" s="2264"/>
      <c r="P184" s="2264"/>
      <c r="Q184" s="2264"/>
    </row>
    <row r="185" spans="1:17" s="745" customFormat="1">
      <c r="B185" s="2264"/>
      <c r="C185" s="2264"/>
      <c r="D185" s="2264"/>
      <c r="E185" s="2264"/>
      <c r="F185" s="2264"/>
      <c r="G185" s="2264"/>
      <c r="H185" s="2264"/>
      <c r="I185" s="2264"/>
      <c r="J185" s="2264"/>
      <c r="K185" s="2264"/>
      <c r="L185" s="2264"/>
      <c r="M185" s="2264"/>
      <c r="N185" s="2264"/>
      <c r="O185" s="2264"/>
      <c r="P185" s="2264"/>
      <c r="Q185" s="2264"/>
    </row>
    <row r="186" spans="1:17">
      <c r="A186" s="745"/>
      <c r="B186" s="2264"/>
      <c r="C186" s="2264"/>
      <c r="E186" s="2264"/>
      <c r="F186" s="2264"/>
      <c r="G186" s="2264"/>
    </row>
    <row r="187" spans="1:17">
      <c r="A187" s="745"/>
      <c r="B187" s="2264"/>
      <c r="C187" s="2264"/>
      <c r="E187" s="2264"/>
      <c r="F187" s="2264"/>
      <c r="G187" s="226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P1317"/>
  <sheetViews>
    <sheetView topLeftCell="A421" workbookViewId="0">
      <selection activeCell="Q460" sqref="Q460"/>
    </sheetView>
  </sheetViews>
  <sheetFormatPr defaultColWidth="9" defaultRowHeight="12"/>
  <cols>
    <col min="1" max="11" width="9" style="3133"/>
    <col min="12" max="12" width="10.375" style="3133" customWidth="1"/>
    <col min="13" max="16384" width="9" style="3133"/>
  </cols>
  <sheetData>
    <row r="1" spans="1:16">
      <c r="H1" s="3133">
        <v>2021</v>
      </c>
    </row>
    <row r="2" spans="1:16">
      <c r="A2" s="3134" t="s">
        <v>3384</v>
      </c>
      <c r="B2" s="3135" t="s">
        <v>3385</v>
      </c>
      <c r="C2" s="3135" t="s">
        <v>3386</v>
      </c>
      <c r="D2" s="3135" t="s">
        <v>3387</v>
      </c>
      <c r="E2" s="3135" t="s">
        <v>3388</v>
      </c>
      <c r="F2" s="3135" t="s">
        <v>669</v>
      </c>
      <c r="G2" s="3136" t="s">
        <v>3389</v>
      </c>
      <c r="H2" s="3133" t="s">
        <v>3390</v>
      </c>
      <c r="I2" s="3133" t="s">
        <v>3391</v>
      </c>
      <c r="K2" s="3133" t="s">
        <v>3392</v>
      </c>
    </row>
    <row r="3" spans="1:16">
      <c r="A3" s="3137"/>
      <c r="B3" s="3135">
        <v>1</v>
      </c>
      <c r="C3" s="3138" t="s">
        <v>3393</v>
      </c>
      <c r="D3" s="3135">
        <v>1</v>
      </c>
      <c r="E3" s="3135">
        <v>243.07</v>
      </c>
      <c r="F3" s="3135" t="s">
        <v>670</v>
      </c>
      <c r="G3" s="3136" t="s">
        <v>3394</v>
      </c>
      <c r="H3" s="3133">
        <f>'[3]典型户型修正-商业'!S25</f>
        <v>370</v>
      </c>
      <c r="I3" s="3133">
        <f>'[3]典型户型修正-商业'!R25</f>
        <v>23660</v>
      </c>
    </row>
    <row r="4" spans="1:16">
      <c r="A4" s="3137"/>
      <c r="B4" s="3135">
        <v>2</v>
      </c>
      <c r="C4" s="3138" t="s">
        <v>3393</v>
      </c>
      <c r="D4" s="3135">
        <v>2</v>
      </c>
      <c r="E4" s="3135">
        <v>156.22</v>
      </c>
      <c r="F4" s="3135" t="s">
        <v>670</v>
      </c>
      <c r="G4" s="3136" t="s">
        <v>3394</v>
      </c>
      <c r="H4" s="3133">
        <f>'[3]典型户型修正-商业'!S26</f>
        <v>502</v>
      </c>
      <c r="I4" s="3133">
        <f>'[3]典型户型修正-商业'!R26</f>
        <v>23426</v>
      </c>
    </row>
    <row r="5" spans="1:16">
      <c r="A5" s="3137"/>
      <c r="B5" s="3135">
        <v>3</v>
      </c>
      <c r="C5" s="3138" t="s">
        <v>3393</v>
      </c>
      <c r="D5" s="3135">
        <v>3</v>
      </c>
      <c r="E5" s="3135">
        <v>214.35</v>
      </c>
      <c r="F5" s="3135" t="s">
        <v>670</v>
      </c>
      <c r="G5" s="3136" t="s">
        <v>3394</v>
      </c>
      <c r="H5" s="3133">
        <f>'[3]典型户型修正-商业'!S27</f>
        <v>506</v>
      </c>
      <c r="I5" s="3133">
        <f>'[3]典型户型修正-商业'!R27</f>
        <v>23426</v>
      </c>
    </row>
    <row r="6" spans="1:16">
      <c r="A6" s="3137"/>
      <c r="B6" s="3135">
        <v>4</v>
      </c>
      <c r="C6" s="3138" t="s">
        <v>3393</v>
      </c>
      <c r="D6" s="3135">
        <v>4</v>
      </c>
      <c r="E6" s="3135">
        <v>216.09</v>
      </c>
      <c r="F6" s="3135" t="s">
        <v>670</v>
      </c>
      <c r="G6" s="3136" t="s">
        <v>3394</v>
      </c>
      <c r="H6" s="3133">
        <f>'[3]典型户型修正-商业'!S28</f>
        <v>376</v>
      </c>
      <c r="I6" s="3133">
        <f>'[3]典型户型修正-商业'!R28</f>
        <v>23660</v>
      </c>
      <c r="L6" s="3135" t="s">
        <v>3395</v>
      </c>
      <c r="M6" s="3135"/>
      <c r="N6" s="3135"/>
      <c r="O6" s="3135"/>
      <c r="P6" s="3135"/>
    </row>
    <row r="7" spans="1:16">
      <c r="A7" s="3137"/>
      <c r="B7" s="3135">
        <v>5</v>
      </c>
      <c r="C7" s="3138" t="s">
        <v>3393</v>
      </c>
      <c r="D7" s="3135">
        <v>5</v>
      </c>
      <c r="E7" s="3135">
        <v>158.88999999999999</v>
      </c>
      <c r="F7" s="3135" t="s">
        <v>670</v>
      </c>
      <c r="G7" s="3136" t="s">
        <v>3394</v>
      </c>
      <c r="H7" s="3133">
        <f>'[3]典型户型修正-商业'!S29</f>
        <v>375</v>
      </c>
      <c r="I7" s="3133">
        <f>'[3]典型户型修正-商业'!R29</f>
        <v>23660</v>
      </c>
      <c r="L7" s="3135" t="s">
        <v>3396</v>
      </c>
      <c r="M7" s="3135" t="s">
        <v>670</v>
      </c>
      <c r="N7" s="3135" t="s">
        <v>21</v>
      </c>
      <c r="O7" s="3135" t="s">
        <v>3397</v>
      </c>
      <c r="P7" s="3135" t="s">
        <v>3323</v>
      </c>
    </row>
    <row r="8" spans="1:16">
      <c r="A8" s="3137"/>
      <c r="B8" s="3135">
        <v>6</v>
      </c>
      <c r="C8" s="3138" t="s">
        <v>3393</v>
      </c>
      <c r="D8" s="3135">
        <v>6</v>
      </c>
      <c r="E8" s="3135">
        <v>158.35</v>
      </c>
      <c r="F8" s="3135" t="s">
        <v>670</v>
      </c>
      <c r="G8" s="3136" t="s">
        <v>3394</v>
      </c>
      <c r="H8" s="3133">
        <f>'[3]典型户型修正-商业'!S30</f>
        <v>368</v>
      </c>
      <c r="I8" s="3133">
        <f>'[3]典型户型修正-商业'!R30</f>
        <v>23660</v>
      </c>
      <c r="L8" s="3139">
        <v>45200</v>
      </c>
      <c r="M8" s="3135"/>
      <c r="N8" s="3135">
        <v>16450</v>
      </c>
      <c r="O8" s="3135"/>
      <c r="P8" s="3135"/>
    </row>
    <row r="9" spans="1:16">
      <c r="A9" s="3137"/>
      <c r="B9" s="3135">
        <v>7</v>
      </c>
      <c r="C9" s="3138" t="s">
        <v>3393</v>
      </c>
      <c r="D9" s="3135">
        <v>7</v>
      </c>
      <c r="E9" s="3135">
        <v>155.35</v>
      </c>
      <c r="F9" s="3135" t="s">
        <v>670</v>
      </c>
      <c r="G9" s="3136" t="s">
        <v>3394</v>
      </c>
      <c r="H9" s="3133">
        <f>'[3]典型户型修正-商业'!S31</f>
        <v>700</v>
      </c>
      <c r="I9" s="3133">
        <f>'[3]典型户型修正-商业'!R31</f>
        <v>23426</v>
      </c>
      <c r="L9" s="3139">
        <v>45048</v>
      </c>
      <c r="M9" s="3135"/>
      <c r="N9" s="3135"/>
      <c r="O9" s="3135"/>
      <c r="P9" s="3135" t="s">
        <v>3398</v>
      </c>
    </row>
    <row r="10" spans="1:16">
      <c r="A10" s="3137"/>
      <c r="B10" s="3135">
        <v>8</v>
      </c>
      <c r="C10" s="3138" t="s">
        <v>3393</v>
      </c>
      <c r="D10" s="3135">
        <v>8</v>
      </c>
      <c r="E10" s="3135">
        <v>298.8</v>
      </c>
      <c r="F10" s="3135" t="s">
        <v>670</v>
      </c>
      <c r="G10" s="3136" t="s">
        <v>3394</v>
      </c>
      <c r="H10" s="3133">
        <f>'[3]典型户型修正-商业'!S32</f>
        <v>318</v>
      </c>
      <c r="I10" s="3133">
        <f>'[3]典型户型修正-商业'!R32</f>
        <v>23660</v>
      </c>
      <c r="L10" s="3139">
        <v>43466</v>
      </c>
      <c r="M10" s="3135">
        <v>32070</v>
      </c>
      <c r="N10" s="3135"/>
      <c r="O10" s="3135"/>
      <c r="P10" s="3135"/>
    </row>
    <row r="11" spans="1:16">
      <c r="A11" s="3137"/>
      <c r="B11" s="3135">
        <v>9</v>
      </c>
      <c r="C11" s="3140" t="s">
        <v>3399</v>
      </c>
      <c r="D11" s="3141">
        <v>9</v>
      </c>
      <c r="E11" s="3141">
        <v>134.51</v>
      </c>
      <c r="F11" s="3135" t="s">
        <v>670</v>
      </c>
      <c r="G11" s="3136" t="s">
        <v>3394</v>
      </c>
      <c r="H11" s="3133">
        <f>'[3]典型户型修正-商业'!S24</f>
        <v>670</v>
      </c>
      <c r="I11" s="3133">
        <f>'[3]典型户型修正-商业'!R24</f>
        <v>27560</v>
      </c>
      <c r="L11" s="3139">
        <v>42795</v>
      </c>
      <c r="M11" s="3135"/>
      <c r="N11" s="3135"/>
      <c r="O11" s="3135">
        <v>23521</v>
      </c>
      <c r="P11" s="3135"/>
    </row>
    <row r="12" spans="1:16">
      <c r="A12" s="3142"/>
      <c r="B12" s="3135">
        <v>10</v>
      </c>
      <c r="C12" s="3138" t="s">
        <v>3399</v>
      </c>
      <c r="D12" s="3135">
        <v>12</v>
      </c>
      <c r="E12" s="3135">
        <v>79.430000000000007</v>
      </c>
      <c r="F12" s="3135" t="s">
        <v>670</v>
      </c>
      <c r="G12" s="3136" t="s">
        <v>3394</v>
      </c>
      <c r="H12" s="3133">
        <f>'[3]典型户型修正-商业'!S35</f>
        <v>223</v>
      </c>
      <c r="I12" s="3133">
        <f>'[3]典型户型修正-商业'!R35</f>
        <v>28111</v>
      </c>
    </row>
    <row r="13" spans="1:16" ht="14.45" customHeight="1">
      <c r="A13" s="3289" t="s">
        <v>3400</v>
      </c>
      <c r="B13" s="3289"/>
      <c r="C13" s="3289"/>
      <c r="D13" s="3289"/>
      <c r="E13" s="3142">
        <f>SUM(E3:E12)</f>
        <v>1815.06</v>
      </c>
      <c r="F13" s="3142" t="s">
        <v>43</v>
      </c>
      <c r="G13" s="3142" t="s">
        <v>43</v>
      </c>
      <c r="H13" s="3142">
        <f ca="1">SUM(H3:H13)</f>
        <v>4620</v>
      </c>
      <c r="I13" s="3133">
        <f>'[3]典型户型修正-商业'!R34</f>
        <v>28111</v>
      </c>
    </row>
    <row r="16" spans="1:16">
      <c r="A16" s="3142"/>
      <c r="B16" s="3142"/>
      <c r="C16" s="3143"/>
      <c r="D16" s="3142"/>
      <c r="E16" s="3142"/>
      <c r="F16" s="3142"/>
      <c r="G16" s="3144"/>
      <c r="H16" s="3142"/>
    </row>
    <row r="18" spans="1:11">
      <c r="A18" s="3145"/>
      <c r="B18" s="3146" t="s">
        <v>3385</v>
      </c>
      <c r="C18" s="3146" t="s">
        <v>3401</v>
      </c>
      <c r="D18" s="3146" t="s">
        <v>3387</v>
      </c>
      <c r="E18" s="3146" t="s">
        <v>3402</v>
      </c>
      <c r="F18" s="3146" t="s">
        <v>3403</v>
      </c>
      <c r="G18" s="3146" t="s">
        <v>3389</v>
      </c>
      <c r="H18" s="3145" t="s">
        <v>3404</v>
      </c>
      <c r="I18" s="3133" t="s">
        <v>3405</v>
      </c>
      <c r="J18" s="3133" t="s">
        <v>3390</v>
      </c>
      <c r="K18" s="3133" t="s">
        <v>3391</v>
      </c>
    </row>
    <row r="19" spans="1:11">
      <c r="A19" s="3145" t="s">
        <v>3406</v>
      </c>
      <c r="B19" s="3153">
        <v>1</v>
      </c>
      <c r="C19" s="3154">
        <v>3</v>
      </c>
      <c r="D19" s="3155" t="s">
        <v>3407</v>
      </c>
      <c r="E19" s="3154">
        <v>51.46</v>
      </c>
      <c r="F19" s="3147">
        <v>3</v>
      </c>
      <c r="G19" s="3147" t="s">
        <v>3408</v>
      </c>
      <c r="H19" s="3145" t="s">
        <v>21</v>
      </c>
      <c r="I19" s="3133" t="s">
        <v>3409</v>
      </c>
      <c r="J19" s="3133">
        <f>'[3]典型户型修正-办公'!S24</f>
        <v>73</v>
      </c>
      <c r="K19" s="3133">
        <f>'[3]典型户型修正-办公'!R24</f>
        <v>14106</v>
      </c>
    </row>
    <row r="20" spans="1:11">
      <c r="A20" s="3145" t="s">
        <v>3410</v>
      </c>
      <c r="B20" s="3146">
        <v>2</v>
      </c>
      <c r="C20" s="3147">
        <v>1</v>
      </c>
      <c r="D20" s="3148" t="s">
        <v>3411</v>
      </c>
      <c r="E20" s="3147">
        <v>99.25</v>
      </c>
      <c r="F20" s="3147">
        <v>5.3</v>
      </c>
      <c r="G20" s="3147" t="s">
        <v>3394</v>
      </c>
      <c r="H20" s="3145" t="s">
        <v>21</v>
      </c>
      <c r="I20" s="3133" t="s">
        <v>3409</v>
      </c>
      <c r="J20" s="3133">
        <f>'[3]典型户型修正-办公'!S25</f>
        <v>156</v>
      </c>
      <c r="K20" s="3133">
        <f>'[3]典型户型修正-办公'!R25</f>
        <v>15672</v>
      </c>
    </row>
    <row r="21" spans="1:11">
      <c r="A21" s="3145" t="s">
        <v>3412</v>
      </c>
      <c r="B21" s="3146">
        <v>3</v>
      </c>
      <c r="C21" s="3147">
        <v>1</v>
      </c>
      <c r="D21" s="3148" t="s">
        <v>3413</v>
      </c>
      <c r="E21" s="3147">
        <v>99.25</v>
      </c>
      <c r="F21" s="3147">
        <v>5.3</v>
      </c>
      <c r="G21" s="3147" t="s">
        <v>3394</v>
      </c>
      <c r="H21" s="3145" t="s">
        <v>21</v>
      </c>
      <c r="I21" s="3133" t="s">
        <v>3409</v>
      </c>
      <c r="J21" s="3133">
        <f>'[3]典型户型修正-办公'!S26</f>
        <v>156</v>
      </c>
      <c r="K21" s="3133">
        <f>'[3]典型户型修正-办公'!R26</f>
        <v>15672</v>
      </c>
    </row>
    <row r="22" spans="1:11">
      <c r="A22" s="3145"/>
      <c r="B22" s="3146">
        <v>4</v>
      </c>
      <c r="C22" s="3147">
        <v>1</v>
      </c>
      <c r="D22" s="3148" t="s">
        <v>3414</v>
      </c>
      <c r="E22" s="3147">
        <v>99.25</v>
      </c>
      <c r="F22" s="3147">
        <v>5.3</v>
      </c>
      <c r="G22" s="3147" t="s">
        <v>3394</v>
      </c>
      <c r="H22" s="3145" t="s">
        <v>21</v>
      </c>
      <c r="I22" s="3133" t="s">
        <v>3409</v>
      </c>
      <c r="J22" s="3133">
        <f>'[3]典型户型修正-办公'!S27</f>
        <v>156</v>
      </c>
      <c r="K22" s="3133">
        <f>'[3]典型户型修正-办公'!R27</f>
        <v>15672</v>
      </c>
    </row>
    <row r="23" spans="1:11">
      <c r="A23" s="3145"/>
      <c r="B23" s="3146">
        <v>5</v>
      </c>
      <c r="C23" s="3147">
        <v>1</v>
      </c>
      <c r="D23" s="3148" t="s">
        <v>3415</v>
      </c>
      <c r="E23" s="3147">
        <v>99.25</v>
      </c>
      <c r="F23" s="3147">
        <v>5.3</v>
      </c>
      <c r="G23" s="3147" t="s">
        <v>3394</v>
      </c>
      <c r="H23" s="3145" t="s">
        <v>21</v>
      </c>
      <c r="I23" s="3133" t="s">
        <v>3409</v>
      </c>
      <c r="J23" s="3133">
        <f>'[3]典型户型修正-办公'!S28</f>
        <v>156</v>
      </c>
      <c r="K23" s="3133">
        <f>'[3]典型户型修正-办公'!R28</f>
        <v>15672</v>
      </c>
    </row>
    <row r="24" spans="1:11">
      <c r="A24" s="3145"/>
      <c r="B24" s="3146">
        <v>6</v>
      </c>
      <c r="C24" s="3147">
        <v>1</v>
      </c>
      <c r="D24" s="3148" t="s">
        <v>3416</v>
      </c>
      <c r="E24" s="3147">
        <v>99.25</v>
      </c>
      <c r="F24" s="3147">
        <v>5.3</v>
      </c>
      <c r="G24" s="3147" t="s">
        <v>3394</v>
      </c>
      <c r="H24" s="3145" t="s">
        <v>21</v>
      </c>
      <c r="I24" s="3133" t="s">
        <v>3409</v>
      </c>
      <c r="J24" s="3133">
        <f>'[3]典型户型修正-办公'!S29</f>
        <v>156</v>
      </c>
      <c r="K24" s="3133">
        <f>'[3]典型户型修正-办公'!R29</f>
        <v>15672</v>
      </c>
    </row>
    <row r="25" spans="1:11">
      <c r="A25" s="3145"/>
      <c r="B25" s="3146">
        <v>7</v>
      </c>
      <c r="C25" s="3147">
        <v>1</v>
      </c>
      <c r="D25" s="3148" t="s">
        <v>3417</v>
      </c>
      <c r="E25" s="3147">
        <v>99.25</v>
      </c>
      <c r="F25" s="3147">
        <v>5.3</v>
      </c>
      <c r="G25" s="3147" t="s">
        <v>3394</v>
      </c>
      <c r="H25" s="3145" t="s">
        <v>21</v>
      </c>
      <c r="I25" s="3133" t="s">
        <v>3409</v>
      </c>
      <c r="J25" s="3133">
        <f>'[3]典型户型修正-办公'!S30</f>
        <v>156</v>
      </c>
      <c r="K25" s="3133">
        <f>'[3]典型户型修正-办公'!R30</f>
        <v>15672</v>
      </c>
    </row>
    <row r="26" spans="1:11">
      <c r="A26" s="3145"/>
      <c r="B26" s="3146">
        <v>8</v>
      </c>
      <c r="C26" s="3147">
        <v>1</v>
      </c>
      <c r="D26" s="3148" t="s">
        <v>3418</v>
      </c>
      <c r="E26" s="3147">
        <v>68.78</v>
      </c>
      <c r="F26" s="3147">
        <v>5.3</v>
      </c>
      <c r="G26" s="3147" t="s">
        <v>3394</v>
      </c>
      <c r="H26" s="3145" t="s">
        <v>21</v>
      </c>
      <c r="I26" s="3133" t="s">
        <v>3409</v>
      </c>
      <c r="J26" s="3133">
        <f>'[3]典型户型修正-办公'!S31</f>
        <v>108</v>
      </c>
      <c r="K26" s="3133">
        <f>'[3]典型户型修正-办公'!R31</f>
        <v>15672</v>
      </c>
    </row>
    <row r="27" spans="1:11">
      <c r="A27" s="3145"/>
      <c r="B27" s="3146">
        <v>9</v>
      </c>
      <c r="C27" s="3147">
        <v>1</v>
      </c>
      <c r="D27" s="3148" t="s">
        <v>3419</v>
      </c>
      <c r="E27" s="3147">
        <v>88.24</v>
      </c>
      <c r="F27" s="3147">
        <v>5.3</v>
      </c>
      <c r="G27" s="3147" t="s">
        <v>3394</v>
      </c>
      <c r="H27" s="3145" t="s">
        <v>21</v>
      </c>
      <c r="I27" s="3133" t="s">
        <v>3409</v>
      </c>
      <c r="J27" s="3133">
        <f>'[3]典型户型修正-办公'!S32</f>
        <v>138</v>
      </c>
      <c r="K27" s="3133">
        <f>'[3]典型户型修正-办公'!R32</f>
        <v>15672</v>
      </c>
    </row>
    <row r="28" spans="1:11">
      <c r="A28" s="3145"/>
      <c r="B28" s="3146">
        <v>10</v>
      </c>
      <c r="C28" s="3147">
        <v>1</v>
      </c>
      <c r="D28" s="3148" t="s">
        <v>3420</v>
      </c>
      <c r="E28" s="3147">
        <v>96.56</v>
      </c>
      <c r="F28" s="3147">
        <v>5.3</v>
      </c>
      <c r="G28" s="3147" t="s">
        <v>3394</v>
      </c>
      <c r="H28" s="3145" t="s">
        <v>21</v>
      </c>
      <c r="I28" s="3133" t="s">
        <v>3409</v>
      </c>
      <c r="J28" s="3133">
        <f>'[3]典型户型修正-办公'!S33</f>
        <v>151</v>
      </c>
      <c r="K28" s="3133">
        <f>'[3]典型户型修正-办公'!R33</f>
        <v>15672</v>
      </c>
    </row>
    <row r="29" spans="1:11">
      <c r="A29" s="3145"/>
      <c r="B29" s="3146">
        <v>11</v>
      </c>
      <c r="C29" s="3147">
        <v>1</v>
      </c>
      <c r="D29" s="3148" t="s">
        <v>3421</v>
      </c>
      <c r="E29" s="3147">
        <v>100.21</v>
      </c>
      <c r="F29" s="3147">
        <v>5.3</v>
      </c>
      <c r="G29" s="3147" t="s">
        <v>3394</v>
      </c>
      <c r="H29" s="3145" t="s">
        <v>21</v>
      </c>
      <c r="I29" s="3133" t="s">
        <v>3409</v>
      </c>
      <c r="J29" s="3133">
        <f>'[3]典型户型修正-办公'!S34</f>
        <v>157</v>
      </c>
      <c r="K29" s="3133">
        <f>'[3]典型户型修正-办公'!R34</f>
        <v>15672</v>
      </c>
    </row>
    <row r="30" spans="1:11">
      <c r="A30" s="3145"/>
      <c r="B30" s="3146">
        <v>12</v>
      </c>
      <c r="C30" s="3147">
        <v>1</v>
      </c>
      <c r="D30" s="3148" t="s">
        <v>3422</v>
      </c>
      <c r="E30" s="3147">
        <v>99.01</v>
      </c>
      <c r="F30" s="3147">
        <v>5.3</v>
      </c>
      <c r="G30" s="3147" t="s">
        <v>3394</v>
      </c>
      <c r="H30" s="3145" t="s">
        <v>21</v>
      </c>
      <c r="I30" s="3133" t="s">
        <v>3409</v>
      </c>
      <c r="J30" s="3133">
        <f>'[3]典型户型修正-办公'!S35</f>
        <v>155</v>
      </c>
      <c r="K30" s="3133">
        <f>'[3]典型户型修正-办公'!R35</f>
        <v>15672</v>
      </c>
    </row>
    <row r="31" spans="1:11">
      <c r="A31" s="3145"/>
      <c r="B31" s="3146">
        <v>13</v>
      </c>
      <c r="C31" s="3147">
        <v>2</v>
      </c>
      <c r="D31" s="3148" t="s">
        <v>3423</v>
      </c>
      <c r="E31" s="3147">
        <v>51.33</v>
      </c>
      <c r="F31" s="3147">
        <v>4.2</v>
      </c>
      <c r="G31" s="3147" t="s">
        <v>3394</v>
      </c>
      <c r="H31" s="3145" t="s">
        <v>21</v>
      </c>
      <c r="I31" s="3133" t="s">
        <v>3409</v>
      </c>
      <c r="J31" s="3133">
        <f>'[3]典型户型修正-办公'!S36</f>
        <v>76</v>
      </c>
      <c r="K31" s="3133">
        <f>'[3]典型户型修正-办公'!R36</f>
        <v>14811</v>
      </c>
    </row>
    <row r="32" spans="1:11">
      <c r="A32" s="3145"/>
      <c r="B32" s="3146">
        <v>14</v>
      </c>
      <c r="C32" s="3147">
        <v>2</v>
      </c>
      <c r="D32" s="3148" t="s">
        <v>3424</v>
      </c>
      <c r="E32" s="3147">
        <v>49.62</v>
      </c>
      <c r="F32" s="3147">
        <v>4.2</v>
      </c>
      <c r="G32" s="3147" t="s">
        <v>3394</v>
      </c>
      <c r="H32" s="3145" t="s">
        <v>21</v>
      </c>
      <c r="I32" s="3133" t="s">
        <v>3409</v>
      </c>
      <c r="J32" s="3133">
        <f>'[3]典型户型修正-办公'!S37</f>
        <v>73</v>
      </c>
      <c r="K32" s="3133">
        <f>'[3]典型户型修正-办公'!R37</f>
        <v>14811</v>
      </c>
    </row>
    <row r="33" spans="1:11">
      <c r="A33" s="3145"/>
      <c r="B33" s="3146">
        <v>15</v>
      </c>
      <c r="C33" s="3147">
        <v>2</v>
      </c>
      <c r="D33" s="3148" t="s">
        <v>3425</v>
      </c>
      <c r="E33" s="3147">
        <v>49.62</v>
      </c>
      <c r="F33" s="3147">
        <v>4.2</v>
      </c>
      <c r="G33" s="3147" t="s">
        <v>3394</v>
      </c>
      <c r="H33" s="3145" t="s">
        <v>21</v>
      </c>
      <c r="I33" s="3133" t="s">
        <v>3409</v>
      </c>
      <c r="J33" s="3133">
        <f>'[3]典型户型修正-办公'!S38</f>
        <v>73</v>
      </c>
      <c r="K33" s="3133">
        <f>'[3]典型户型修正-办公'!R38</f>
        <v>14811</v>
      </c>
    </row>
    <row r="34" spans="1:11">
      <c r="A34" s="3145"/>
      <c r="B34" s="3146">
        <v>16</v>
      </c>
      <c r="C34" s="3147">
        <v>2</v>
      </c>
      <c r="D34" s="3148" t="s">
        <v>3426</v>
      </c>
      <c r="E34" s="3147">
        <v>49.62</v>
      </c>
      <c r="F34" s="3147">
        <v>4.2</v>
      </c>
      <c r="G34" s="3147" t="s">
        <v>3394</v>
      </c>
      <c r="H34" s="3145" t="s">
        <v>21</v>
      </c>
      <c r="I34" s="3133" t="s">
        <v>3409</v>
      </c>
      <c r="J34" s="3133">
        <f>'[3]典型户型修正-办公'!S39</f>
        <v>73</v>
      </c>
      <c r="K34" s="3133">
        <f>'[3]典型户型修正-办公'!R39</f>
        <v>14811</v>
      </c>
    </row>
    <row r="35" spans="1:11">
      <c r="A35" s="3145"/>
      <c r="B35" s="3146">
        <v>17</v>
      </c>
      <c r="C35" s="3147">
        <v>2</v>
      </c>
      <c r="D35" s="3148" t="s">
        <v>3427</v>
      </c>
      <c r="E35" s="3147">
        <v>49.62</v>
      </c>
      <c r="F35" s="3147">
        <v>4.2</v>
      </c>
      <c r="G35" s="3147" t="s">
        <v>3394</v>
      </c>
      <c r="H35" s="3145" t="s">
        <v>21</v>
      </c>
      <c r="I35" s="3133" t="s">
        <v>3409</v>
      </c>
      <c r="J35" s="3133">
        <f>'[3]典型户型修正-办公'!S40</f>
        <v>73</v>
      </c>
      <c r="K35" s="3133">
        <f>'[3]典型户型修正-办公'!R40</f>
        <v>14811</v>
      </c>
    </row>
    <row r="36" spans="1:11">
      <c r="A36" s="3145"/>
      <c r="B36" s="3146">
        <v>18</v>
      </c>
      <c r="C36" s="3147">
        <v>2</v>
      </c>
      <c r="D36" s="3148" t="s">
        <v>3428</v>
      </c>
      <c r="E36" s="3147">
        <v>49.62</v>
      </c>
      <c r="F36" s="3147">
        <v>4.2</v>
      </c>
      <c r="G36" s="3147" t="s">
        <v>3394</v>
      </c>
      <c r="H36" s="3145" t="s">
        <v>21</v>
      </c>
      <c r="I36" s="3133" t="s">
        <v>3409</v>
      </c>
      <c r="J36" s="3133">
        <f>'[3]典型户型修正-办公'!S41</f>
        <v>73</v>
      </c>
      <c r="K36" s="3133">
        <f>'[3]典型户型修正-办公'!R41</f>
        <v>14811</v>
      </c>
    </row>
    <row r="37" spans="1:11">
      <c r="A37" s="3145"/>
      <c r="B37" s="3146">
        <v>19</v>
      </c>
      <c r="C37" s="3147">
        <v>2</v>
      </c>
      <c r="D37" s="3148" t="s">
        <v>3429</v>
      </c>
      <c r="E37" s="3147">
        <v>49.62</v>
      </c>
      <c r="F37" s="3147">
        <v>4.2</v>
      </c>
      <c r="G37" s="3147" t="s">
        <v>3394</v>
      </c>
      <c r="H37" s="3145" t="s">
        <v>21</v>
      </c>
      <c r="I37" s="3133" t="s">
        <v>3409</v>
      </c>
      <c r="J37" s="3133">
        <f>'[3]典型户型修正-办公'!S42</f>
        <v>73</v>
      </c>
      <c r="K37" s="3133">
        <f>'[3]典型户型修正-办公'!R42</f>
        <v>14811</v>
      </c>
    </row>
    <row r="38" spans="1:11">
      <c r="A38" s="3145"/>
      <c r="B38" s="3146">
        <v>20</v>
      </c>
      <c r="C38" s="3147">
        <v>2</v>
      </c>
      <c r="D38" s="3148" t="s">
        <v>3430</v>
      </c>
      <c r="E38" s="3147">
        <v>49.62</v>
      </c>
      <c r="F38" s="3147">
        <v>4.2</v>
      </c>
      <c r="G38" s="3147" t="s">
        <v>3394</v>
      </c>
      <c r="H38" s="3145" t="s">
        <v>21</v>
      </c>
      <c r="I38" s="3133" t="s">
        <v>3409</v>
      </c>
      <c r="J38" s="3133">
        <f>'[3]典型户型修正-办公'!S43</f>
        <v>73</v>
      </c>
      <c r="K38" s="3133">
        <f>'[3]典型户型修正-办公'!R43</f>
        <v>14811</v>
      </c>
    </row>
    <row r="39" spans="1:11">
      <c r="A39" s="3145"/>
      <c r="B39" s="3146">
        <v>21</v>
      </c>
      <c r="C39" s="3147">
        <v>2</v>
      </c>
      <c r="D39" s="3148" t="s">
        <v>3431</v>
      </c>
      <c r="E39" s="3147">
        <v>49.62</v>
      </c>
      <c r="F39" s="3147">
        <v>4.2</v>
      </c>
      <c r="G39" s="3147" t="s">
        <v>3394</v>
      </c>
      <c r="H39" s="3145" t="s">
        <v>21</v>
      </c>
      <c r="I39" s="3133" t="s">
        <v>3409</v>
      </c>
      <c r="J39" s="3133">
        <f>'[3]典型户型修正-办公'!S44</f>
        <v>73</v>
      </c>
      <c r="K39" s="3133">
        <f>'[3]典型户型修正-办公'!R44</f>
        <v>14811</v>
      </c>
    </row>
    <row r="40" spans="1:11">
      <c r="A40" s="3145"/>
      <c r="B40" s="3146">
        <v>22</v>
      </c>
      <c r="C40" s="3147">
        <v>2</v>
      </c>
      <c r="D40" s="3148" t="s">
        <v>3432</v>
      </c>
      <c r="E40" s="3147">
        <v>49.62</v>
      </c>
      <c r="F40" s="3147">
        <v>4.2</v>
      </c>
      <c r="G40" s="3147" t="s">
        <v>3394</v>
      </c>
      <c r="H40" s="3145" t="s">
        <v>21</v>
      </c>
      <c r="I40" s="3133" t="s">
        <v>3409</v>
      </c>
      <c r="J40" s="3133">
        <f>'[3]典型户型修正-办公'!S45</f>
        <v>73</v>
      </c>
      <c r="K40" s="3133">
        <f>'[3]典型户型修正-办公'!R45</f>
        <v>14811</v>
      </c>
    </row>
    <row r="41" spans="1:11">
      <c r="A41" s="3145"/>
      <c r="B41" s="3146">
        <v>23</v>
      </c>
      <c r="C41" s="3147">
        <v>2</v>
      </c>
      <c r="D41" s="3148" t="s">
        <v>3433</v>
      </c>
      <c r="E41" s="3147">
        <v>49.62</v>
      </c>
      <c r="F41" s="3147">
        <v>4.2</v>
      </c>
      <c r="G41" s="3147" t="s">
        <v>3394</v>
      </c>
      <c r="H41" s="3145" t="s">
        <v>21</v>
      </c>
      <c r="I41" s="3133" t="s">
        <v>3409</v>
      </c>
      <c r="J41" s="3133">
        <f>'[3]典型户型修正-办公'!S46</f>
        <v>73</v>
      </c>
      <c r="K41" s="3133">
        <f>'[3]典型户型修正-办公'!R46</f>
        <v>14811</v>
      </c>
    </row>
    <row r="42" spans="1:11">
      <c r="A42" s="3145"/>
      <c r="B42" s="3146">
        <v>24</v>
      </c>
      <c r="C42" s="3147">
        <v>2</v>
      </c>
      <c r="D42" s="3148" t="s">
        <v>3434</v>
      </c>
      <c r="E42" s="3147">
        <v>49.62</v>
      </c>
      <c r="F42" s="3147">
        <v>4.2</v>
      </c>
      <c r="G42" s="3147" t="s">
        <v>3394</v>
      </c>
      <c r="H42" s="3145" t="s">
        <v>21</v>
      </c>
      <c r="I42" s="3133" t="s">
        <v>3409</v>
      </c>
      <c r="J42" s="3133">
        <f>'[3]典型户型修正-办公'!S47</f>
        <v>73</v>
      </c>
      <c r="K42" s="3133">
        <f>'[3]典型户型修正-办公'!R47</f>
        <v>14811</v>
      </c>
    </row>
    <row r="43" spans="1:11">
      <c r="A43" s="3145"/>
      <c r="B43" s="3146">
        <v>25</v>
      </c>
      <c r="C43" s="3147">
        <v>2</v>
      </c>
      <c r="D43" s="3148" t="s">
        <v>3435</v>
      </c>
      <c r="E43" s="3147">
        <v>49.62</v>
      </c>
      <c r="F43" s="3147">
        <v>4.2</v>
      </c>
      <c r="G43" s="3147" t="s">
        <v>3394</v>
      </c>
      <c r="H43" s="3145" t="s">
        <v>21</v>
      </c>
      <c r="I43" s="3133" t="s">
        <v>3409</v>
      </c>
      <c r="J43" s="3133">
        <f>'[3]典型户型修正-办公'!S48</f>
        <v>73</v>
      </c>
      <c r="K43" s="3133">
        <f>'[3]典型户型修正-办公'!R48</f>
        <v>14811</v>
      </c>
    </row>
    <row r="44" spans="1:11">
      <c r="A44" s="3145"/>
      <c r="B44" s="3146">
        <v>26</v>
      </c>
      <c r="C44" s="3147">
        <v>2</v>
      </c>
      <c r="D44" s="3148" t="s">
        <v>3436</v>
      </c>
      <c r="E44" s="3147">
        <v>49.62</v>
      </c>
      <c r="F44" s="3147">
        <v>4.2</v>
      </c>
      <c r="G44" s="3147" t="s">
        <v>3394</v>
      </c>
      <c r="H44" s="3145" t="s">
        <v>21</v>
      </c>
      <c r="I44" s="3133" t="s">
        <v>3409</v>
      </c>
      <c r="J44" s="3133">
        <f>'[3]典型户型修正-办公'!S49</f>
        <v>73</v>
      </c>
      <c r="K44" s="3133">
        <f>'[3]典型户型修正-办公'!R49</f>
        <v>14811</v>
      </c>
    </row>
    <row r="45" spans="1:11">
      <c r="A45" s="3145"/>
      <c r="B45" s="3146">
        <v>27</v>
      </c>
      <c r="C45" s="3147">
        <v>2</v>
      </c>
      <c r="D45" s="3148" t="s">
        <v>3437</v>
      </c>
      <c r="E45" s="3147">
        <v>49.62</v>
      </c>
      <c r="F45" s="3147">
        <v>4.2</v>
      </c>
      <c r="G45" s="3147" t="s">
        <v>3394</v>
      </c>
      <c r="H45" s="3145" t="s">
        <v>21</v>
      </c>
      <c r="I45" s="3133" t="s">
        <v>3409</v>
      </c>
      <c r="J45" s="3133">
        <f>'[3]典型户型修正-办公'!S50</f>
        <v>73</v>
      </c>
      <c r="K45" s="3133">
        <f>'[3]典型户型修正-办公'!R50</f>
        <v>14811</v>
      </c>
    </row>
    <row r="46" spans="1:11">
      <c r="A46" s="3145"/>
      <c r="B46" s="3146">
        <v>28</v>
      </c>
      <c r="C46" s="3147">
        <v>2</v>
      </c>
      <c r="D46" s="3148" t="s">
        <v>3438</v>
      </c>
      <c r="E46" s="3147">
        <v>68.78</v>
      </c>
      <c r="F46" s="3147">
        <v>4.2</v>
      </c>
      <c r="G46" s="3147" t="s">
        <v>3394</v>
      </c>
      <c r="H46" s="3145" t="s">
        <v>21</v>
      </c>
      <c r="I46" s="3133" t="s">
        <v>3409</v>
      </c>
      <c r="J46" s="3133">
        <f>'[3]典型户型修正-办公'!S51</f>
        <v>103</v>
      </c>
      <c r="K46" s="3133">
        <f>'[3]典型户型修正-办公'!R51</f>
        <v>14959</v>
      </c>
    </row>
    <row r="47" spans="1:11">
      <c r="A47" s="3145"/>
      <c r="B47" s="3146">
        <v>29</v>
      </c>
      <c r="C47" s="3147">
        <v>2</v>
      </c>
      <c r="D47" s="3148" t="s">
        <v>3439</v>
      </c>
      <c r="E47" s="3147">
        <v>39.49</v>
      </c>
      <c r="F47" s="3147">
        <v>4.2</v>
      </c>
      <c r="G47" s="3147" t="s">
        <v>3394</v>
      </c>
      <c r="H47" s="3145" t="s">
        <v>21</v>
      </c>
      <c r="I47" s="3133" t="s">
        <v>3409</v>
      </c>
      <c r="J47" s="3133">
        <f>'[3]典型户型修正-办公'!S52</f>
        <v>58</v>
      </c>
      <c r="K47" s="3133">
        <f>'[3]典型户型修正-办公'!R52</f>
        <v>14811</v>
      </c>
    </row>
    <row r="48" spans="1:11">
      <c r="A48" s="3145"/>
      <c r="B48" s="3146">
        <v>30</v>
      </c>
      <c r="C48" s="3147">
        <v>2</v>
      </c>
      <c r="D48" s="3148" t="s">
        <v>3440</v>
      </c>
      <c r="E48" s="3147">
        <v>42.78</v>
      </c>
      <c r="F48" s="3147">
        <v>4.2</v>
      </c>
      <c r="G48" s="3147" t="s">
        <v>3394</v>
      </c>
      <c r="H48" s="3145" t="s">
        <v>21</v>
      </c>
      <c r="I48" s="3133" t="s">
        <v>3409</v>
      </c>
      <c r="J48" s="3133">
        <f>'[3]典型户型修正-办公'!S53</f>
        <v>63</v>
      </c>
      <c r="K48" s="3133">
        <f>'[3]典型户型修正-办公'!R53</f>
        <v>14811</v>
      </c>
    </row>
    <row r="49" spans="1:11">
      <c r="A49" s="3145"/>
      <c r="B49" s="3146">
        <v>31</v>
      </c>
      <c r="C49" s="3147">
        <v>2</v>
      </c>
      <c r="D49" s="3148" t="s">
        <v>3441</v>
      </c>
      <c r="E49" s="3147">
        <v>45.46</v>
      </c>
      <c r="F49" s="3147">
        <v>4.2</v>
      </c>
      <c r="G49" s="3147" t="s">
        <v>3394</v>
      </c>
      <c r="H49" s="3145" t="s">
        <v>21</v>
      </c>
      <c r="I49" s="3133" t="s">
        <v>3409</v>
      </c>
      <c r="J49" s="3133">
        <f>'[3]典型户型修正-办公'!S54</f>
        <v>67</v>
      </c>
      <c r="K49" s="3133">
        <f>'[3]典型户型修正-办公'!R54</f>
        <v>14811</v>
      </c>
    </row>
    <row r="50" spans="1:11">
      <c r="A50" s="3145"/>
      <c r="B50" s="3146">
        <v>32</v>
      </c>
      <c r="C50" s="3147">
        <v>2</v>
      </c>
      <c r="D50" s="3148" t="s">
        <v>3442</v>
      </c>
      <c r="E50" s="3147">
        <v>47.56</v>
      </c>
      <c r="F50" s="3147">
        <v>4.2</v>
      </c>
      <c r="G50" s="3147" t="s">
        <v>3394</v>
      </c>
      <c r="H50" s="3145" t="s">
        <v>21</v>
      </c>
      <c r="I50" s="3133" t="s">
        <v>3409</v>
      </c>
      <c r="J50" s="3133">
        <f>'[3]典型户型修正-办公'!S55</f>
        <v>70</v>
      </c>
      <c r="K50" s="3133">
        <f>'[3]典型户型修正-办公'!R55</f>
        <v>14811</v>
      </c>
    </row>
    <row r="51" spans="1:11">
      <c r="A51" s="3145"/>
      <c r="B51" s="3146">
        <v>33</v>
      </c>
      <c r="C51" s="3147">
        <v>2</v>
      </c>
      <c r="D51" s="3148" t="s">
        <v>3443</v>
      </c>
      <c r="E51" s="3147">
        <v>49</v>
      </c>
      <c r="F51" s="3147">
        <v>4.2</v>
      </c>
      <c r="G51" s="3147" t="s">
        <v>3394</v>
      </c>
      <c r="H51" s="3145" t="s">
        <v>21</v>
      </c>
      <c r="I51" s="3133" t="s">
        <v>3409</v>
      </c>
      <c r="J51" s="3133">
        <f>'[3]典型户型修正-办公'!S56</f>
        <v>73</v>
      </c>
      <c r="K51" s="3133">
        <f>'[3]典型户型修正-办公'!R56</f>
        <v>14811</v>
      </c>
    </row>
    <row r="52" spans="1:11">
      <c r="A52" s="3145"/>
      <c r="B52" s="3146">
        <v>34</v>
      </c>
      <c r="C52" s="3147">
        <v>2</v>
      </c>
      <c r="D52" s="3148" t="s">
        <v>3444</v>
      </c>
      <c r="E52" s="3147">
        <v>49.98</v>
      </c>
      <c r="F52" s="3147">
        <v>4.2</v>
      </c>
      <c r="G52" s="3147" t="s">
        <v>3394</v>
      </c>
      <c r="H52" s="3145" t="s">
        <v>21</v>
      </c>
      <c r="I52" s="3133" t="s">
        <v>3409</v>
      </c>
      <c r="J52" s="3133">
        <f>'[3]典型户型修正-办公'!S57</f>
        <v>74</v>
      </c>
      <c r="K52" s="3133">
        <f>'[3]典型户型修正-办公'!R57</f>
        <v>14811</v>
      </c>
    </row>
    <row r="53" spans="1:11">
      <c r="A53" s="3145"/>
      <c r="B53" s="3146">
        <v>35</v>
      </c>
      <c r="C53" s="3147">
        <v>2</v>
      </c>
      <c r="D53" s="3148" t="s">
        <v>3445</v>
      </c>
      <c r="E53" s="3147">
        <v>50.24</v>
      </c>
      <c r="F53" s="3147">
        <v>4.2</v>
      </c>
      <c r="G53" s="3147" t="s">
        <v>3394</v>
      </c>
      <c r="H53" s="3145" t="s">
        <v>21</v>
      </c>
      <c r="I53" s="3133" t="s">
        <v>3409</v>
      </c>
      <c r="J53" s="3133">
        <f>'[3]典型户型修正-办公'!S58</f>
        <v>74</v>
      </c>
      <c r="K53" s="3133">
        <f>'[3]典型户型修正-办公'!R58</f>
        <v>14811</v>
      </c>
    </row>
    <row r="54" spans="1:11">
      <c r="A54" s="3145"/>
      <c r="B54" s="3146">
        <v>36</v>
      </c>
      <c r="C54" s="3147">
        <v>2</v>
      </c>
      <c r="D54" s="3148" t="s">
        <v>3446</v>
      </c>
      <c r="E54" s="3147">
        <v>49.95</v>
      </c>
      <c r="F54" s="3147">
        <v>4.2</v>
      </c>
      <c r="G54" s="3147" t="s">
        <v>3394</v>
      </c>
      <c r="H54" s="3145" t="s">
        <v>21</v>
      </c>
      <c r="I54" s="3133" t="s">
        <v>3409</v>
      </c>
      <c r="J54" s="3133">
        <f>'[3]典型户型修正-办公'!S59</f>
        <v>74</v>
      </c>
      <c r="K54" s="3133">
        <f>'[3]典型户型修正-办公'!R59</f>
        <v>14811</v>
      </c>
    </row>
    <row r="55" spans="1:11">
      <c r="A55" s="3145"/>
      <c r="B55" s="3146">
        <v>37</v>
      </c>
      <c r="C55" s="3147">
        <v>2</v>
      </c>
      <c r="D55" s="3148" t="s">
        <v>3447</v>
      </c>
      <c r="E55" s="3147">
        <v>49.06</v>
      </c>
      <c r="F55" s="3147">
        <v>4.2</v>
      </c>
      <c r="G55" s="3147" t="s">
        <v>3394</v>
      </c>
      <c r="H55" s="3145" t="s">
        <v>21</v>
      </c>
      <c r="I55" s="3133" t="s">
        <v>3409</v>
      </c>
      <c r="J55" s="3133">
        <f>'[3]典型户型修正-办公'!S60</f>
        <v>73</v>
      </c>
      <c r="K55" s="3133">
        <f>'[3]典型户型修正-办公'!R60</f>
        <v>14811</v>
      </c>
    </row>
    <row r="56" spans="1:11">
      <c r="A56" s="3145"/>
      <c r="B56" s="3146">
        <v>38</v>
      </c>
      <c r="C56" s="3147">
        <v>2</v>
      </c>
      <c r="D56" s="3148" t="s">
        <v>3448</v>
      </c>
      <c r="E56" s="3147">
        <v>72.27</v>
      </c>
      <c r="F56" s="3147">
        <v>4.2</v>
      </c>
      <c r="G56" s="3147" t="s">
        <v>3394</v>
      </c>
      <c r="H56" s="3145" t="s">
        <v>21</v>
      </c>
      <c r="I56" s="3133" t="s">
        <v>3409</v>
      </c>
      <c r="J56" s="3133">
        <f>'[3]典型户型修正-办公'!S61</f>
        <v>108</v>
      </c>
      <c r="K56" s="3133">
        <f>'[3]典型户型修正-办公'!R61</f>
        <v>14959</v>
      </c>
    </row>
    <row r="57" spans="1:11">
      <c r="A57" s="3145"/>
      <c r="B57" s="3146">
        <v>39</v>
      </c>
      <c r="C57" s="3147">
        <v>3</v>
      </c>
      <c r="D57" s="3148" t="s">
        <v>3449</v>
      </c>
      <c r="E57" s="3147">
        <v>49.62</v>
      </c>
      <c r="F57" s="3147">
        <v>3</v>
      </c>
      <c r="G57" s="3147" t="s">
        <v>3408</v>
      </c>
      <c r="H57" s="3145" t="s">
        <v>21</v>
      </c>
      <c r="I57" s="3133" t="s">
        <v>3409</v>
      </c>
      <c r="J57" s="3133">
        <f>'[3]典型户型修正-办公'!S62</f>
        <v>70</v>
      </c>
      <c r="K57" s="3133">
        <f>'[3]典型户型修正-办公'!R62</f>
        <v>14106</v>
      </c>
    </row>
    <row r="58" spans="1:11">
      <c r="A58" s="3145"/>
      <c r="B58" s="3146">
        <v>40</v>
      </c>
      <c r="C58" s="3147">
        <v>3</v>
      </c>
      <c r="D58" s="3148" t="s">
        <v>3450</v>
      </c>
      <c r="E58" s="3147">
        <v>49.62</v>
      </c>
      <c r="F58" s="3147">
        <v>3</v>
      </c>
      <c r="G58" s="3147" t="s">
        <v>3408</v>
      </c>
      <c r="H58" s="3145" t="s">
        <v>21</v>
      </c>
      <c r="I58" s="3133" t="s">
        <v>3409</v>
      </c>
      <c r="J58" s="3133">
        <f>'[3]典型户型修正-办公'!S63</f>
        <v>70</v>
      </c>
      <c r="K58" s="3133">
        <f>'[3]典型户型修正-办公'!R63</f>
        <v>14106</v>
      </c>
    </row>
    <row r="59" spans="1:11">
      <c r="A59" s="3145"/>
      <c r="B59" s="3146">
        <v>41</v>
      </c>
      <c r="C59" s="3147">
        <v>3</v>
      </c>
      <c r="D59" s="3148" t="s">
        <v>3451</v>
      </c>
      <c r="E59" s="3147">
        <v>49.62</v>
      </c>
      <c r="F59" s="3147">
        <v>3</v>
      </c>
      <c r="G59" s="3147" t="s">
        <v>3408</v>
      </c>
      <c r="H59" s="3145" t="s">
        <v>21</v>
      </c>
      <c r="I59" s="3133" t="s">
        <v>3409</v>
      </c>
      <c r="J59" s="3133">
        <f>'[3]典型户型修正-办公'!S64</f>
        <v>70</v>
      </c>
      <c r="K59" s="3133">
        <f>'[3]典型户型修正-办公'!R64</f>
        <v>14106</v>
      </c>
    </row>
    <row r="60" spans="1:11">
      <c r="A60" s="3145"/>
      <c r="B60" s="3146">
        <v>42</v>
      </c>
      <c r="C60" s="3147">
        <v>3</v>
      </c>
      <c r="D60" s="3148" t="s">
        <v>3452</v>
      </c>
      <c r="E60" s="3147">
        <v>49.62</v>
      </c>
      <c r="F60" s="3147">
        <v>3</v>
      </c>
      <c r="G60" s="3147" t="s">
        <v>3408</v>
      </c>
      <c r="H60" s="3145" t="s">
        <v>21</v>
      </c>
      <c r="I60" s="3133" t="s">
        <v>3409</v>
      </c>
      <c r="J60" s="3133">
        <f>'[3]典型户型修正-办公'!S65</f>
        <v>70</v>
      </c>
      <c r="K60" s="3133">
        <f>'[3]典型户型修正-办公'!R65</f>
        <v>14106</v>
      </c>
    </row>
    <row r="61" spans="1:11">
      <c r="A61" s="3145"/>
      <c r="B61" s="3146">
        <v>43</v>
      </c>
      <c r="C61" s="3147">
        <v>3</v>
      </c>
      <c r="D61" s="3148" t="s">
        <v>3453</v>
      </c>
      <c r="E61" s="3147">
        <v>49.62</v>
      </c>
      <c r="F61" s="3147">
        <v>3</v>
      </c>
      <c r="G61" s="3147" t="s">
        <v>3408</v>
      </c>
      <c r="H61" s="3145" t="s">
        <v>21</v>
      </c>
      <c r="I61" s="3133" t="s">
        <v>3409</v>
      </c>
      <c r="J61" s="3133">
        <f>'[3]典型户型修正-办公'!S66</f>
        <v>70</v>
      </c>
      <c r="K61" s="3133">
        <f>'[3]典型户型修正-办公'!R66</f>
        <v>14106</v>
      </c>
    </row>
    <row r="62" spans="1:11">
      <c r="A62" s="3145"/>
      <c r="B62" s="3146">
        <v>44</v>
      </c>
      <c r="C62" s="3147">
        <v>3</v>
      </c>
      <c r="D62" s="3148" t="s">
        <v>3454</v>
      </c>
      <c r="E62" s="3147">
        <v>49.62</v>
      </c>
      <c r="F62" s="3147">
        <v>3</v>
      </c>
      <c r="G62" s="3147" t="s">
        <v>3408</v>
      </c>
      <c r="H62" s="3145" t="s">
        <v>21</v>
      </c>
      <c r="I62" s="3133" t="s">
        <v>3409</v>
      </c>
      <c r="J62" s="3133">
        <f>'[3]典型户型修正-办公'!S67</f>
        <v>70</v>
      </c>
      <c r="K62" s="3133">
        <f>'[3]典型户型修正-办公'!R67</f>
        <v>14106</v>
      </c>
    </row>
    <row r="63" spans="1:11">
      <c r="A63" s="3145"/>
      <c r="B63" s="3146">
        <v>45</v>
      </c>
      <c r="C63" s="3147">
        <v>3</v>
      </c>
      <c r="D63" s="3148" t="s">
        <v>3455</v>
      </c>
      <c r="E63" s="3147">
        <v>49.62</v>
      </c>
      <c r="F63" s="3147">
        <v>3</v>
      </c>
      <c r="G63" s="3147" t="s">
        <v>3408</v>
      </c>
      <c r="H63" s="3145" t="s">
        <v>21</v>
      </c>
      <c r="I63" s="3133" t="s">
        <v>3409</v>
      </c>
      <c r="J63" s="3133">
        <f>'[3]典型户型修正-办公'!S68</f>
        <v>70</v>
      </c>
      <c r="K63" s="3133">
        <f>'[3]典型户型修正-办公'!R68</f>
        <v>14106</v>
      </c>
    </row>
    <row r="64" spans="1:11">
      <c r="A64" s="3145"/>
      <c r="B64" s="3146">
        <v>46</v>
      </c>
      <c r="C64" s="3147">
        <v>3</v>
      </c>
      <c r="D64" s="3148" t="s">
        <v>3456</v>
      </c>
      <c r="E64" s="3147">
        <v>49.62</v>
      </c>
      <c r="F64" s="3147">
        <v>3</v>
      </c>
      <c r="G64" s="3147" t="s">
        <v>3408</v>
      </c>
      <c r="H64" s="3145" t="s">
        <v>21</v>
      </c>
      <c r="I64" s="3133" t="s">
        <v>3409</v>
      </c>
      <c r="J64" s="3133">
        <f>'[3]典型户型修正-办公'!S69</f>
        <v>70</v>
      </c>
      <c r="K64" s="3133">
        <f>'[3]典型户型修正-办公'!R69</f>
        <v>14106</v>
      </c>
    </row>
    <row r="65" spans="1:11">
      <c r="A65" s="3145"/>
      <c r="B65" s="3146">
        <v>47</v>
      </c>
      <c r="C65" s="3147">
        <v>3</v>
      </c>
      <c r="D65" s="3148" t="s">
        <v>3457</v>
      </c>
      <c r="E65" s="3147">
        <v>49.62</v>
      </c>
      <c r="F65" s="3147">
        <v>3</v>
      </c>
      <c r="G65" s="3147" t="s">
        <v>3408</v>
      </c>
      <c r="H65" s="3145" t="s">
        <v>21</v>
      </c>
      <c r="I65" s="3133" t="s">
        <v>3409</v>
      </c>
      <c r="J65" s="3133">
        <f>'[3]典型户型修正-办公'!S70</f>
        <v>70</v>
      </c>
      <c r="K65" s="3133">
        <f>'[3]典型户型修正-办公'!R70</f>
        <v>14106</v>
      </c>
    </row>
    <row r="66" spans="1:11">
      <c r="A66" s="3145"/>
      <c r="B66" s="3146">
        <v>48</v>
      </c>
      <c r="C66" s="3147">
        <v>3</v>
      </c>
      <c r="D66" s="3148" t="s">
        <v>3458</v>
      </c>
      <c r="E66" s="3147">
        <v>49.62</v>
      </c>
      <c r="F66" s="3147">
        <v>3</v>
      </c>
      <c r="G66" s="3147" t="s">
        <v>3408</v>
      </c>
      <c r="H66" s="3145" t="s">
        <v>21</v>
      </c>
      <c r="I66" s="3133" t="s">
        <v>3409</v>
      </c>
      <c r="J66" s="3133">
        <f>'[3]典型户型修正-办公'!S71</f>
        <v>70</v>
      </c>
      <c r="K66" s="3133">
        <f>'[3]典型户型修正-办公'!R71</f>
        <v>14106</v>
      </c>
    </row>
    <row r="67" spans="1:11">
      <c r="A67" s="3145"/>
      <c r="B67" s="3146">
        <v>49</v>
      </c>
      <c r="C67" s="3147">
        <v>3</v>
      </c>
      <c r="D67" s="3148" t="s">
        <v>3459</v>
      </c>
      <c r="E67" s="3147">
        <v>49.62</v>
      </c>
      <c r="F67" s="3147">
        <v>3</v>
      </c>
      <c r="G67" s="3147" t="s">
        <v>3408</v>
      </c>
      <c r="H67" s="3145" t="s">
        <v>21</v>
      </c>
      <c r="I67" s="3133" t="s">
        <v>3409</v>
      </c>
      <c r="J67" s="3133">
        <f>'[3]典型户型修正-办公'!S72</f>
        <v>70</v>
      </c>
      <c r="K67" s="3133">
        <f>'[3]典型户型修正-办公'!R72</f>
        <v>14106</v>
      </c>
    </row>
    <row r="68" spans="1:11">
      <c r="A68" s="3145"/>
      <c r="B68" s="3146">
        <v>50</v>
      </c>
      <c r="C68" s="3147">
        <v>3</v>
      </c>
      <c r="D68" s="3148" t="s">
        <v>3460</v>
      </c>
      <c r="E68" s="3147">
        <v>49.62</v>
      </c>
      <c r="F68" s="3147">
        <v>3</v>
      </c>
      <c r="G68" s="3147" t="s">
        <v>3408</v>
      </c>
      <c r="H68" s="3145" t="s">
        <v>21</v>
      </c>
      <c r="I68" s="3133" t="s">
        <v>3409</v>
      </c>
      <c r="J68" s="3133">
        <f>'[3]典型户型修正-办公'!S73</f>
        <v>70</v>
      </c>
      <c r="K68" s="3133">
        <f>'[3]典型户型修正-办公'!R73</f>
        <v>14106</v>
      </c>
    </row>
    <row r="69" spans="1:11">
      <c r="A69" s="3145"/>
      <c r="B69" s="3146">
        <v>51</v>
      </c>
      <c r="C69" s="3147">
        <v>3</v>
      </c>
      <c r="D69" s="3148" t="s">
        <v>3461</v>
      </c>
      <c r="E69" s="3147">
        <v>49.62</v>
      </c>
      <c r="F69" s="3147">
        <v>3</v>
      </c>
      <c r="G69" s="3147" t="s">
        <v>3408</v>
      </c>
      <c r="H69" s="3145" t="s">
        <v>21</v>
      </c>
      <c r="I69" s="3133" t="s">
        <v>3409</v>
      </c>
      <c r="J69" s="3133">
        <f>'[3]典型户型修正-办公'!S74</f>
        <v>70</v>
      </c>
      <c r="K69" s="3133">
        <f>'[3]典型户型修正-办公'!R74</f>
        <v>14106</v>
      </c>
    </row>
    <row r="70" spans="1:11">
      <c r="A70" s="3145"/>
      <c r="B70" s="3146">
        <v>52</v>
      </c>
      <c r="C70" s="3147">
        <v>3</v>
      </c>
      <c r="D70" s="3148" t="s">
        <v>3462</v>
      </c>
      <c r="E70" s="3147">
        <v>49.62</v>
      </c>
      <c r="F70" s="3147">
        <v>3</v>
      </c>
      <c r="G70" s="3147" t="s">
        <v>3408</v>
      </c>
      <c r="H70" s="3145" t="s">
        <v>21</v>
      </c>
      <c r="I70" s="3133" t="s">
        <v>3409</v>
      </c>
      <c r="J70" s="3133">
        <f>'[3]典型户型修正-办公'!S75</f>
        <v>70</v>
      </c>
      <c r="K70" s="3133">
        <f>'[3]典型户型修正-办公'!R75</f>
        <v>14106</v>
      </c>
    </row>
    <row r="71" spans="1:11">
      <c r="A71" s="3145"/>
      <c r="B71" s="3146">
        <v>53</v>
      </c>
      <c r="C71" s="3147">
        <v>3</v>
      </c>
      <c r="D71" s="3148" t="s">
        <v>3463</v>
      </c>
      <c r="E71" s="3147">
        <v>68.78</v>
      </c>
      <c r="F71" s="3147">
        <v>3</v>
      </c>
      <c r="G71" s="3147" t="s">
        <v>3408</v>
      </c>
      <c r="H71" s="3145" t="s">
        <v>21</v>
      </c>
      <c r="I71" s="3133" t="s">
        <v>3409</v>
      </c>
      <c r="J71" s="3133">
        <f>'[3]典型户型修正-办公'!S76</f>
        <v>98</v>
      </c>
      <c r="K71" s="3133">
        <f>'[3]典型户型修正-办公'!R76</f>
        <v>14247</v>
      </c>
    </row>
    <row r="72" spans="1:11">
      <c r="A72" s="3145"/>
      <c r="B72" s="3146">
        <v>54</v>
      </c>
      <c r="C72" s="3147">
        <v>3</v>
      </c>
      <c r="D72" s="3148" t="s">
        <v>3464</v>
      </c>
      <c r="E72" s="3147">
        <v>38.1</v>
      </c>
      <c r="F72" s="3147">
        <v>3</v>
      </c>
      <c r="G72" s="3147" t="s">
        <v>3408</v>
      </c>
      <c r="H72" s="3145" t="s">
        <v>21</v>
      </c>
      <c r="I72" s="3133" t="s">
        <v>3409</v>
      </c>
      <c r="J72" s="3133">
        <f>'[3]典型户型修正-办公'!S77</f>
        <v>54</v>
      </c>
      <c r="K72" s="3133">
        <f>'[3]典型户型修正-办公'!R77</f>
        <v>14106</v>
      </c>
    </row>
    <row r="73" spans="1:11">
      <c r="A73" s="3145"/>
      <c r="B73" s="3146">
        <v>55</v>
      </c>
      <c r="C73" s="3147">
        <v>3</v>
      </c>
      <c r="D73" s="3148" t="s">
        <v>3465</v>
      </c>
      <c r="E73" s="3147">
        <v>41.4</v>
      </c>
      <c r="F73" s="3147">
        <v>3</v>
      </c>
      <c r="G73" s="3147" t="s">
        <v>3408</v>
      </c>
      <c r="H73" s="3145" t="s">
        <v>21</v>
      </c>
      <c r="I73" s="3133" t="s">
        <v>3409</v>
      </c>
      <c r="J73" s="3133">
        <f>'[3]典型户型修正-办公'!S78</f>
        <v>58</v>
      </c>
      <c r="K73" s="3133">
        <f>'[3]典型户型修正-办公'!R78</f>
        <v>14106</v>
      </c>
    </row>
    <row r="74" spans="1:11">
      <c r="A74" s="3145"/>
      <c r="B74" s="3146">
        <v>56</v>
      </c>
      <c r="C74" s="3147">
        <v>3</v>
      </c>
      <c r="D74" s="3148" t="s">
        <v>3466</v>
      </c>
      <c r="E74" s="3147">
        <v>44.09</v>
      </c>
      <c r="F74" s="3147">
        <v>3</v>
      </c>
      <c r="G74" s="3147" t="s">
        <v>3408</v>
      </c>
      <c r="H74" s="3145" t="s">
        <v>21</v>
      </c>
      <c r="I74" s="3133" t="s">
        <v>3409</v>
      </c>
      <c r="J74" s="3133">
        <f>'[3]典型户型修正-办公'!S79</f>
        <v>62</v>
      </c>
      <c r="K74" s="3133">
        <f>'[3]典型户型修正-办公'!R79</f>
        <v>14106</v>
      </c>
    </row>
    <row r="75" spans="1:11">
      <c r="A75" s="3145"/>
      <c r="B75" s="3146">
        <v>57</v>
      </c>
      <c r="C75" s="3147">
        <v>3</v>
      </c>
      <c r="D75" s="3148" t="s">
        <v>3467</v>
      </c>
      <c r="E75" s="3147">
        <v>46.17</v>
      </c>
      <c r="F75" s="3147">
        <v>3</v>
      </c>
      <c r="G75" s="3147" t="s">
        <v>3408</v>
      </c>
      <c r="H75" s="3145" t="s">
        <v>21</v>
      </c>
      <c r="I75" s="3133" t="s">
        <v>3409</v>
      </c>
      <c r="J75" s="3133">
        <f>'[3]典型户型修正-办公'!S80</f>
        <v>65</v>
      </c>
      <c r="K75" s="3133">
        <f>'[3]典型户型修正-办公'!R80</f>
        <v>14106</v>
      </c>
    </row>
    <row r="76" spans="1:11">
      <c r="A76" s="3145"/>
      <c r="B76" s="3146">
        <v>58</v>
      </c>
      <c r="C76" s="3147">
        <v>3</v>
      </c>
      <c r="D76" s="3148" t="s">
        <v>3468</v>
      </c>
      <c r="E76" s="3147">
        <v>47.65</v>
      </c>
      <c r="F76" s="3147">
        <v>3</v>
      </c>
      <c r="G76" s="3147" t="s">
        <v>3408</v>
      </c>
      <c r="H76" s="3145" t="s">
        <v>21</v>
      </c>
      <c r="I76" s="3133" t="s">
        <v>3409</v>
      </c>
      <c r="J76" s="3133">
        <f>'[3]典型户型修正-办公'!S81</f>
        <v>67</v>
      </c>
      <c r="K76" s="3133">
        <f>'[3]典型户型修正-办公'!R81</f>
        <v>14106</v>
      </c>
    </row>
    <row r="77" spans="1:11">
      <c r="A77" s="3145"/>
      <c r="B77" s="3146">
        <v>59</v>
      </c>
      <c r="C77" s="3147">
        <v>3</v>
      </c>
      <c r="D77" s="3148" t="s">
        <v>3469</v>
      </c>
      <c r="E77" s="3147">
        <v>48.6</v>
      </c>
      <c r="F77" s="3147">
        <v>3</v>
      </c>
      <c r="G77" s="3147" t="s">
        <v>3408</v>
      </c>
      <c r="H77" s="3145" t="s">
        <v>21</v>
      </c>
      <c r="I77" s="3133" t="s">
        <v>3409</v>
      </c>
      <c r="J77" s="3133">
        <f>'[3]典型户型修正-办公'!S82</f>
        <v>69</v>
      </c>
      <c r="K77" s="3133">
        <f>'[3]典型户型修正-办公'!R82</f>
        <v>14106</v>
      </c>
    </row>
    <row r="78" spans="1:11">
      <c r="A78" s="3145"/>
      <c r="B78" s="3146">
        <v>60</v>
      </c>
      <c r="C78" s="3147">
        <v>3</v>
      </c>
      <c r="D78" s="3148" t="s">
        <v>3470</v>
      </c>
      <c r="E78" s="3147">
        <v>48.89</v>
      </c>
      <c r="F78" s="3147">
        <v>3</v>
      </c>
      <c r="G78" s="3147" t="s">
        <v>3408</v>
      </c>
      <c r="H78" s="3145" t="s">
        <v>21</v>
      </c>
      <c r="I78" s="3133" t="s">
        <v>3409</v>
      </c>
      <c r="J78" s="3133">
        <f>'[3]典型户型修正-办公'!S83</f>
        <v>69</v>
      </c>
      <c r="K78" s="3133">
        <f>'[3]典型户型修正-办公'!R83</f>
        <v>14106</v>
      </c>
    </row>
    <row r="79" spans="1:11">
      <c r="A79" s="3145"/>
      <c r="B79" s="3146">
        <v>61</v>
      </c>
      <c r="C79" s="3147">
        <v>3</v>
      </c>
      <c r="D79" s="3148" t="s">
        <v>3471</v>
      </c>
      <c r="E79" s="3147">
        <v>48.59</v>
      </c>
      <c r="F79" s="3147">
        <v>3</v>
      </c>
      <c r="G79" s="3147" t="s">
        <v>3408</v>
      </c>
      <c r="H79" s="3145" t="s">
        <v>21</v>
      </c>
      <c r="I79" s="3133" t="s">
        <v>3409</v>
      </c>
      <c r="J79" s="3133">
        <f>'[3]典型户型修正-办公'!S84</f>
        <v>69</v>
      </c>
      <c r="K79" s="3133">
        <f>'[3]典型户型修正-办公'!R84</f>
        <v>14106</v>
      </c>
    </row>
    <row r="80" spans="1:11">
      <c r="A80" s="3145"/>
      <c r="B80" s="3146">
        <v>62</v>
      </c>
      <c r="C80" s="3147">
        <v>3</v>
      </c>
      <c r="D80" s="3148" t="s">
        <v>3472</v>
      </c>
      <c r="E80" s="3147">
        <v>47.73</v>
      </c>
      <c r="F80" s="3147">
        <v>3</v>
      </c>
      <c r="G80" s="3147" t="s">
        <v>3408</v>
      </c>
      <c r="H80" s="3145" t="s">
        <v>21</v>
      </c>
      <c r="I80" s="3133" t="s">
        <v>3409</v>
      </c>
      <c r="J80" s="3133">
        <f>'[3]典型户型修正-办公'!S85</f>
        <v>67</v>
      </c>
      <c r="K80" s="3133">
        <f>'[3]典型户型修正-办公'!R85</f>
        <v>14106</v>
      </c>
    </row>
    <row r="81" spans="1:11">
      <c r="A81" s="3145"/>
      <c r="B81" s="3146">
        <v>63</v>
      </c>
      <c r="C81" s="3147">
        <v>3</v>
      </c>
      <c r="D81" s="3148" t="s">
        <v>3473</v>
      </c>
      <c r="E81" s="3147">
        <v>70.2</v>
      </c>
      <c r="F81" s="3147">
        <v>3</v>
      </c>
      <c r="G81" s="3147" t="s">
        <v>3408</v>
      </c>
      <c r="H81" s="3145" t="s">
        <v>21</v>
      </c>
      <c r="I81" s="3133" t="s">
        <v>3409</v>
      </c>
      <c r="J81" s="3133">
        <f>'[3]典型户型修正-办公'!S86</f>
        <v>100</v>
      </c>
      <c r="K81" s="3133">
        <f>'[3]典型户型修正-办公'!R86</f>
        <v>14247</v>
      </c>
    </row>
    <row r="82" spans="1:11">
      <c r="A82" s="3145"/>
      <c r="B82" s="3146">
        <v>64</v>
      </c>
      <c r="C82" s="3147">
        <v>4</v>
      </c>
      <c r="D82" s="3148" t="s">
        <v>3474</v>
      </c>
      <c r="E82" s="3147">
        <v>51.46</v>
      </c>
      <c r="F82" s="3147">
        <v>3</v>
      </c>
      <c r="G82" s="3147" t="s">
        <v>3408</v>
      </c>
      <c r="H82" s="3145" t="s">
        <v>21</v>
      </c>
      <c r="I82" s="3133" t="s">
        <v>3409</v>
      </c>
      <c r="J82" s="3133">
        <f>'[3]典型户型修正-办公'!S87</f>
        <v>73</v>
      </c>
      <c r="K82" s="3133">
        <f>'[3]典型户型修正-办公'!R87</f>
        <v>14106</v>
      </c>
    </row>
    <row r="83" spans="1:11">
      <c r="A83" s="3145"/>
      <c r="B83" s="3146">
        <v>65</v>
      </c>
      <c r="C83" s="3147">
        <v>4</v>
      </c>
      <c r="D83" s="3148" t="s">
        <v>3475</v>
      </c>
      <c r="E83" s="3147">
        <v>49.62</v>
      </c>
      <c r="F83" s="3147">
        <v>3</v>
      </c>
      <c r="G83" s="3147" t="s">
        <v>3408</v>
      </c>
      <c r="H83" s="3145" t="s">
        <v>21</v>
      </c>
      <c r="I83" s="3133" t="s">
        <v>3409</v>
      </c>
      <c r="J83" s="3133">
        <f>'[3]典型户型修正-办公'!S88</f>
        <v>70</v>
      </c>
      <c r="K83" s="3133">
        <f>'[3]典型户型修正-办公'!R88</f>
        <v>14106</v>
      </c>
    </row>
    <row r="84" spans="1:11">
      <c r="A84" s="3145"/>
      <c r="B84" s="3146">
        <v>66</v>
      </c>
      <c r="C84" s="3147">
        <v>4</v>
      </c>
      <c r="D84" s="3148" t="s">
        <v>3476</v>
      </c>
      <c r="E84" s="3147">
        <v>49.62</v>
      </c>
      <c r="F84" s="3147">
        <v>3</v>
      </c>
      <c r="G84" s="3147" t="s">
        <v>3408</v>
      </c>
      <c r="H84" s="3145" t="s">
        <v>21</v>
      </c>
      <c r="I84" s="3133" t="s">
        <v>3409</v>
      </c>
      <c r="J84" s="3133">
        <f>'[3]典型户型修正-办公'!S89</f>
        <v>70</v>
      </c>
      <c r="K84" s="3133">
        <f>'[3]典型户型修正-办公'!R89</f>
        <v>14106</v>
      </c>
    </row>
    <row r="85" spans="1:11">
      <c r="A85" s="3145"/>
      <c r="B85" s="3146">
        <v>67</v>
      </c>
      <c r="C85" s="3147">
        <v>4</v>
      </c>
      <c r="D85" s="3148" t="s">
        <v>3477</v>
      </c>
      <c r="E85" s="3147">
        <v>49.62</v>
      </c>
      <c r="F85" s="3147">
        <v>3</v>
      </c>
      <c r="G85" s="3147" t="s">
        <v>3408</v>
      </c>
      <c r="H85" s="3145" t="s">
        <v>21</v>
      </c>
      <c r="I85" s="3133" t="s">
        <v>3409</v>
      </c>
      <c r="J85" s="3133">
        <f>'[3]典型户型修正-办公'!S90</f>
        <v>70</v>
      </c>
      <c r="K85" s="3133">
        <f>'[3]典型户型修正-办公'!R90</f>
        <v>14106</v>
      </c>
    </row>
    <row r="86" spans="1:11">
      <c r="A86" s="3145"/>
      <c r="B86" s="3146">
        <v>68</v>
      </c>
      <c r="C86" s="3147">
        <v>4</v>
      </c>
      <c r="D86" s="3148" t="s">
        <v>3478</v>
      </c>
      <c r="E86" s="3147">
        <v>49.62</v>
      </c>
      <c r="F86" s="3147">
        <v>3</v>
      </c>
      <c r="G86" s="3147" t="s">
        <v>3408</v>
      </c>
      <c r="H86" s="3145" t="s">
        <v>21</v>
      </c>
      <c r="I86" s="3133" t="s">
        <v>3409</v>
      </c>
      <c r="J86" s="3133">
        <f>'[3]典型户型修正-办公'!S91</f>
        <v>70</v>
      </c>
      <c r="K86" s="3133">
        <f>'[3]典型户型修正-办公'!R91</f>
        <v>14106</v>
      </c>
    </row>
    <row r="87" spans="1:11">
      <c r="A87" s="3145"/>
      <c r="B87" s="3146">
        <v>69</v>
      </c>
      <c r="C87" s="3147">
        <v>4</v>
      </c>
      <c r="D87" s="3148" t="s">
        <v>3479</v>
      </c>
      <c r="E87" s="3147">
        <v>49.62</v>
      </c>
      <c r="F87" s="3147">
        <v>3</v>
      </c>
      <c r="G87" s="3147" t="s">
        <v>3408</v>
      </c>
      <c r="H87" s="3145" t="s">
        <v>21</v>
      </c>
      <c r="I87" s="3133" t="s">
        <v>3409</v>
      </c>
      <c r="J87" s="3133">
        <f>'[3]典型户型修正-办公'!S92</f>
        <v>70</v>
      </c>
      <c r="K87" s="3133">
        <f>'[3]典型户型修正-办公'!R92</f>
        <v>14106</v>
      </c>
    </row>
    <row r="88" spans="1:11">
      <c r="A88" s="3145"/>
      <c r="B88" s="3146">
        <v>70</v>
      </c>
      <c r="C88" s="3147">
        <v>4</v>
      </c>
      <c r="D88" s="3148" t="s">
        <v>3480</v>
      </c>
      <c r="E88" s="3147">
        <v>49.62</v>
      </c>
      <c r="F88" s="3147">
        <v>3</v>
      </c>
      <c r="G88" s="3147" t="s">
        <v>3408</v>
      </c>
      <c r="H88" s="3145" t="s">
        <v>21</v>
      </c>
      <c r="I88" s="3133" t="s">
        <v>3409</v>
      </c>
      <c r="J88" s="3133">
        <f>'[3]典型户型修正-办公'!S93</f>
        <v>70</v>
      </c>
      <c r="K88" s="3133">
        <f>'[3]典型户型修正-办公'!R93</f>
        <v>14106</v>
      </c>
    </row>
    <row r="89" spans="1:11">
      <c r="A89" s="3145"/>
      <c r="B89" s="3146">
        <v>71</v>
      </c>
      <c r="C89" s="3147">
        <v>4</v>
      </c>
      <c r="D89" s="3148" t="s">
        <v>3481</v>
      </c>
      <c r="E89" s="3147">
        <v>49.62</v>
      </c>
      <c r="F89" s="3147">
        <v>3</v>
      </c>
      <c r="G89" s="3147" t="s">
        <v>3408</v>
      </c>
      <c r="H89" s="3145" t="s">
        <v>21</v>
      </c>
      <c r="I89" s="3133" t="s">
        <v>3409</v>
      </c>
      <c r="J89" s="3133">
        <f>'[3]典型户型修正-办公'!S94</f>
        <v>70</v>
      </c>
      <c r="K89" s="3133">
        <f>'[3]典型户型修正-办公'!R94</f>
        <v>14106</v>
      </c>
    </row>
    <row r="90" spans="1:11">
      <c r="A90" s="3145"/>
      <c r="B90" s="3146">
        <v>72</v>
      </c>
      <c r="C90" s="3147">
        <v>4</v>
      </c>
      <c r="D90" s="3148" t="s">
        <v>3482</v>
      </c>
      <c r="E90" s="3147">
        <v>49.62</v>
      </c>
      <c r="F90" s="3147">
        <v>3</v>
      </c>
      <c r="G90" s="3147" t="s">
        <v>3408</v>
      </c>
      <c r="H90" s="3145" t="s">
        <v>21</v>
      </c>
      <c r="I90" s="3133" t="s">
        <v>3409</v>
      </c>
      <c r="J90" s="3133">
        <f>'[3]典型户型修正-办公'!S95</f>
        <v>70</v>
      </c>
      <c r="K90" s="3133">
        <f>'[3]典型户型修正-办公'!R95</f>
        <v>14106</v>
      </c>
    </row>
    <row r="91" spans="1:11">
      <c r="A91" s="3145"/>
      <c r="B91" s="3146">
        <v>73</v>
      </c>
      <c r="C91" s="3147">
        <v>4</v>
      </c>
      <c r="D91" s="3148" t="s">
        <v>3483</v>
      </c>
      <c r="E91" s="3147">
        <v>49.62</v>
      </c>
      <c r="F91" s="3147">
        <v>3</v>
      </c>
      <c r="G91" s="3147" t="s">
        <v>3408</v>
      </c>
      <c r="H91" s="3145" t="s">
        <v>21</v>
      </c>
      <c r="I91" s="3133" t="s">
        <v>3409</v>
      </c>
      <c r="J91" s="3133">
        <f>'[3]典型户型修正-办公'!S96</f>
        <v>70</v>
      </c>
      <c r="K91" s="3133">
        <f>'[3]典型户型修正-办公'!R96</f>
        <v>14106</v>
      </c>
    </row>
    <row r="92" spans="1:11">
      <c r="A92" s="3145"/>
      <c r="B92" s="3146">
        <v>74</v>
      </c>
      <c r="C92" s="3147">
        <v>4</v>
      </c>
      <c r="D92" s="3148" t="s">
        <v>3484</v>
      </c>
      <c r="E92" s="3147">
        <v>49.62</v>
      </c>
      <c r="F92" s="3147">
        <v>3</v>
      </c>
      <c r="G92" s="3147" t="s">
        <v>3408</v>
      </c>
      <c r="H92" s="3145" t="s">
        <v>21</v>
      </c>
      <c r="I92" s="3133" t="s">
        <v>3409</v>
      </c>
      <c r="J92" s="3133">
        <f>'[3]典型户型修正-办公'!S97</f>
        <v>70</v>
      </c>
      <c r="K92" s="3133">
        <f>'[3]典型户型修正-办公'!R97</f>
        <v>14106</v>
      </c>
    </row>
    <row r="93" spans="1:11">
      <c r="A93" s="3145"/>
      <c r="B93" s="3146">
        <v>75</v>
      </c>
      <c r="C93" s="3147">
        <v>4</v>
      </c>
      <c r="D93" s="3148" t="s">
        <v>3485</v>
      </c>
      <c r="E93" s="3147">
        <v>49.62</v>
      </c>
      <c r="F93" s="3147">
        <v>3</v>
      </c>
      <c r="G93" s="3147" t="s">
        <v>3408</v>
      </c>
      <c r="H93" s="3145" t="s">
        <v>21</v>
      </c>
      <c r="I93" s="3133" t="s">
        <v>3409</v>
      </c>
      <c r="J93" s="3133">
        <f>'[3]典型户型修正-办公'!S98</f>
        <v>70</v>
      </c>
      <c r="K93" s="3133">
        <f>'[3]典型户型修正-办公'!R98</f>
        <v>14106</v>
      </c>
    </row>
    <row r="94" spans="1:11">
      <c r="A94" s="3145"/>
      <c r="B94" s="3146">
        <v>76</v>
      </c>
      <c r="C94" s="3147">
        <v>4</v>
      </c>
      <c r="D94" s="3148" t="s">
        <v>3486</v>
      </c>
      <c r="E94" s="3147">
        <v>49.62</v>
      </c>
      <c r="F94" s="3147">
        <v>3</v>
      </c>
      <c r="G94" s="3147" t="s">
        <v>3408</v>
      </c>
      <c r="H94" s="3145" t="s">
        <v>21</v>
      </c>
      <c r="I94" s="3133" t="s">
        <v>3409</v>
      </c>
      <c r="J94" s="3133">
        <f>'[3]典型户型修正-办公'!S99</f>
        <v>70</v>
      </c>
      <c r="K94" s="3133">
        <f>'[3]典型户型修正-办公'!R99</f>
        <v>14106</v>
      </c>
    </row>
    <row r="95" spans="1:11">
      <c r="A95" s="3145"/>
      <c r="B95" s="3146">
        <v>77</v>
      </c>
      <c r="C95" s="3147">
        <v>4</v>
      </c>
      <c r="D95" s="3148" t="s">
        <v>3487</v>
      </c>
      <c r="E95" s="3147">
        <v>49.62</v>
      </c>
      <c r="F95" s="3147">
        <v>3</v>
      </c>
      <c r="G95" s="3147" t="s">
        <v>3408</v>
      </c>
      <c r="H95" s="3145" t="s">
        <v>21</v>
      </c>
      <c r="I95" s="3133" t="s">
        <v>3409</v>
      </c>
      <c r="J95" s="3133">
        <f>'[3]典型户型修正-办公'!S100</f>
        <v>70</v>
      </c>
      <c r="K95" s="3133">
        <f>'[3]典型户型修正-办公'!R100</f>
        <v>14106</v>
      </c>
    </row>
    <row r="96" spans="1:11">
      <c r="A96" s="3145"/>
      <c r="B96" s="3146">
        <v>78</v>
      </c>
      <c r="C96" s="3147">
        <v>4</v>
      </c>
      <c r="D96" s="3148" t="s">
        <v>3488</v>
      </c>
      <c r="E96" s="3147">
        <v>49.62</v>
      </c>
      <c r="F96" s="3147">
        <v>3</v>
      </c>
      <c r="G96" s="3147" t="s">
        <v>3408</v>
      </c>
      <c r="H96" s="3145" t="s">
        <v>21</v>
      </c>
      <c r="I96" s="3133" t="s">
        <v>3409</v>
      </c>
      <c r="J96" s="3133">
        <f>'[3]典型户型修正-办公'!S101</f>
        <v>70</v>
      </c>
      <c r="K96" s="3133">
        <f>'[3]典型户型修正-办公'!R101</f>
        <v>14106</v>
      </c>
    </row>
    <row r="97" spans="1:11">
      <c r="A97" s="3145"/>
      <c r="B97" s="3146">
        <v>79</v>
      </c>
      <c r="C97" s="3147">
        <v>4</v>
      </c>
      <c r="D97" s="3148" t="s">
        <v>3489</v>
      </c>
      <c r="E97" s="3147">
        <v>68.78</v>
      </c>
      <c r="F97" s="3147">
        <v>3</v>
      </c>
      <c r="G97" s="3147" t="s">
        <v>3408</v>
      </c>
      <c r="H97" s="3145" t="s">
        <v>21</v>
      </c>
      <c r="I97" s="3133" t="s">
        <v>3409</v>
      </c>
      <c r="J97" s="3133">
        <f>'[3]典型户型修正-办公'!S102</f>
        <v>98</v>
      </c>
      <c r="K97" s="3133">
        <f>'[3]典型户型修正-办公'!R102</f>
        <v>14247</v>
      </c>
    </row>
    <row r="98" spans="1:11">
      <c r="A98" s="3145"/>
      <c r="B98" s="3146">
        <v>80</v>
      </c>
      <c r="C98" s="3147">
        <v>4</v>
      </c>
      <c r="D98" s="3148" t="s">
        <v>3490</v>
      </c>
      <c r="E98" s="3147">
        <v>38.1</v>
      </c>
      <c r="F98" s="3147">
        <v>3</v>
      </c>
      <c r="G98" s="3147" t="s">
        <v>3408</v>
      </c>
      <c r="H98" s="3145" t="s">
        <v>21</v>
      </c>
      <c r="I98" s="3133" t="s">
        <v>3409</v>
      </c>
      <c r="J98" s="3133">
        <f>'[3]典型户型修正-办公'!S103</f>
        <v>54</v>
      </c>
      <c r="K98" s="3133">
        <f>'[3]典型户型修正-办公'!R103</f>
        <v>14106</v>
      </c>
    </row>
    <row r="99" spans="1:11">
      <c r="A99" s="3145"/>
      <c r="B99" s="3146">
        <v>81</v>
      </c>
      <c r="C99" s="3147">
        <v>4</v>
      </c>
      <c r="D99" s="3148" t="s">
        <v>3491</v>
      </c>
      <c r="E99" s="3147">
        <v>41.4</v>
      </c>
      <c r="F99" s="3147">
        <v>3</v>
      </c>
      <c r="G99" s="3147" t="s">
        <v>3408</v>
      </c>
      <c r="H99" s="3145" t="s">
        <v>21</v>
      </c>
      <c r="I99" s="3133" t="s">
        <v>3409</v>
      </c>
      <c r="J99" s="3133">
        <f>'[3]典型户型修正-办公'!S104</f>
        <v>58</v>
      </c>
      <c r="K99" s="3133">
        <f>'[3]典型户型修正-办公'!R104</f>
        <v>14106</v>
      </c>
    </row>
    <row r="100" spans="1:11">
      <c r="A100" s="3145"/>
      <c r="B100" s="3146">
        <v>82</v>
      </c>
      <c r="C100" s="3147">
        <v>4</v>
      </c>
      <c r="D100" s="3148" t="s">
        <v>3492</v>
      </c>
      <c r="E100" s="3147">
        <v>44.09</v>
      </c>
      <c r="F100" s="3147">
        <v>3</v>
      </c>
      <c r="G100" s="3147" t="s">
        <v>3408</v>
      </c>
      <c r="H100" s="3145" t="s">
        <v>21</v>
      </c>
      <c r="I100" s="3133" t="s">
        <v>3409</v>
      </c>
      <c r="J100" s="3133">
        <f>'[3]典型户型修正-办公'!S105</f>
        <v>62</v>
      </c>
      <c r="K100" s="3133">
        <f>'[3]典型户型修正-办公'!R105</f>
        <v>14106</v>
      </c>
    </row>
    <row r="101" spans="1:11">
      <c r="A101" s="3145"/>
      <c r="B101" s="3146">
        <v>83</v>
      </c>
      <c r="C101" s="3147">
        <v>4</v>
      </c>
      <c r="D101" s="3148" t="s">
        <v>3493</v>
      </c>
      <c r="E101" s="3147">
        <v>46.17</v>
      </c>
      <c r="F101" s="3147">
        <v>3</v>
      </c>
      <c r="G101" s="3147" t="s">
        <v>3408</v>
      </c>
      <c r="H101" s="3145" t="s">
        <v>21</v>
      </c>
      <c r="I101" s="3133" t="s">
        <v>3409</v>
      </c>
      <c r="J101" s="3133">
        <f>'[3]典型户型修正-办公'!S106</f>
        <v>65</v>
      </c>
      <c r="K101" s="3133">
        <f>'[3]典型户型修正-办公'!R106</f>
        <v>14106</v>
      </c>
    </row>
    <row r="102" spans="1:11">
      <c r="A102" s="3145"/>
      <c r="B102" s="3146">
        <v>84</v>
      </c>
      <c r="C102" s="3147">
        <v>4</v>
      </c>
      <c r="D102" s="3148" t="s">
        <v>3494</v>
      </c>
      <c r="E102" s="3147">
        <v>47.65</v>
      </c>
      <c r="F102" s="3147">
        <v>3</v>
      </c>
      <c r="G102" s="3147" t="s">
        <v>3408</v>
      </c>
      <c r="H102" s="3145" t="s">
        <v>21</v>
      </c>
      <c r="I102" s="3133" t="s">
        <v>3409</v>
      </c>
      <c r="J102" s="3133">
        <f>'[3]典型户型修正-办公'!S107</f>
        <v>67</v>
      </c>
      <c r="K102" s="3133">
        <f>'[3]典型户型修正-办公'!R107</f>
        <v>14106</v>
      </c>
    </row>
    <row r="103" spans="1:11">
      <c r="A103" s="3145"/>
      <c r="B103" s="3146">
        <v>85</v>
      </c>
      <c r="C103" s="3147">
        <v>4</v>
      </c>
      <c r="D103" s="3148" t="s">
        <v>3495</v>
      </c>
      <c r="E103" s="3147">
        <v>48.6</v>
      </c>
      <c r="F103" s="3147">
        <v>3</v>
      </c>
      <c r="G103" s="3147" t="s">
        <v>3408</v>
      </c>
      <c r="H103" s="3145" t="s">
        <v>21</v>
      </c>
      <c r="I103" s="3133" t="s">
        <v>3409</v>
      </c>
      <c r="J103" s="3133">
        <f>'[3]典型户型修正-办公'!S108</f>
        <v>69</v>
      </c>
      <c r="K103" s="3133">
        <f>'[3]典型户型修正-办公'!R108</f>
        <v>14106</v>
      </c>
    </row>
    <row r="104" spans="1:11">
      <c r="A104" s="3145"/>
      <c r="B104" s="3146">
        <v>86</v>
      </c>
      <c r="C104" s="3147">
        <v>4</v>
      </c>
      <c r="D104" s="3148" t="s">
        <v>3496</v>
      </c>
      <c r="E104" s="3147">
        <v>48.89</v>
      </c>
      <c r="F104" s="3147">
        <v>3</v>
      </c>
      <c r="G104" s="3147" t="s">
        <v>3408</v>
      </c>
      <c r="H104" s="3145" t="s">
        <v>21</v>
      </c>
      <c r="I104" s="3133" t="s">
        <v>3409</v>
      </c>
      <c r="J104" s="3133">
        <f>'[3]典型户型修正-办公'!S109</f>
        <v>69</v>
      </c>
      <c r="K104" s="3133">
        <f>'[3]典型户型修正-办公'!R109</f>
        <v>14106</v>
      </c>
    </row>
    <row r="105" spans="1:11">
      <c r="A105" s="3145"/>
      <c r="B105" s="3146">
        <v>87</v>
      </c>
      <c r="C105" s="3147">
        <v>4</v>
      </c>
      <c r="D105" s="3148" t="s">
        <v>3497</v>
      </c>
      <c r="E105" s="3147">
        <v>48.59</v>
      </c>
      <c r="F105" s="3147">
        <v>3</v>
      </c>
      <c r="G105" s="3147" t="s">
        <v>3408</v>
      </c>
      <c r="H105" s="3145" t="s">
        <v>21</v>
      </c>
      <c r="I105" s="3133" t="s">
        <v>3409</v>
      </c>
      <c r="J105" s="3133">
        <f>'[3]典型户型修正-办公'!S110</f>
        <v>69</v>
      </c>
      <c r="K105" s="3133">
        <f>'[3]典型户型修正-办公'!R110</f>
        <v>14106</v>
      </c>
    </row>
    <row r="106" spans="1:11">
      <c r="A106" s="3145"/>
      <c r="B106" s="3146">
        <v>88</v>
      </c>
      <c r="C106" s="3147">
        <v>4</v>
      </c>
      <c r="D106" s="3148" t="s">
        <v>3498</v>
      </c>
      <c r="E106" s="3147">
        <v>47.73</v>
      </c>
      <c r="F106" s="3147">
        <v>3</v>
      </c>
      <c r="G106" s="3147" t="s">
        <v>3408</v>
      </c>
      <c r="H106" s="3145" t="s">
        <v>21</v>
      </c>
      <c r="I106" s="3133" t="s">
        <v>3409</v>
      </c>
      <c r="J106" s="3133">
        <f>'[3]典型户型修正-办公'!S111</f>
        <v>67</v>
      </c>
      <c r="K106" s="3133">
        <f>'[3]典型户型修正-办公'!R111</f>
        <v>14106</v>
      </c>
    </row>
    <row r="107" spans="1:11">
      <c r="A107" s="3145"/>
      <c r="B107" s="3146">
        <v>89</v>
      </c>
      <c r="C107" s="3147">
        <v>4</v>
      </c>
      <c r="D107" s="3148" t="s">
        <v>3499</v>
      </c>
      <c r="E107" s="3147">
        <v>70.2</v>
      </c>
      <c r="F107" s="3147">
        <v>3</v>
      </c>
      <c r="G107" s="3147" t="s">
        <v>3408</v>
      </c>
      <c r="H107" s="3145" t="s">
        <v>21</v>
      </c>
      <c r="I107" s="3133" t="s">
        <v>3409</v>
      </c>
      <c r="J107" s="3133">
        <f>'[3]典型户型修正-办公'!S112</f>
        <v>100</v>
      </c>
      <c r="K107" s="3133">
        <f>'[3]典型户型修正-办公'!R112</f>
        <v>14247</v>
      </c>
    </row>
    <row r="108" spans="1:11">
      <c r="A108" s="3145"/>
      <c r="B108" s="3146">
        <v>90</v>
      </c>
      <c r="C108" s="3147">
        <v>5</v>
      </c>
      <c r="D108" s="3148" t="s">
        <v>3500</v>
      </c>
      <c r="E108" s="3147">
        <v>51.46</v>
      </c>
      <c r="F108" s="3147">
        <v>3</v>
      </c>
      <c r="G108" s="3147" t="s">
        <v>3408</v>
      </c>
      <c r="H108" s="3145" t="s">
        <v>21</v>
      </c>
      <c r="I108" s="3133" t="s">
        <v>3409</v>
      </c>
      <c r="J108" s="3133">
        <f>'[3]典型户型修正-办公'!S113</f>
        <v>73</v>
      </c>
      <c r="K108" s="3133">
        <f>'[3]典型户型修正-办公'!R113</f>
        <v>14106</v>
      </c>
    </row>
    <row r="109" spans="1:11">
      <c r="A109" s="3145"/>
      <c r="B109" s="3146">
        <v>91</v>
      </c>
      <c r="C109" s="3147">
        <v>5</v>
      </c>
      <c r="D109" s="3148" t="s">
        <v>3501</v>
      </c>
      <c r="E109" s="3147">
        <v>49.62</v>
      </c>
      <c r="F109" s="3147">
        <v>3</v>
      </c>
      <c r="G109" s="3147" t="s">
        <v>3408</v>
      </c>
      <c r="H109" s="3145" t="s">
        <v>21</v>
      </c>
      <c r="I109" s="3133" t="s">
        <v>3409</v>
      </c>
      <c r="J109" s="3133">
        <f>'[3]典型户型修正-办公'!S114</f>
        <v>70</v>
      </c>
      <c r="K109" s="3133">
        <f>'[3]典型户型修正-办公'!R114</f>
        <v>14106</v>
      </c>
    </row>
    <row r="110" spans="1:11">
      <c r="A110" s="3145"/>
      <c r="B110" s="3146">
        <v>92</v>
      </c>
      <c r="C110" s="3147">
        <v>5</v>
      </c>
      <c r="D110" s="3148" t="s">
        <v>3502</v>
      </c>
      <c r="E110" s="3147">
        <v>49.62</v>
      </c>
      <c r="F110" s="3147">
        <v>3</v>
      </c>
      <c r="G110" s="3147" t="s">
        <v>3408</v>
      </c>
      <c r="H110" s="3145" t="s">
        <v>21</v>
      </c>
      <c r="I110" s="3133" t="s">
        <v>3409</v>
      </c>
      <c r="J110" s="3133">
        <f>'[3]典型户型修正-办公'!S115</f>
        <v>70</v>
      </c>
      <c r="K110" s="3133">
        <f>'[3]典型户型修正-办公'!R115</f>
        <v>14106</v>
      </c>
    </row>
    <row r="111" spans="1:11">
      <c r="A111" s="3145"/>
      <c r="B111" s="3146">
        <v>93</v>
      </c>
      <c r="C111" s="3147">
        <v>5</v>
      </c>
      <c r="D111" s="3148" t="s">
        <v>3503</v>
      </c>
      <c r="E111" s="3147">
        <v>49.62</v>
      </c>
      <c r="F111" s="3147">
        <v>3</v>
      </c>
      <c r="G111" s="3147" t="s">
        <v>3408</v>
      </c>
      <c r="H111" s="3145" t="s">
        <v>21</v>
      </c>
      <c r="I111" s="3133" t="s">
        <v>3409</v>
      </c>
      <c r="J111" s="3133">
        <f>'[3]典型户型修正-办公'!S116</f>
        <v>70</v>
      </c>
      <c r="K111" s="3133">
        <f>'[3]典型户型修正-办公'!R116</f>
        <v>14106</v>
      </c>
    </row>
    <row r="112" spans="1:11">
      <c r="A112" s="3145"/>
      <c r="B112" s="3146">
        <v>94</v>
      </c>
      <c r="C112" s="3147">
        <v>5</v>
      </c>
      <c r="D112" s="3148" t="s">
        <v>3504</v>
      </c>
      <c r="E112" s="3147">
        <v>49.62</v>
      </c>
      <c r="F112" s="3147">
        <v>3</v>
      </c>
      <c r="G112" s="3147" t="s">
        <v>3408</v>
      </c>
      <c r="H112" s="3145" t="s">
        <v>21</v>
      </c>
      <c r="I112" s="3133" t="s">
        <v>3409</v>
      </c>
      <c r="J112" s="3133">
        <f>'[3]典型户型修正-办公'!S117</f>
        <v>70</v>
      </c>
      <c r="K112" s="3133">
        <f>'[3]典型户型修正-办公'!R117</f>
        <v>14106</v>
      </c>
    </row>
    <row r="113" spans="1:11">
      <c r="A113" s="3145"/>
      <c r="B113" s="3146">
        <v>95</v>
      </c>
      <c r="C113" s="3147">
        <v>5</v>
      </c>
      <c r="D113" s="3148" t="s">
        <v>3505</v>
      </c>
      <c r="E113" s="3147">
        <v>49.62</v>
      </c>
      <c r="F113" s="3147">
        <v>3</v>
      </c>
      <c r="G113" s="3147" t="s">
        <v>3408</v>
      </c>
      <c r="H113" s="3145" t="s">
        <v>21</v>
      </c>
      <c r="I113" s="3133" t="s">
        <v>3409</v>
      </c>
      <c r="J113" s="3133">
        <f>'[3]典型户型修正-办公'!S118</f>
        <v>70</v>
      </c>
      <c r="K113" s="3133">
        <f>'[3]典型户型修正-办公'!R118</f>
        <v>14106</v>
      </c>
    </row>
    <row r="114" spans="1:11">
      <c r="A114" s="3145"/>
      <c r="B114" s="3146">
        <v>96</v>
      </c>
      <c r="C114" s="3147">
        <v>5</v>
      </c>
      <c r="D114" s="3148" t="s">
        <v>3506</v>
      </c>
      <c r="E114" s="3147">
        <v>49.62</v>
      </c>
      <c r="F114" s="3147">
        <v>3</v>
      </c>
      <c r="G114" s="3147" t="s">
        <v>3408</v>
      </c>
      <c r="H114" s="3145" t="s">
        <v>21</v>
      </c>
      <c r="I114" s="3133" t="s">
        <v>3409</v>
      </c>
      <c r="J114" s="3133">
        <f>'[3]典型户型修正-办公'!S119</f>
        <v>70</v>
      </c>
      <c r="K114" s="3133">
        <f>'[3]典型户型修正-办公'!R119</f>
        <v>14106</v>
      </c>
    </row>
    <row r="115" spans="1:11">
      <c r="A115" s="3145"/>
      <c r="B115" s="3146">
        <v>97</v>
      </c>
      <c r="C115" s="3147">
        <v>5</v>
      </c>
      <c r="D115" s="3148" t="s">
        <v>3507</v>
      </c>
      <c r="E115" s="3147">
        <v>49.62</v>
      </c>
      <c r="F115" s="3147">
        <v>3</v>
      </c>
      <c r="G115" s="3147" t="s">
        <v>3408</v>
      </c>
      <c r="H115" s="3145" t="s">
        <v>21</v>
      </c>
      <c r="I115" s="3133" t="s">
        <v>3409</v>
      </c>
      <c r="J115" s="3133">
        <f>'[3]典型户型修正-办公'!S120</f>
        <v>70</v>
      </c>
      <c r="K115" s="3133">
        <f>'[3]典型户型修正-办公'!R120</f>
        <v>14106</v>
      </c>
    </row>
    <row r="116" spans="1:11">
      <c r="A116" s="3145"/>
      <c r="B116" s="3146">
        <v>98</v>
      </c>
      <c r="C116" s="3147">
        <v>5</v>
      </c>
      <c r="D116" s="3148" t="s">
        <v>3508</v>
      </c>
      <c r="E116" s="3147">
        <v>49.62</v>
      </c>
      <c r="F116" s="3147">
        <v>3</v>
      </c>
      <c r="G116" s="3147" t="s">
        <v>3408</v>
      </c>
      <c r="H116" s="3145" t="s">
        <v>21</v>
      </c>
      <c r="I116" s="3133" t="s">
        <v>3409</v>
      </c>
      <c r="J116" s="3133">
        <f>'[3]典型户型修正-办公'!S121</f>
        <v>70</v>
      </c>
      <c r="K116" s="3133">
        <f>'[3]典型户型修正-办公'!R121</f>
        <v>14106</v>
      </c>
    </row>
    <row r="117" spans="1:11">
      <c r="A117" s="3145"/>
      <c r="B117" s="3146">
        <v>99</v>
      </c>
      <c r="C117" s="3147">
        <v>5</v>
      </c>
      <c r="D117" s="3148" t="s">
        <v>3509</v>
      </c>
      <c r="E117" s="3147">
        <v>49.62</v>
      </c>
      <c r="F117" s="3147">
        <v>3</v>
      </c>
      <c r="G117" s="3147" t="s">
        <v>3408</v>
      </c>
      <c r="H117" s="3145" t="s">
        <v>21</v>
      </c>
      <c r="I117" s="3133" t="s">
        <v>3409</v>
      </c>
      <c r="J117" s="3133">
        <f>'[3]典型户型修正-办公'!S122</f>
        <v>70</v>
      </c>
      <c r="K117" s="3133">
        <f>'[3]典型户型修正-办公'!R122</f>
        <v>14106</v>
      </c>
    </row>
    <row r="118" spans="1:11">
      <c r="A118" s="3145"/>
      <c r="B118" s="3146">
        <v>100</v>
      </c>
      <c r="C118" s="3147">
        <v>5</v>
      </c>
      <c r="D118" s="3148" t="s">
        <v>3510</v>
      </c>
      <c r="E118" s="3147">
        <v>49.62</v>
      </c>
      <c r="F118" s="3147">
        <v>3</v>
      </c>
      <c r="G118" s="3147" t="s">
        <v>3408</v>
      </c>
      <c r="H118" s="3145" t="s">
        <v>21</v>
      </c>
      <c r="I118" s="3133" t="s">
        <v>3409</v>
      </c>
      <c r="J118" s="3133">
        <f>'[3]典型户型修正-办公'!S123</f>
        <v>70</v>
      </c>
      <c r="K118" s="3133">
        <f>'[3]典型户型修正-办公'!R123</f>
        <v>14106</v>
      </c>
    </row>
    <row r="119" spans="1:11">
      <c r="A119" s="3145"/>
      <c r="B119" s="3146">
        <v>101</v>
      </c>
      <c r="C119" s="3147">
        <v>5</v>
      </c>
      <c r="D119" s="3148" t="s">
        <v>3511</v>
      </c>
      <c r="E119" s="3147">
        <v>49.62</v>
      </c>
      <c r="F119" s="3147">
        <v>3</v>
      </c>
      <c r="G119" s="3147" t="s">
        <v>3408</v>
      </c>
      <c r="H119" s="3145" t="s">
        <v>21</v>
      </c>
      <c r="I119" s="3133" t="s">
        <v>3409</v>
      </c>
      <c r="J119" s="3133">
        <f>'[3]典型户型修正-办公'!S124</f>
        <v>70</v>
      </c>
      <c r="K119" s="3133">
        <f>'[3]典型户型修正-办公'!R124</f>
        <v>14106</v>
      </c>
    </row>
    <row r="120" spans="1:11">
      <c r="A120" s="3145"/>
      <c r="B120" s="3146">
        <v>102</v>
      </c>
      <c r="C120" s="3147">
        <v>5</v>
      </c>
      <c r="D120" s="3148" t="s">
        <v>3512</v>
      </c>
      <c r="E120" s="3147">
        <v>49.62</v>
      </c>
      <c r="F120" s="3147">
        <v>3</v>
      </c>
      <c r="G120" s="3147" t="s">
        <v>3408</v>
      </c>
      <c r="H120" s="3145" t="s">
        <v>21</v>
      </c>
      <c r="I120" s="3133" t="s">
        <v>3409</v>
      </c>
      <c r="J120" s="3133">
        <f>'[3]典型户型修正-办公'!S125</f>
        <v>70</v>
      </c>
      <c r="K120" s="3133">
        <f>'[3]典型户型修正-办公'!R125</f>
        <v>14106</v>
      </c>
    </row>
    <row r="121" spans="1:11">
      <c r="A121" s="3145"/>
      <c r="B121" s="3146">
        <v>103</v>
      </c>
      <c r="C121" s="3147">
        <v>5</v>
      </c>
      <c r="D121" s="3148" t="s">
        <v>3513</v>
      </c>
      <c r="E121" s="3147">
        <v>49.62</v>
      </c>
      <c r="F121" s="3147">
        <v>3</v>
      </c>
      <c r="G121" s="3147" t="s">
        <v>3408</v>
      </c>
      <c r="H121" s="3145" t="s">
        <v>21</v>
      </c>
      <c r="I121" s="3133" t="s">
        <v>3409</v>
      </c>
      <c r="J121" s="3133">
        <f>'[3]典型户型修正-办公'!S126</f>
        <v>70</v>
      </c>
      <c r="K121" s="3133">
        <f>'[3]典型户型修正-办公'!R126</f>
        <v>14106</v>
      </c>
    </row>
    <row r="122" spans="1:11">
      <c r="A122" s="3145"/>
      <c r="B122" s="3146">
        <v>104</v>
      </c>
      <c r="C122" s="3147">
        <v>5</v>
      </c>
      <c r="D122" s="3148" t="s">
        <v>3514</v>
      </c>
      <c r="E122" s="3147">
        <v>49.62</v>
      </c>
      <c r="F122" s="3147">
        <v>3</v>
      </c>
      <c r="G122" s="3147" t="s">
        <v>3408</v>
      </c>
      <c r="H122" s="3145" t="s">
        <v>21</v>
      </c>
      <c r="I122" s="3133" t="s">
        <v>3409</v>
      </c>
      <c r="J122" s="3133">
        <f>'[3]典型户型修正-办公'!S127</f>
        <v>70</v>
      </c>
      <c r="K122" s="3133">
        <f>'[3]典型户型修正-办公'!R127</f>
        <v>14106</v>
      </c>
    </row>
    <row r="123" spans="1:11">
      <c r="A123" s="3145"/>
      <c r="B123" s="3146">
        <v>105</v>
      </c>
      <c r="C123" s="3147">
        <v>5</v>
      </c>
      <c r="D123" s="3148" t="s">
        <v>3515</v>
      </c>
      <c r="E123" s="3147">
        <v>68.78</v>
      </c>
      <c r="F123" s="3147">
        <v>3</v>
      </c>
      <c r="G123" s="3147" t="s">
        <v>3408</v>
      </c>
      <c r="H123" s="3145" t="s">
        <v>21</v>
      </c>
      <c r="I123" s="3133" t="s">
        <v>3409</v>
      </c>
      <c r="J123" s="3133">
        <f>'[3]典型户型修正-办公'!S128</f>
        <v>98</v>
      </c>
      <c r="K123" s="3133">
        <f>'[3]典型户型修正-办公'!R128</f>
        <v>14247</v>
      </c>
    </row>
    <row r="124" spans="1:11">
      <c r="A124" s="3145"/>
      <c r="B124" s="3146">
        <v>106</v>
      </c>
      <c r="C124" s="3147">
        <v>5</v>
      </c>
      <c r="D124" s="3148" t="s">
        <v>3516</v>
      </c>
      <c r="E124" s="3147">
        <v>38.1</v>
      </c>
      <c r="F124" s="3147">
        <v>3</v>
      </c>
      <c r="G124" s="3147" t="s">
        <v>3408</v>
      </c>
      <c r="H124" s="3145" t="s">
        <v>21</v>
      </c>
      <c r="I124" s="3133" t="s">
        <v>3409</v>
      </c>
      <c r="J124" s="3133">
        <f>'[3]典型户型修正-办公'!S129</f>
        <v>54</v>
      </c>
      <c r="K124" s="3133">
        <f>'[3]典型户型修正-办公'!R129</f>
        <v>14106</v>
      </c>
    </row>
    <row r="125" spans="1:11">
      <c r="A125" s="3145"/>
      <c r="B125" s="3146">
        <v>107</v>
      </c>
      <c r="C125" s="3147">
        <v>5</v>
      </c>
      <c r="D125" s="3148" t="s">
        <v>3517</v>
      </c>
      <c r="E125" s="3147">
        <v>41.4</v>
      </c>
      <c r="F125" s="3147">
        <v>3</v>
      </c>
      <c r="G125" s="3147" t="s">
        <v>3408</v>
      </c>
      <c r="H125" s="3145" t="s">
        <v>21</v>
      </c>
      <c r="I125" s="3133" t="s">
        <v>3409</v>
      </c>
      <c r="J125" s="3133">
        <f>'[3]典型户型修正-办公'!S130</f>
        <v>58</v>
      </c>
      <c r="K125" s="3133">
        <f>'[3]典型户型修正-办公'!R130</f>
        <v>14106</v>
      </c>
    </row>
    <row r="126" spans="1:11">
      <c r="A126" s="3145"/>
      <c r="B126" s="3146">
        <v>108</v>
      </c>
      <c r="C126" s="3147">
        <v>5</v>
      </c>
      <c r="D126" s="3148" t="s">
        <v>3518</v>
      </c>
      <c r="E126" s="3147">
        <v>44.09</v>
      </c>
      <c r="F126" s="3147">
        <v>3</v>
      </c>
      <c r="G126" s="3147" t="s">
        <v>3408</v>
      </c>
      <c r="H126" s="3145" t="s">
        <v>21</v>
      </c>
      <c r="I126" s="3133" t="s">
        <v>3409</v>
      </c>
      <c r="J126" s="3133">
        <f>'[3]典型户型修正-办公'!S131</f>
        <v>62</v>
      </c>
      <c r="K126" s="3133">
        <f>'[3]典型户型修正-办公'!R131</f>
        <v>14106</v>
      </c>
    </row>
    <row r="127" spans="1:11">
      <c r="A127" s="3145"/>
      <c r="B127" s="3146">
        <v>109</v>
      </c>
      <c r="C127" s="3147">
        <v>5</v>
      </c>
      <c r="D127" s="3148" t="s">
        <v>3519</v>
      </c>
      <c r="E127" s="3147">
        <v>46.17</v>
      </c>
      <c r="F127" s="3147">
        <v>3</v>
      </c>
      <c r="G127" s="3147" t="s">
        <v>3408</v>
      </c>
      <c r="H127" s="3145" t="s">
        <v>21</v>
      </c>
      <c r="I127" s="3133" t="s">
        <v>3409</v>
      </c>
      <c r="J127" s="3133">
        <f>'[3]典型户型修正-办公'!S132</f>
        <v>65</v>
      </c>
      <c r="K127" s="3133">
        <f>'[3]典型户型修正-办公'!R132</f>
        <v>14106</v>
      </c>
    </row>
    <row r="128" spans="1:11">
      <c r="A128" s="3145"/>
      <c r="B128" s="3146">
        <v>110</v>
      </c>
      <c r="C128" s="3147">
        <v>5</v>
      </c>
      <c r="D128" s="3148" t="s">
        <v>3520</v>
      </c>
      <c r="E128" s="3147">
        <v>47.65</v>
      </c>
      <c r="F128" s="3147">
        <v>3</v>
      </c>
      <c r="G128" s="3147" t="s">
        <v>3408</v>
      </c>
      <c r="H128" s="3145" t="s">
        <v>21</v>
      </c>
      <c r="I128" s="3133" t="s">
        <v>3409</v>
      </c>
      <c r="J128" s="3133">
        <f>'[3]典型户型修正-办公'!S133</f>
        <v>67</v>
      </c>
      <c r="K128" s="3133">
        <f>'[3]典型户型修正-办公'!R133</f>
        <v>14106</v>
      </c>
    </row>
    <row r="129" spans="1:11">
      <c r="A129" s="3145"/>
      <c r="B129" s="3146">
        <v>111</v>
      </c>
      <c r="C129" s="3147">
        <v>5</v>
      </c>
      <c r="D129" s="3148" t="s">
        <v>3521</v>
      </c>
      <c r="E129" s="3147">
        <v>48.6</v>
      </c>
      <c r="F129" s="3147">
        <v>3</v>
      </c>
      <c r="G129" s="3147" t="s">
        <v>3408</v>
      </c>
      <c r="H129" s="3145" t="s">
        <v>21</v>
      </c>
      <c r="I129" s="3133" t="s">
        <v>3409</v>
      </c>
      <c r="J129" s="3133">
        <f>'[3]典型户型修正-办公'!S134</f>
        <v>69</v>
      </c>
      <c r="K129" s="3133">
        <f>'[3]典型户型修正-办公'!R134</f>
        <v>14106</v>
      </c>
    </row>
    <row r="130" spans="1:11">
      <c r="A130" s="3145"/>
      <c r="B130" s="3146">
        <v>112</v>
      </c>
      <c r="C130" s="3147">
        <v>5</v>
      </c>
      <c r="D130" s="3148" t="s">
        <v>3522</v>
      </c>
      <c r="E130" s="3147">
        <v>48.89</v>
      </c>
      <c r="F130" s="3147">
        <v>3</v>
      </c>
      <c r="G130" s="3147" t="s">
        <v>3408</v>
      </c>
      <c r="H130" s="3145" t="s">
        <v>21</v>
      </c>
      <c r="I130" s="3133" t="s">
        <v>3409</v>
      </c>
      <c r="J130" s="3133">
        <f>'[3]典型户型修正-办公'!S135</f>
        <v>69</v>
      </c>
      <c r="K130" s="3133">
        <f>'[3]典型户型修正-办公'!R135</f>
        <v>14106</v>
      </c>
    </row>
    <row r="131" spans="1:11">
      <c r="A131" s="3145"/>
      <c r="B131" s="3146">
        <v>113</v>
      </c>
      <c r="C131" s="3147">
        <v>5</v>
      </c>
      <c r="D131" s="3148" t="s">
        <v>3523</v>
      </c>
      <c r="E131" s="3147">
        <v>48.59</v>
      </c>
      <c r="F131" s="3147">
        <v>3</v>
      </c>
      <c r="G131" s="3147" t="s">
        <v>3408</v>
      </c>
      <c r="H131" s="3145" t="s">
        <v>21</v>
      </c>
      <c r="I131" s="3133" t="s">
        <v>3409</v>
      </c>
      <c r="J131" s="3133">
        <f>'[3]典型户型修正-办公'!S136</f>
        <v>69</v>
      </c>
      <c r="K131" s="3133">
        <f>'[3]典型户型修正-办公'!R136</f>
        <v>14106</v>
      </c>
    </row>
    <row r="132" spans="1:11">
      <c r="A132" s="3145"/>
      <c r="B132" s="3146">
        <v>114</v>
      </c>
      <c r="C132" s="3147">
        <v>5</v>
      </c>
      <c r="D132" s="3148" t="s">
        <v>3524</v>
      </c>
      <c r="E132" s="3147">
        <v>47.73</v>
      </c>
      <c r="F132" s="3147">
        <v>3</v>
      </c>
      <c r="G132" s="3147" t="s">
        <v>3408</v>
      </c>
      <c r="H132" s="3145" t="s">
        <v>21</v>
      </c>
      <c r="I132" s="3133" t="s">
        <v>3409</v>
      </c>
      <c r="J132" s="3133">
        <f>'[3]典型户型修正-办公'!S137</f>
        <v>67</v>
      </c>
      <c r="K132" s="3133">
        <f>'[3]典型户型修正-办公'!R137</f>
        <v>14106</v>
      </c>
    </row>
    <row r="133" spans="1:11">
      <c r="A133" s="3145"/>
      <c r="B133" s="3146">
        <v>115</v>
      </c>
      <c r="C133" s="3147">
        <v>5</v>
      </c>
      <c r="D133" s="3148" t="s">
        <v>3525</v>
      </c>
      <c r="E133" s="3147">
        <v>70.2</v>
      </c>
      <c r="F133" s="3147">
        <v>3</v>
      </c>
      <c r="G133" s="3147" t="s">
        <v>3408</v>
      </c>
      <c r="H133" s="3145" t="s">
        <v>21</v>
      </c>
      <c r="I133" s="3133" t="s">
        <v>3409</v>
      </c>
      <c r="J133" s="3133">
        <f>'[3]典型户型修正-办公'!S138</f>
        <v>100</v>
      </c>
      <c r="K133" s="3133">
        <f>'[3]典型户型修正-办公'!R138</f>
        <v>14247</v>
      </c>
    </row>
    <row r="134" spans="1:11">
      <c r="A134" s="3145"/>
      <c r="B134" s="3146">
        <v>116</v>
      </c>
      <c r="C134" s="3147">
        <v>6</v>
      </c>
      <c r="D134" s="3148" t="s">
        <v>3526</v>
      </c>
      <c r="E134" s="3147">
        <v>51.46</v>
      </c>
      <c r="F134" s="3147">
        <v>3</v>
      </c>
      <c r="G134" s="3147" t="s">
        <v>3408</v>
      </c>
      <c r="H134" s="3145" t="s">
        <v>21</v>
      </c>
      <c r="I134" s="3133" t="s">
        <v>3409</v>
      </c>
      <c r="J134" s="3133">
        <f>'[3]典型户型修正-办公'!S139</f>
        <v>73</v>
      </c>
      <c r="K134" s="3133">
        <f>'[3]典型户型修正-办公'!R139</f>
        <v>14106</v>
      </c>
    </row>
    <row r="135" spans="1:11">
      <c r="A135" s="3145"/>
      <c r="B135" s="3146">
        <v>117</v>
      </c>
      <c r="C135" s="3147">
        <v>6</v>
      </c>
      <c r="D135" s="3148" t="s">
        <v>3527</v>
      </c>
      <c r="E135" s="3147">
        <v>49.62</v>
      </c>
      <c r="F135" s="3147">
        <v>3</v>
      </c>
      <c r="G135" s="3147" t="s">
        <v>3408</v>
      </c>
      <c r="H135" s="3145" t="s">
        <v>21</v>
      </c>
      <c r="I135" s="3133" t="s">
        <v>3409</v>
      </c>
      <c r="J135" s="3133">
        <f>'[3]典型户型修正-办公'!S140</f>
        <v>70</v>
      </c>
      <c r="K135" s="3133">
        <f>'[3]典型户型修正-办公'!R140</f>
        <v>14106</v>
      </c>
    </row>
    <row r="136" spans="1:11">
      <c r="A136" s="3145"/>
      <c r="B136" s="3146">
        <v>118</v>
      </c>
      <c r="C136" s="3147">
        <v>6</v>
      </c>
      <c r="D136" s="3148" t="s">
        <v>3528</v>
      </c>
      <c r="E136" s="3147">
        <v>49.62</v>
      </c>
      <c r="F136" s="3147">
        <v>3</v>
      </c>
      <c r="G136" s="3147" t="s">
        <v>3408</v>
      </c>
      <c r="H136" s="3145" t="s">
        <v>21</v>
      </c>
      <c r="I136" s="3133" t="s">
        <v>3409</v>
      </c>
      <c r="J136" s="3133">
        <f>'[3]典型户型修正-办公'!S141</f>
        <v>70</v>
      </c>
      <c r="K136" s="3133">
        <f>'[3]典型户型修正-办公'!R141</f>
        <v>14106</v>
      </c>
    </row>
    <row r="137" spans="1:11">
      <c r="A137" s="3145"/>
      <c r="B137" s="3146">
        <v>119</v>
      </c>
      <c r="C137" s="3147">
        <v>6</v>
      </c>
      <c r="D137" s="3148" t="s">
        <v>3529</v>
      </c>
      <c r="E137" s="3147">
        <v>49.62</v>
      </c>
      <c r="F137" s="3147">
        <v>3</v>
      </c>
      <c r="G137" s="3147" t="s">
        <v>3408</v>
      </c>
      <c r="H137" s="3145" t="s">
        <v>21</v>
      </c>
      <c r="I137" s="3133" t="s">
        <v>3409</v>
      </c>
      <c r="J137" s="3133">
        <f>'[3]典型户型修正-办公'!S142</f>
        <v>70</v>
      </c>
      <c r="K137" s="3133">
        <f>'[3]典型户型修正-办公'!R142</f>
        <v>14106</v>
      </c>
    </row>
    <row r="138" spans="1:11">
      <c r="A138" s="3145"/>
      <c r="B138" s="3146">
        <v>120</v>
      </c>
      <c r="C138" s="3147">
        <v>6</v>
      </c>
      <c r="D138" s="3148" t="s">
        <v>3530</v>
      </c>
      <c r="E138" s="3147">
        <v>49.62</v>
      </c>
      <c r="F138" s="3147">
        <v>3</v>
      </c>
      <c r="G138" s="3147" t="s">
        <v>3408</v>
      </c>
      <c r="H138" s="3145" t="s">
        <v>21</v>
      </c>
      <c r="I138" s="3133" t="s">
        <v>3409</v>
      </c>
      <c r="J138" s="3133">
        <f>'[3]典型户型修正-办公'!S143</f>
        <v>70</v>
      </c>
      <c r="K138" s="3133">
        <f>'[3]典型户型修正-办公'!R143</f>
        <v>14106</v>
      </c>
    </row>
    <row r="139" spans="1:11">
      <c r="A139" s="3145"/>
      <c r="B139" s="3146">
        <v>121</v>
      </c>
      <c r="C139" s="3147">
        <v>6</v>
      </c>
      <c r="D139" s="3148" t="s">
        <v>3531</v>
      </c>
      <c r="E139" s="3147">
        <v>49.62</v>
      </c>
      <c r="F139" s="3147">
        <v>3</v>
      </c>
      <c r="G139" s="3147" t="s">
        <v>3408</v>
      </c>
      <c r="H139" s="3145" t="s">
        <v>21</v>
      </c>
      <c r="I139" s="3133" t="s">
        <v>3409</v>
      </c>
      <c r="J139" s="3133">
        <f>'[3]典型户型修正-办公'!S144</f>
        <v>70</v>
      </c>
      <c r="K139" s="3133">
        <f>'[3]典型户型修正-办公'!R144</f>
        <v>14106</v>
      </c>
    </row>
    <row r="140" spans="1:11">
      <c r="A140" s="3145"/>
      <c r="B140" s="3146">
        <v>122</v>
      </c>
      <c r="C140" s="3147">
        <v>6</v>
      </c>
      <c r="D140" s="3148" t="s">
        <v>3532</v>
      </c>
      <c r="E140" s="3147">
        <v>49.62</v>
      </c>
      <c r="F140" s="3147">
        <v>3</v>
      </c>
      <c r="G140" s="3147" t="s">
        <v>3408</v>
      </c>
      <c r="H140" s="3145" t="s">
        <v>21</v>
      </c>
      <c r="I140" s="3133" t="s">
        <v>3409</v>
      </c>
      <c r="J140" s="3133">
        <f>'[3]典型户型修正-办公'!S145</f>
        <v>70</v>
      </c>
      <c r="K140" s="3133">
        <f>'[3]典型户型修正-办公'!R145</f>
        <v>14106</v>
      </c>
    </row>
    <row r="141" spans="1:11">
      <c r="A141" s="3145"/>
      <c r="B141" s="3146">
        <v>123</v>
      </c>
      <c r="C141" s="3147">
        <v>6</v>
      </c>
      <c r="D141" s="3148" t="s">
        <v>3533</v>
      </c>
      <c r="E141" s="3147">
        <v>49.62</v>
      </c>
      <c r="F141" s="3147">
        <v>3</v>
      </c>
      <c r="G141" s="3147" t="s">
        <v>3408</v>
      </c>
      <c r="H141" s="3145" t="s">
        <v>21</v>
      </c>
      <c r="I141" s="3133" t="s">
        <v>3409</v>
      </c>
      <c r="J141" s="3133">
        <f>'[3]典型户型修正-办公'!S146</f>
        <v>70</v>
      </c>
      <c r="K141" s="3133">
        <f>'[3]典型户型修正-办公'!R146</f>
        <v>14106</v>
      </c>
    </row>
    <row r="142" spans="1:11">
      <c r="A142" s="3145"/>
      <c r="B142" s="3146">
        <v>124</v>
      </c>
      <c r="C142" s="3147">
        <v>6</v>
      </c>
      <c r="D142" s="3148" t="s">
        <v>3534</v>
      </c>
      <c r="E142" s="3147">
        <v>49.62</v>
      </c>
      <c r="F142" s="3147">
        <v>3</v>
      </c>
      <c r="G142" s="3147" t="s">
        <v>3408</v>
      </c>
      <c r="H142" s="3145" t="s">
        <v>21</v>
      </c>
      <c r="I142" s="3133" t="s">
        <v>3409</v>
      </c>
      <c r="J142" s="3133">
        <f>'[3]典型户型修正-办公'!S147</f>
        <v>70</v>
      </c>
      <c r="K142" s="3133">
        <f>'[3]典型户型修正-办公'!R147</f>
        <v>14106</v>
      </c>
    </row>
    <row r="143" spans="1:11">
      <c r="A143" s="3145"/>
      <c r="B143" s="3146">
        <v>125</v>
      </c>
      <c r="C143" s="3147">
        <v>6</v>
      </c>
      <c r="D143" s="3148" t="s">
        <v>3535</v>
      </c>
      <c r="E143" s="3147">
        <v>49.62</v>
      </c>
      <c r="F143" s="3147">
        <v>3</v>
      </c>
      <c r="G143" s="3147" t="s">
        <v>3408</v>
      </c>
      <c r="H143" s="3145" t="s">
        <v>21</v>
      </c>
      <c r="I143" s="3133" t="s">
        <v>3409</v>
      </c>
      <c r="J143" s="3133">
        <f>'[3]典型户型修正-办公'!S148</f>
        <v>70</v>
      </c>
      <c r="K143" s="3133">
        <f>'[3]典型户型修正-办公'!R148</f>
        <v>14106</v>
      </c>
    </row>
    <row r="144" spans="1:11">
      <c r="A144" s="3145"/>
      <c r="B144" s="3146">
        <v>126</v>
      </c>
      <c r="C144" s="3147">
        <v>6</v>
      </c>
      <c r="D144" s="3148" t="s">
        <v>3536</v>
      </c>
      <c r="E144" s="3147">
        <v>49.62</v>
      </c>
      <c r="F144" s="3147">
        <v>3</v>
      </c>
      <c r="G144" s="3147" t="s">
        <v>3408</v>
      </c>
      <c r="H144" s="3145" t="s">
        <v>21</v>
      </c>
      <c r="I144" s="3133" t="s">
        <v>3409</v>
      </c>
      <c r="J144" s="3133">
        <f>'[3]典型户型修正-办公'!S149</f>
        <v>70</v>
      </c>
      <c r="K144" s="3133">
        <f>'[3]典型户型修正-办公'!R149</f>
        <v>14106</v>
      </c>
    </row>
    <row r="145" spans="1:11">
      <c r="A145" s="3145"/>
      <c r="B145" s="3146">
        <v>127</v>
      </c>
      <c r="C145" s="3147">
        <v>6</v>
      </c>
      <c r="D145" s="3148" t="s">
        <v>3537</v>
      </c>
      <c r="E145" s="3147">
        <v>49.62</v>
      </c>
      <c r="F145" s="3147">
        <v>3</v>
      </c>
      <c r="G145" s="3147" t="s">
        <v>3408</v>
      </c>
      <c r="H145" s="3145" t="s">
        <v>21</v>
      </c>
      <c r="I145" s="3133" t="s">
        <v>3409</v>
      </c>
      <c r="J145" s="3133">
        <f>'[3]典型户型修正-办公'!S150</f>
        <v>70</v>
      </c>
      <c r="K145" s="3133">
        <f>'[3]典型户型修正-办公'!R150</f>
        <v>14106</v>
      </c>
    </row>
    <row r="146" spans="1:11">
      <c r="A146" s="3145"/>
      <c r="B146" s="3146">
        <v>128</v>
      </c>
      <c r="C146" s="3147">
        <v>6</v>
      </c>
      <c r="D146" s="3148" t="s">
        <v>3538</v>
      </c>
      <c r="E146" s="3147">
        <v>49.62</v>
      </c>
      <c r="F146" s="3147">
        <v>3</v>
      </c>
      <c r="G146" s="3147" t="s">
        <v>3408</v>
      </c>
      <c r="H146" s="3145" t="s">
        <v>21</v>
      </c>
      <c r="I146" s="3133" t="s">
        <v>3409</v>
      </c>
      <c r="J146" s="3133">
        <f>'[3]典型户型修正-办公'!S151</f>
        <v>70</v>
      </c>
      <c r="K146" s="3133">
        <f>'[3]典型户型修正-办公'!R151</f>
        <v>14106</v>
      </c>
    </row>
    <row r="147" spans="1:11">
      <c r="A147" s="3145"/>
      <c r="B147" s="3146">
        <v>129</v>
      </c>
      <c r="C147" s="3147">
        <v>6</v>
      </c>
      <c r="D147" s="3148" t="s">
        <v>3539</v>
      </c>
      <c r="E147" s="3147">
        <v>49.62</v>
      </c>
      <c r="F147" s="3147">
        <v>3</v>
      </c>
      <c r="G147" s="3147" t="s">
        <v>3408</v>
      </c>
      <c r="H147" s="3145" t="s">
        <v>21</v>
      </c>
      <c r="I147" s="3133" t="s">
        <v>3409</v>
      </c>
      <c r="J147" s="3133">
        <f>'[3]典型户型修正-办公'!S152</f>
        <v>70</v>
      </c>
      <c r="K147" s="3133">
        <f>'[3]典型户型修正-办公'!R152</f>
        <v>14106</v>
      </c>
    </row>
    <row r="148" spans="1:11">
      <c r="A148" s="3145"/>
      <c r="B148" s="3146">
        <v>130</v>
      </c>
      <c r="C148" s="3147">
        <v>6</v>
      </c>
      <c r="D148" s="3148" t="s">
        <v>3540</v>
      </c>
      <c r="E148" s="3147">
        <v>49.62</v>
      </c>
      <c r="F148" s="3147">
        <v>3</v>
      </c>
      <c r="G148" s="3147" t="s">
        <v>3408</v>
      </c>
      <c r="H148" s="3145" t="s">
        <v>21</v>
      </c>
      <c r="I148" s="3133" t="s">
        <v>3409</v>
      </c>
      <c r="J148" s="3133">
        <f>'[3]典型户型修正-办公'!S153</f>
        <v>70</v>
      </c>
      <c r="K148" s="3133">
        <f>'[3]典型户型修正-办公'!R153</f>
        <v>14106</v>
      </c>
    </row>
    <row r="149" spans="1:11">
      <c r="A149" s="3145"/>
      <c r="B149" s="3146">
        <v>131</v>
      </c>
      <c r="C149" s="3147">
        <v>6</v>
      </c>
      <c r="D149" s="3148" t="s">
        <v>3541</v>
      </c>
      <c r="E149" s="3147">
        <v>68.78</v>
      </c>
      <c r="F149" s="3147">
        <v>3</v>
      </c>
      <c r="G149" s="3147" t="s">
        <v>3408</v>
      </c>
      <c r="H149" s="3145" t="s">
        <v>21</v>
      </c>
      <c r="I149" s="3133" t="s">
        <v>3409</v>
      </c>
      <c r="J149" s="3133">
        <f>'[3]典型户型修正-办公'!S154</f>
        <v>98</v>
      </c>
      <c r="K149" s="3133">
        <f>'[3]典型户型修正-办公'!R154</f>
        <v>14247</v>
      </c>
    </row>
    <row r="150" spans="1:11">
      <c r="A150" s="3145"/>
      <c r="B150" s="3146">
        <v>132</v>
      </c>
      <c r="C150" s="3147">
        <v>6</v>
      </c>
      <c r="D150" s="3148" t="s">
        <v>3542</v>
      </c>
      <c r="E150" s="3147">
        <v>38.1</v>
      </c>
      <c r="F150" s="3147">
        <v>3</v>
      </c>
      <c r="G150" s="3147" t="s">
        <v>3408</v>
      </c>
      <c r="H150" s="3145" t="s">
        <v>21</v>
      </c>
      <c r="I150" s="3133" t="s">
        <v>3409</v>
      </c>
      <c r="J150" s="3133">
        <f>'[3]典型户型修正-办公'!S155</f>
        <v>54</v>
      </c>
      <c r="K150" s="3133">
        <f>'[3]典型户型修正-办公'!R155</f>
        <v>14106</v>
      </c>
    </row>
    <row r="151" spans="1:11">
      <c r="A151" s="3145"/>
      <c r="B151" s="3146">
        <v>133</v>
      </c>
      <c r="C151" s="3147">
        <v>6</v>
      </c>
      <c r="D151" s="3148" t="s">
        <v>3543</v>
      </c>
      <c r="E151" s="3147">
        <v>41.4</v>
      </c>
      <c r="F151" s="3147">
        <v>3</v>
      </c>
      <c r="G151" s="3147" t="s">
        <v>3408</v>
      </c>
      <c r="H151" s="3145" t="s">
        <v>21</v>
      </c>
      <c r="I151" s="3133" t="s">
        <v>3409</v>
      </c>
      <c r="J151" s="3133">
        <f>'[3]典型户型修正-办公'!S156</f>
        <v>58</v>
      </c>
      <c r="K151" s="3133">
        <f>'[3]典型户型修正-办公'!R156</f>
        <v>14106</v>
      </c>
    </row>
    <row r="152" spans="1:11">
      <c r="A152" s="3145"/>
      <c r="B152" s="3146">
        <v>134</v>
      </c>
      <c r="C152" s="3147">
        <v>6</v>
      </c>
      <c r="D152" s="3148" t="s">
        <v>3544</v>
      </c>
      <c r="E152" s="3147">
        <v>44.09</v>
      </c>
      <c r="F152" s="3147">
        <v>3</v>
      </c>
      <c r="G152" s="3147" t="s">
        <v>3408</v>
      </c>
      <c r="H152" s="3145" t="s">
        <v>21</v>
      </c>
      <c r="I152" s="3133" t="s">
        <v>3409</v>
      </c>
      <c r="J152" s="3133">
        <f>'[3]典型户型修正-办公'!S157</f>
        <v>62</v>
      </c>
      <c r="K152" s="3133">
        <f>'[3]典型户型修正-办公'!R157</f>
        <v>14106</v>
      </c>
    </row>
    <row r="153" spans="1:11">
      <c r="A153" s="3145"/>
      <c r="B153" s="3146">
        <v>135</v>
      </c>
      <c r="C153" s="3147">
        <v>6</v>
      </c>
      <c r="D153" s="3148" t="s">
        <v>3545</v>
      </c>
      <c r="E153" s="3147">
        <v>46.17</v>
      </c>
      <c r="F153" s="3147">
        <v>3</v>
      </c>
      <c r="G153" s="3147" t="s">
        <v>3408</v>
      </c>
      <c r="H153" s="3145" t="s">
        <v>21</v>
      </c>
      <c r="I153" s="3133" t="s">
        <v>3409</v>
      </c>
      <c r="J153" s="3133">
        <f>'[3]典型户型修正-办公'!S158</f>
        <v>65</v>
      </c>
      <c r="K153" s="3133">
        <f>'[3]典型户型修正-办公'!R158</f>
        <v>14106</v>
      </c>
    </row>
    <row r="154" spans="1:11">
      <c r="A154" s="3145"/>
      <c r="B154" s="3146">
        <v>136</v>
      </c>
      <c r="C154" s="3147">
        <v>6</v>
      </c>
      <c r="D154" s="3148" t="s">
        <v>3546</v>
      </c>
      <c r="E154" s="3147">
        <v>47.65</v>
      </c>
      <c r="F154" s="3147">
        <v>3</v>
      </c>
      <c r="G154" s="3147" t="s">
        <v>3408</v>
      </c>
      <c r="H154" s="3145" t="s">
        <v>21</v>
      </c>
      <c r="I154" s="3133" t="s">
        <v>3409</v>
      </c>
      <c r="J154" s="3133">
        <f>'[3]典型户型修正-办公'!S159</f>
        <v>67</v>
      </c>
      <c r="K154" s="3133">
        <f>'[3]典型户型修正-办公'!R159</f>
        <v>14106</v>
      </c>
    </row>
    <row r="155" spans="1:11">
      <c r="A155" s="3145"/>
      <c r="B155" s="3146">
        <v>137</v>
      </c>
      <c r="C155" s="3147">
        <v>6</v>
      </c>
      <c r="D155" s="3148" t="s">
        <v>3547</v>
      </c>
      <c r="E155" s="3147">
        <v>48.6</v>
      </c>
      <c r="F155" s="3147">
        <v>3</v>
      </c>
      <c r="G155" s="3147" t="s">
        <v>3408</v>
      </c>
      <c r="H155" s="3145" t="s">
        <v>21</v>
      </c>
      <c r="I155" s="3133" t="s">
        <v>3409</v>
      </c>
      <c r="J155" s="3133">
        <f>'[3]典型户型修正-办公'!S160</f>
        <v>69</v>
      </c>
      <c r="K155" s="3133">
        <f>'[3]典型户型修正-办公'!R160</f>
        <v>14106</v>
      </c>
    </row>
    <row r="156" spans="1:11">
      <c r="A156" s="3145"/>
      <c r="B156" s="3146">
        <v>138</v>
      </c>
      <c r="C156" s="3147">
        <v>6</v>
      </c>
      <c r="D156" s="3148" t="s">
        <v>3548</v>
      </c>
      <c r="E156" s="3147">
        <v>48.89</v>
      </c>
      <c r="F156" s="3147">
        <v>3</v>
      </c>
      <c r="G156" s="3147" t="s">
        <v>3408</v>
      </c>
      <c r="H156" s="3145" t="s">
        <v>21</v>
      </c>
      <c r="I156" s="3133" t="s">
        <v>3409</v>
      </c>
      <c r="J156" s="3133">
        <f>'[3]典型户型修正-办公'!S161</f>
        <v>69</v>
      </c>
      <c r="K156" s="3133">
        <f>'[3]典型户型修正-办公'!R161</f>
        <v>14106</v>
      </c>
    </row>
    <row r="157" spans="1:11">
      <c r="A157" s="3145"/>
      <c r="B157" s="3146">
        <v>139</v>
      </c>
      <c r="C157" s="3147">
        <v>6</v>
      </c>
      <c r="D157" s="3148" t="s">
        <v>3549</v>
      </c>
      <c r="E157" s="3147">
        <v>48.59</v>
      </c>
      <c r="F157" s="3147">
        <v>3</v>
      </c>
      <c r="G157" s="3147" t="s">
        <v>3408</v>
      </c>
      <c r="H157" s="3145" t="s">
        <v>21</v>
      </c>
      <c r="I157" s="3133" t="s">
        <v>3409</v>
      </c>
      <c r="J157" s="3133">
        <f>'[3]典型户型修正-办公'!S162</f>
        <v>69</v>
      </c>
      <c r="K157" s="3133">
        <f>'[3]典型户型修正-办公'!R162</f>
        <v>14106</v>
      </c>
    </row>
    <row r="158" spans="1:11">
      <c r="A158" s="3145"/>
      <c r="B158" s="3146">
        <v>140</v>
      </c>
      <c r="C158" s="3147">
        <v>6</v>
      </c>
      <c r="D158" s="3148" t="s">
        <v>3550</v>
      </c>
      <c r="E158" s="3147">
        <v>47.73</v>
      </c>
      <c r="F158" s="3147">
        <v>3</v>
      </c>
      <c r="G158" s="3147" t="s">
        <v>3408</v>
      </c>
      <c r="H158" s="3145" t="s">
        <v>21</v>
      </c>
      <c r="I158" s="3133" t="s">
        <v>3409</v>
      </c>
      <c r="J158" s="3133">
        <f>'[3]典型户型修正-办公'!S163</f>
        <v>67</v>
      </c>
      <c r="K158" s="3133">
        <f>'[3]典型户型修正-办公'!R163</f>
        <v>14106</v>
      </c>
    </row>
    <row r="159" spans="1:11">
      <c r="A159" s="3145"/>
      <c r="B159" s="3146">
        <v>141</v>
      </c>
      <c r="C159" s="3147">
        <v>6</v>
      </c>
      <c r="D159" s="3148" t="s">
        <v>3551</v>
      </c>
      <c r="E159" s="3147">
        <v>70.2</v>
      </c>
      <c r="F159" s="3147">
        <v>3</v>
      </c>
      <c r="G159" s="3147" t="s">
        <v>3408</v>
      </c>
      <c r="H159" s="3145" t="s">
        <v>21</v>
      </c>
      <c r="I159" s="3133" t="s">
        <v>3409</v>
      </c>
      <c r="J159" s="3133">
        <f>'[3]典型户型修正-办公'!S164</f>
        <v>100</v>
      </c>
      <c r="K159" s="3133">
        <f>'[3]典型户型修正-办公'!R164</f>
        <v>14247</v>
      </c>
    </row>
    <row r="160" spans="1:11">
      <c r="A160" s="3145"/>
      <c r="B160" s="3146">
        <v>142</v>
      </c>
      <c r="C160" s="3147">
        <v>7</v>
      </c>
      <c r="D160" s="3148" t="s">
        <v>3552</v>
      </c>
      <c r="E160" s="3147">
        <v>51.46</v>
      </c>
      <c r="F160" s="3147">
        <v>3</v>
      </c>
      <c r="G160" s="3147" t="s">
        <v>3408</v>
      </c>
      <c r="H160" s="3145" t="s">
        <v>21</v>
      </c>
      <c r="I160" s="3133" t="s">
        <v>3553</v>
      </c>
      <c r="J160" s="3133">
        <f>'[3]典型户型修正-办公'!S165</f>
        <v>74</v>
      </c>
      <c r="K160" s="3133">
        <f>'[3]典型户型修正-办公'!R165</f>
        <v>14318</v>
      </c>
    </row>
    <row r="161" spans="1:11">
      <c r="A161" s="3145"/>
      <c r="B161" s="3146">
        <v>143</v>
      </c>
      <c r="C161" s="3147">
        <v>7</v>
      </c>
      <c r="D161" s="3148" t="s">
        <v>3554</v>
      </c>
      <c r="E161" s="3147">
        <v>49.62</v>
      </c>
      <c r="F161" s="3147">
        <v>3</v>
      </c>
      <c r="G161" s="3147" t="s">
        <v>3408</v>
      </c>
      <c r="H161" s="3145" t="s">
        <v>21</v>
      </c>
      <c r="I161" s="3133" t="s">
        <v>3553</v>
      </c>
      <c r="J161" s="3133">
        <f>'[3]典型户型修正-办公'!S166</f>
        <v>71</v>
      </c>
      <c r="K161" s="3133">
        <f>'[3]典型户型修正-办公'!R166</f>
        <v>14318</v>
      </c>
    </row>
    <row r="162" spans="1:11">
      <c r="A162" s="3145"/>
      <c r="B162" s="3146">
        <v>144</v>
      </c>
      <c r="C162" s="3147">
        <v>7</v>
      </c>
      <c r="D162" s="3148" t="s">
        <v>3555</v>
      </c>
      <c r="E162" s="3147">
        <v>49.62</v>
      </c>
      <c r="F162" s="3147">
        <v>3</v>
      </c>
      <c r="G162" s="3147" t="s">
        <v>3408</v>
      </c>
      <c r="H162" s="3145" t="s">
        <v>21</v>
      </c>
      <c r="I162" s="3133" t="s">
        <v>3553</v>
      </c>
      <c r="J162" s="3133">
        <f>'[3]典型户型修正-办公'!S167</f>
        <v>71</v>
      </c>
      <c r="K162" s="3133">
        <f>'[3]典型户型修正-办公'!R167</f>
        <v>14318</v>
      </c>
    </row>
    <row r="163" spans="1:11">
      <c r="A163" s="3145"/>
      <c r="B163" s="3146">
        <v>145</v>
      </c>
      <c r="C163" s="3147">
        <v>7</v>
      </c>
      <c r="D163" s="3148" t="s">
        <v>3556</v>
      </c>
      <c r="E163" s="3147">
        <v>49.62</v>
      </c>
      <c r="F163" s="3147">
        <v>3</v>
      </c>
      <c r="G163" s="3147" t="s">
        <v>3408</v>
      </c>
      <c r="H163" s="3145" t="s">
        <v>21</v>
      </c>
      <c r="I163" s="3133" t="s">
        <v>3553</v>
      </c>
      <c r="J163" s="3133">
        <f>'[3]典型户型修正-办公'!S168</f>
        <v>71</v>
      </c>
      <c r="K163" s="3133">
        <f>'[3]典型户型修正-办公'!R168</f>
        <v>14318</v>
      </c>
    </row>
    <row r="164" spans="1:11">
      <c r="A164" s="3145"/>
      <c r="B164" s="3146">
        <v>146</v>
      </c>
      <c r="C164" s="3147">
        <v>7</v>
      </c>
      <c r="D164" s="3148" t="s">
        <v>3557</v>
      </c>
      <c r="E164" s="3147">
        <v>49.62</v>
      </c>
      <c r="F164" s="3147">
        <v>3</v>
      </c>
      <c r="G164" s="3147" t="s">
        <v>3408</v>
      </c>
      <c r="H164" s="3145" t="s">
        <v>21</v>
      </c>
      <c r="I164" s="3133" t="s">
        <v>3553</v>
      </c>
      <c r="J164" s="3133">
        <f>'[3]典型户型修正-办公'!S169</f>
        <v>71</v>
      </c>
      <c r="K164" s="3133">
        <f>'[3]典型户型修正-办公'!R169</f>
        <v>14318</v>
      </c>
    </row>
    <row r="165" spans="1:11">
      <c r="A165" s="3145"/>
      <c r="B165" s="3146">
        <v>147</v>
      </c>
      <c r="C165" s="3147">
        <v>7</v>
      </c>
      <c r="D165" s="3148" t="s">
        <v>3558</v>
      </c>
      <c r="E165" s="3147">
        <v>49.62</v>
      </c>
      <c r="F165" s="3147">
        <v>3</v>
      </c>
      <c r="G165" s="3147" t="s">
        <v>3408</v>
      </c>
      <c r="H165" s="3145" t="s">
        <v>21</v>
      </c>
      <c r="I165" s="3133" t="s">
        <v>3553</v>
      </c>
      <c r="J165" s="3133">
        <f>'[3]典型户型修正-办公'!S170</f>
        <v>71</v>
      </c>
      <c r="K165" s="3133">
        <f>'[3]典型户型修正-办公'!R170</f>
        <v>14318</v>
      </c>
    </row>
    <row r="166" spans="1:11">
      <c r="A166" s="3145"/>
      <c r="B166" s="3146">
        <v>148</v>
      </c>
      <c r="C166" s="3147">
        <v>7</v>
      </c>
      <c r="D166" s="3148" t="s">
        <v>3559</v>
      </c>
      <c r="E166" s="3147">
        <v>49.62</v>
      </c>
      <c r="F166" s="3147">
        <v>3</v>
      </c>
      <c r="G166" s="3147" t="s">
        <v>3408</v>
      </c>
      <c r="H166" s="3145" t="s">
        <v>21</v>
      </c>
      <c r="I166" s="3133" t="s">
        <v>3553</v>
      </c>
      <c r="J166" s="3133">
        <f>'[3]典型户型修正-办公'!S171</f>
        <v>71</v>
      </c>
      <c r="K166" s="3133">
        <f>'[3]典型户型修正-办公'!R171</f>
        <v>14318</v>
      </c>
    </row>
    <row r="167" spans="1:11">
      <c r="A167" s="3145"/>
      <c r="B167" s="3146">
        <v>149</v>
      </c>
      <c r="C167" s="3147">
        <v>7</v>
      </c>
      <c r="D167" s="3148" t="s">
        <v>3560</v>
      </c>
      <c r="E167" s="3147">
        <v>49.62</v>
      </c>
      <c r="F167" s="3147">
        <v>3</v>
      </c>
      <c r="G167" s="3147" t="s">
        <v>3408</v>
      </c>
      <c r="H167" s="3145" t="s">
        <v>21</v>
      </c>
      <c r="I167" s="3133" t="s">
        <v>3553</v>
      </c>
      <c r="J167" s="3133">
        <f>'[3]典型户型修正-办公'!S172</f>
        <v>71</v>
      </c>
      <c r="K167" s="3133">
        <f>'[3]典型户型修正-办公'!R172</f>
        <v>14318</v>
      </c>
    </row>
    <row r="168" spans="1:11">
      <c r="A168" s="3145"/>
      <c r="B168" s="3146">
        <v>150</v>
      </c>
      <c r="C168" s="3147">
        <v>7</v>
      </c>
      <c r="D168" s="3148" t="s">
        <v>3561</v>
      </c>
      <c r="E168" s="3147">
        <v>49.62</v>
      </c>
      <c r="F168" s="3147">
        <v>3</v>
      </c>
      <c r="G168" s="3147" t="s">
        <v>3408</v>
      </c>
      <c r="H168" s="3145" t="s">
        <v>21</v>
      </c>
      <c r="I168" s="3133" t="s">
        <v>3553</v>
      </c>
      <c r="J168" s="3133">
        <f>'[3]典型户型修正-办公'!S173</f>
        <v>71</v>
      </c>
      <c r="K168" s="3133">
        <f>'[3]典型户型修正-办公'!R173</f>
        <v>14318</v>
      </c>
    </row>
    <row r="169" spans="1:11">
      <c r="A169" s="3145"/>
      <c r="B169" s="3146">
        <v>151</v>
      </c>
      <c r="C169" s="3147">
        <v>7</v>
      </c>
      <c r="D169" s="3148" t="s">
        <v>3562</v>
      </c>
      <c r="E169" s="3147">
        <v>49.62</v>
      </c>
      <c r="F169" s="3147">
        <v>3</v>
      </c>
      <c r="G169" s="3147" t="s">
        <v>3408</v>
      </c>
      <c r="H169" s="3145" t="s">
        <v>21</v>
      </c>
      <c r="I169" s="3133" t="s">
        <v>3553</v>
      </c>
      <c r="J169" s="3133">
        <f>'[3]典型户型修正-办公'!S174</f>
        <v>71</v>
      </c>
      <c r="K169" s="3133">
        <f>'[3]典型户型修正-办公'!R174</f>
        <v>14318</v>
      </c>
    </row>
    <row r="170" spans="1:11">
      <c r="A170" s="3145"/>
      <c r="B170" s="3146">
        <v>152</v>
      </c>
      <c r="C170" s="3147">
        <v>7</v>
      </c>
      <c r="D170" s="3148" t="s">
        <v>3563</v>
      </c>
      <c r="E170" s="3147">
        <v>49.62</v>
      </c>
      <c r="F170" s="3147">
        <v>3</v>
      </c>
      <c r="G170" s="3147" t="s">
        <v>3408</v>
      </c>
      <c r="H170" s="3145" t="s">
        <v>21</v>
      </c>
      <c r="I170" s="3133" t="s">
        <v>3553</v>
      </c>
      <c r="J170" s="3133">
        <f>'[3]典型户型修正-办公'!S175</f>
        <v>71</v>
      </c>
      <c r="K170" s="3133">
        <f>'[3]典型户型修正-办公'!R175</f>
        <v>14318</v>
      </c>
    </row>
    <row r="171" spans="1:11">
      <c r="A171" s="3145"/>
      <c r="B171" s="3146">
        <v>153</v>
      </c>
      <c r="C171" s="3147">
        <v>7</v>
      </c>
      <c r="D171" s="3148" t="s">
        <v>3564</v>
      </c>
      <c r="E171" s="3147">
        <v>49.62</v>
      </c>
      <c r="F171" s="3147">
        <v>3</v>
      </c>
      <c r="G171" s="3147" t="s">
        <v>3408</v>
      </c>
      <c r="H171" s="3145" t="s">
        <v>21</v>
      </c>
      <c r="I171" s="3133" t="s">
        <v>3553</v>
      </c>
      <c r="J171" s="3133">
        <f>'[3]典型户型修正-办公'!S176</f>
        <v>71</v>
      </c>
      <c r="K171" s="3133">
        <f>'[3]典型户型修正-办公'!R176</f>
        <v>14318</v>
      </c>
    </row>
    <row r="172" spans="1:11">
      <c r="A172" s="3145"/>
      <c r="B172" s="3146">
        <v>154</v>
      </c>
      <c r="C172" s="3147">
        <v>7</v>
      </c>
      <c r="D172" s="3148" t="s">
        <v>3565</v>
      </c>
      <c r="E172" s="3147">
        <v>49.62</v>
      </c>
      <c r="F172" s="3147">
        <v>3</v>
      </c>
      <c r="G172" s="3147" t="s">
        <v>3408</v>
      </c>
      <c r="H172" s="3145" t="s">
        <v>21</v>
      </c>
      <c r="I172" s="3133" t="s">
        <v>3553</v>
      </c>
      <c r="J172" s="3133">
        <f>'[3]典型户型修正-办公'!S177</f>
        <v>71</v>
      </c>
      <c r="K172" s="3133">
        <f>'[3]典型户型修正-办公'!R177</f>
        <v>14318</v>
      </c>
    </row>
    <row r="173" spans="1:11">
      <c r="A173" s="3145"/>
      <c r="B173" s="3146">
        <v>155</v>
      </c>
      <c r="C173" s="3147">
        <v>7</v>
      </c>
      <c r="D173" s="3148" t="s">
        <v>3566</v>
      </c>
      <c r="E173" s="3147">
        <v>49.62</v>
      </c>
      <c r="F173" s="3147">
        <v>3</v>
      </c>
      <c r="G173" s="3147" t="s">
        <v>3408</v>
      </c>
      <c r="H173" s="3145" t="s">
        <v>21</v>
      </c>
      <c r="I173" s="3133" t="s">
        <v>3553</v>
      </c>
      <c r="J173" s="3133">
        <f>'[3]典型户型修正-办公'!S178</f>
        <v>71</v>
      </c>
      <c r="K173" s="3133">
        <f>'[3]典型户型修正-办公'!R178</f>
        <v>14318</v>
      </c>
    </row>
    <row r="174" spans="1:11">
      <c r="A174" s="3145"/>
      <c r="B174" s="3146">
        <v>156</v>
      </c>
      <c r="C174" s="3147">
        <v>7</v>
      </c>
      <c r="D174" s="3148" t="s">
        <v>3567</v>
      </c>
      <c r="E174" s="3147">
        <v>49.62</v>
      </c>
      <c r="F174" s="3147">
        <v>3</v>
      </c>
      <c r="G174" s="3147" t="s">
        <v>3408</v>
      </c>
      <c r="H174" s="3145" t="s">
        <v>21</v>
      </c>
      <c r="I174" s="3133" t="s">
        <v>3553</v>
      </c>
      <c r="J174" s="3133">
        <f>'[3]典型户型修正-办公'!S179</f>
        <v>71</v>
      </c>
      <c r="K174" s="3133">
        <f>'[3]典型户型修正-办公'!R179</f>
        <v>14318</v>
      </c>
    </row>
    <row r="175" spans="1:11">
      <c r="A175" s="3145"/>
      <c r="B175" s="3146">
        <v>157</v>
      </c>
      <c r="C175" s="3147">
        <v>7</v>
      </c>
      <c r="D175" s="3148" t="s">
        <v>3568</v>
      </c>
      <c r="E175" s="3147">
        <v>68.78</v>
      </c>
      <c r="F175" s="3147">
        <v>3</v>
      </c>
      <c r="G175" s="3147" t="s">
        <v>3408</v>
      </c>
      <c r="H175" s="3145" t="s">
        <v>21</v>
      </c>
      <c r="I175" s="3133" t="s">
        <v>3553</v>
      </c>
      <c r="J175" s="3133">
        <f>'[3]典型户型修正-办公'!S180</f>
        <v>99</v>
      </c>
      <c r="K175" s="3133">
        <f>'[3]典型户型修正-办公'!R180</f>
        <v>14461</v>
      </c>
    </row>
    <row r="176" spans="1:11">
      <c r="A176" s="3145"/>
      <c r="B176" s="3146">
        <v>158</v>
      </c>
      <c r="C176" s="3147">
        <v>7</v>
      </c>
      <c r="D176" s="3148" t="s">
        <v>3569</v>
      </c>
      <c r="E176" s="3147">
        <v>38.1</v>
      </c>
      <c r="F176" s="3147">
        <v>3</v>
      </c>
      <c r="G176" s="3147" t="s">
        <v>3408</v>
      </c>
      <c r="H176" s="3145" t="s">
        <v>21</v>
      </c>
      <c r="I176" s="3133" t="s">
        <v>3553</v>
      </c>
      <c r="J176" s="3133">
        <f>'[3]典型户型修正-办公'!S181</f>
        <v>55</v>
      </c>
      <c r="K176" s="3133">
        <f>'[3]典型户型修正-办公'!R181</f>
        <v>14318</v>
      </c>
    </row>
    <row r="177" spans="1:11">
      <c r="A177" s="3145"/>
      <c r="B177" s="3146">
        <v>159</v>
      </c>
      <c r="C177" s="3147">
        <v>7</v>
      </c>
      <c r="D177" s="3148" t="s">
        <v>3570</v>
      </c>
      <c r="E177" s="3147">
        <v>41.4</v>
      </c>
      <c r="F177" s="3147">
        <v>3</v>
      </c>
      <c r="G177" s="3147" t="s">
        <v>3408</v>
      </c>
      <c r="H177" s="3145" t="s">
        <v>21</v>
      </c>
      <c r="I177" s="3133" t="s">
        <v>3553</v>
      </c>
      <c r="J177" s="3133">
        <f>'[3]典型户型修正-办公'!S182</f>
        <v>59</v>
      </c>
      <c r="K177" s="3133">
        <f>'[3]典型户型修正-办公'!R182</f>
        <v>14318</v>
      </c>
    </row>
    <row r="178" spans="1:11">
      <c r="A178" s="3145"/>
      <c r="B178" s="3146">
        <v>160</v>
      </c>
      <c r="C178" s="3147">
        <v>7</v>
      </c>
      <c r="D178" s="3148" t="s">
        <v>3571</v>
      </c>
      <c r="E178" s="3147">
        <v>44.09</v>
      </c>
      <c r="F178" s="3147">
        <v>3</v>
      </c>
      <c r="G178" s="3147" t="s">
        <v>3408</v>
      </c>
      <c r="H178" s="3145" t="s">
        <v>21</v>
      </c>
      <c r="I178" s="3133" t="s">
        <v>3553</v>
      </c>
      <c r="J178" s="3133">
        <f>'[3]典型户型修正-办公'!S183</f>
        <v>63</v>
      </c>
      <c r="K178" s="3133">
        <f>'[3]典型户型修正-办公'!R183</f>
        <v>14318</v>
      </c>
    </row>
    <row r="179" spans="1:11">
      <c r="A179" s="3145"/>
      <c r="B179" s="3146">
        <v>161</v>
      </c>
      <c r="C179" s="3147">
        <v>7</v>
      </c>
      <c r="D179" s="3148" t="s">
        <v>3572</v>
      </c>
      <c r="E179" s="3147">
        <v>46.17</v>
      </c>
      <c r="F179" s="3147">
        <v>3</v>
      </c>
      <c r="G179" s="3147" t="s">
        <v>3408</v>
      </c>
      <c r="H179" s="3145" t="s">
        <v>21</v>
      </c>
      <c r="I179" s="3133" t="s">
        <v>3553</v>
      </c>
      <c r="J179" s="3133">
        <f>'[3]典型户型修正-办公'!S184</f>
        <v>66</v>
      </c>
      <c r="K179" s="3133">
        <f>'[3]典型户型修正-办公'!R184</f>
        <v>14318</v>
      </c>
    </row>
    <row r="180" spans="1:11">
      <c r="A180" s="3145"/>
      <c r="B180" s="3146">
        <v>162</v>
      </c>
      <c r="C180" s="3147">
        <v>7</v>
      </c>
      <c r="D180" s="3148" t="s">
        <v>3573</v>
      </c>
      <c r="E180" s="3147">
        <v>47.65</v>
      </c>
      <c r="F180" s="3147">
        <v>3</v>
      </c>
      <c r="G180" s="3147" t="s">
        <v>3408</v>
      </c>
      <c r="H180" s="3145" t="s">
        <v>21</v>
      </c>
      <c r="I180" s="3133" t="s">
        <v>3553</v>
      </c>
      <c r="J180" s="3133">
        <f>'[3]典型户型修正-办公'!S185</f>
        <v>68</v>
      </c>
      <c r="K180" s="3133">
        <f>'[3]典型户型修正-办公'!R185</f>
        <v>14318</v>
      </c>
    </row>
    <row r="181" spans="1:11">
      <c r="A181" s="3145"/>
      <c r="B181" s="3146">
        <v>163</v>
      </c>
      <c r="C181" s="3147">
        <v>7</v>
      </c>
      <c r="D181" s="3148" t="s">
        <v>3574</v>
      </c>
      <c r="E181" s="3147">
        <v>48.6</v>
      </c>
      <c r="F181" s="3147">
        <v>3</v>
      </c>
      <c r="G181" s="3147" t="s">
        <v>3408</v>
      </c>
      <c r="H181" s="3145" t="s">
        <v>21</v>
      </c>
      <c r="I181" s="3133" t="s">
        <v>3553</v>
      </c>
      <c r="J181" s="3133">
        <f>'[3]典型户型修正-办公'!S186</f>
        <v>70</v>
      </c>
      <c r="K181" s="3133">
        <f>'[3]典型户型修正-办公'!R186</f>
        <v>14318</v>
      </c>
    </row>
    <row r="182" spans="1:11">
      <c r="A182" s="3145"/>
      <c r="B182" s="3146">
        <v>164</v>
      </c>
      <c r="C182" s="3147">
        <v>7</v>
      </c>
      <c r="D182" s="3148" t="s">
        <v>3575</v>
      </c>
      <c r="E182" s="3147">
        <v>48.89</v>
      </c>
      <c r="F182" s="3147">
        <v>3</v>
      </c>
      <c r="G182" s="3147" t="s">
        <v>3408</v>
      </c>
      <c r="H182" s="3145" t="s">
        <v>21</v>
      </c>
      <c r="I182" s="3133" t="s">
        <v>3553</v>
      </c>
      <c r="J182" s="3133">
        <f>'[3]典型户型修正-办公'!S187</f>
        <v>70</v>
      </c>
      <c r="K182" s="3133">
        <f>'[3]典型户型修正-办公'!R187</f>
        <v>14318</v>
      </c>
    </row>
    <row r="183" spans="1:11">
      <c r="A183" s="3145"/>
      <c r="B183" s="3146">
        <v>165</v>
      </c>
      <c r="C183" s="3147">
        <v>7</v>
      </c>
      <c r="D183" s="3148" t="s">
        <v>3576</v>
      </c>
      <c r="E183" s="3147">
        <v>48.59</v>
      </c>
      <c r="F183" s="3147">
        <v>3</v>
      </c>
      <c r="G183" s="3147" t="s">
        <v>3408</v>
      </c>
      <c r="H183" s="3145" t="s">
        <v>21</v>
      </c>
      <c r="I183" s="3133" t="s">
        <v>3553</v>
      </c>
      <c r="J183" s="3133">
        <f>'[3]典型户型修正-办公'!S188</f>
        <v>70</v>
      </c>
      <c r="K183" s="3133">
        <f>'[3]典型户型修正-办公'!R188</f>
        <v>14318</v>
      </c>
    </row>
    <row r="184" spans="1:11">
      <c r="A184" s="3145"/>
      <c r="B184" s="3146">
        <v>166</v>
      </c>
      <c r="C184" s="3147">
        <v>7</v>
      </c>
      <c r="D184" s="3148" t="s">
        <v>3577</v>
      </c>
      <c r="E184" s="3147">
        <v>47.73</v>
      </c>
      <c r="F184" s="3147">
        <v>3</v>
      </c>
      <c r="G184" s="3147" t="s">
        <v>3408</v>
      </c>
      <c r="H184" s="3145" t="s">
        <v>21</v>
      </c>
      <c r="I184" s="3133" t="s">
        <v>3553</v>
      </c>
      <c r="J184" s="3133">
        <f>'[3]典型户型修正-办公'!S189</f>
        <v>68</v>
      </c>
      <c r="K184" s="3133">
        <f>'[3]典型户型修正-办公'!R189</f>
        <v>14318</v>
      </c>
    </row>
    <row r="185" spans="1:11">
      <c r="A185" s="3145"/>
      <c r="B185" s="3146">
        <v>167</v>
      </c>
      <c r="C185" s="3147">
        <v>7</v>
      </c>
      <c r="D185" s="3148" t="s">
        <v>3578</v>
      </c>
      <c r="E185" s="3147">
        <v>70.2</v>
      </c>
      <c r="F185" s="3147">
        <v>3</v>
      </c>
      <c r="G185" s="3147" t="s">
        <v>3408</v>
      </c>
      <c r="H185" s="3145" t="s">
        <v>21</v>
      </c>
      <c r="I185" s="3133" t="s">
        <v>3553</v>
      </c>
      <c r="J185" s="3133">
        <f>'[3]典型户型修正-办公'!S190</f>
        <v>102</v>
      </c>
      <c r="K185" s="3133">
        <f>'[3]典型户型修正-办公'!R190</f>
        <v>14461</v>
      </c>
    </row>
    <row r="186" spans="1:11">
      <c r="A186" s="3145"/>
      <c r="B186" s="3146">
        <v>168</v>
      </c>
      <c r="C186" s="3147">
        <v>8</v>
      </c>
      <c r="D186" s="3148" t="s">
        <v>3579</v>
      </c>
      <c r="E186" s="3147">
        <v>51.46</v>
      </c>
      <c r="F186" s="3147">
        <v>3</v>
      </c>
      <c r="G186" s="3147" t="s">
        <v>3408</v>
      </c>
      <c r="H186" s="3145" t="s">
        <v>21</v>
      </c>
      <c r="I186" s="3133" t="s">
        <v>3553</v>
      </c>
      <c r="J186" s="3133">
        <f>'[3]典型户型修正-办公'!S191</f>
        <v>74</v>
      </c>
      <c r="K186" s="3133">
        <f>'[3]典型户型修正-办公'!R191</f>
        <v>14318</v>
      </c>
    </row>
    <row r="187" spans="1:11">
      <c r="A187" s="3145"/>
      <c r="B187" s="3146">
        <v>169</v>
      </c>
      <c r="C187" s="3147">
        <v>8</v>
      </c>
      <c r="D187" s="3148" t="s">
        <v>3580</v>
      </c>
      <c r="E187" s="3147">
        <v>49.62</v>
      </c>
      <c r="F187" s="3147">
        <v>3</v>
      </c>
      <c r="G187" s="3147" t="s">
        <v>3408</v>
      </c>
      <c r="H187" s="3145" t="s">
        <v>21</v>
      </c>
      <c r="I187" s="3133" t="s">
        <v>3553</v>
      </c>
      <c r="J187" s="3133">
        <f>'[3]典型户型修正-办公'!S192</f>
        <v>71</v>
      </c>
      <c r="K187" s="3133">
        <f>'[3]典型户型修正-办公'!R192</f>
        <v>14318</v>
      </c>
    </row>
    <row r="188" spans="1:11">
      <c r="A188" s="3145"/>
      <c r="B188" s="3146">
        <v>170</v>
      </c>
      <c r="C188" s="3147">
        <v>8</v>
      </c>
      <c r="D188" s="3148" t="s">
        <v>3581</v>
      </c>
      <c r="E188" s="3147">
        <v>49.62</v>
      </c>
      <c r="F188" s="3147">
        <v>3</v>
      </c>
      <c r="G188" s="3147" t="s">
        <v>3408</v>
      </c>
      <c r="H188" s="3145" t="s">
        <v>21</v>
      </c>
      <c r="I188" s="3133" t="s">
        <v>3553</v>
      </c>
      <c r="J188" s="3133">
        <f>'[3]典型户型修正-办公'!S193</f>
        <v>71</v>
      </c>
      <c r="K188" s="3133">
        <f>'[3]典型户型修正-办公'!R193</f>
        <v>14318</v>
      </c>
    </row>
    <row r="189" spans="1:11">
      <c r="A189" s="3145"/>
      <c r="B189" s="3146">
        <v>171</v>
      </c>
      <c r="C189" s="3147">
        <v>8</v>
      </c>
      <c r="D189" s="3148" t="s">
        <v>3582</v>
      </c>
      <c r="E189" s="3147">
        <v>49.62</v>
      </c>
      <c r="F189" s="3147">
        <v>3</v>
      </c>
      <c r="G189" s="3147" t="s">
        <v>3408</v>
      </c>
      <c r="H189" s="3145" t="s">
        <v>21</v>
      </c>
      <c r="I189" s="3133" t="s">
        <v>3553</v>
      </c>
      <c r="J189" s="3133">
        <f>'[3]典型户型修正-办公'!S194</f>
        <v>71</v>
      </c>
      <c r="K189" s="3133">
        <f>'[3]典型户型修正-办公'!R194</f>
        <v>14318</v>
      </c>
    </row>
    <row r="190" spans="1:11">
      <c r="A190" s="3145"/>
      <c r="B190" s="3146">
        <v>172</v>
      </c>
      <c r="C190" s="3147">
        <v>8</v>
      </c>
      <c r="D190" s="3148" t="s">
        <v>3583</v>
      </c>
      <c r="E190" s="3147">
        <v>49.62</v>
      </c>
      <c r="F190" s="3147">
        <v>3</v>
      </c>
      <c r="G190" s="3147" t="s">
        <v>3408</v>
      </c>
      <c r="H190" s="3145" t="s">
        <v>21</v>
      </c>
      <c r="I190" s="3133" t="s">
        <v>3553</v>
      </c>
      <c r="J190" s="3133">
        <f>'[3]典型户型修正-办公'!S195</f>
        <v>71</v>
      </c>
      <c r="K190" s="3133">
        <f>'[3]典型户型修正-办公'!R195</f>
        <v>14318</v>
      </c>
    </row>
    <row r="191" spans="1:11">
      <c r="A191" s="3145"/>
      <c r="B191" s="3146">
        <v>173</v>
      </c>
      <c r="C191" s="3147">
        <v>8</v>
      </c>
      <c r="D191" s="3148" t="s">
        <v>3584</v>
      </c>
      <c r="E191" s="3147">
        <v>49.62</v>
      </c>
      <c r="F191" s="3147">
        <v>3</v>
      </c>
      <c r="G191" s="3147" t="s">
        <v>3408</v>
      </c>
      <c r="H191" s="3145" t="s">
        <v>21</v>
      </c>
      <c r="I191" s="3133" t="s">
        <v>3553</v>
      </c>
      <c r="J191" s="3133">
        <f>'[3]典型户型修正-办公'!S196</f>
        <v>71</v>
      </c>
      <c r="K191" s="3133">
        <f>'[3]典型户型修正-办公'!R196</f>
        <v>14318</v>
      </c>
    </row>
    <row r="192" spans="1:11">
      <c r="A192" s="3145"/>
      <c r="B192" s="3146">
        <v>174</v>
      </c>
      <c r="C192" s="3147">
        <v>8</v>
      </c>
      <c r="D192" s="3148" t="s">
        <v>3585</v>
      </c>
      <c r="E192" s="3147">
        <v>49.62</v>
      </c>
      <c r="F192" s="3147">
        <v>3</v>
      </c>
      <c r="G192" s="3147" t="s">
        <v>3408</v>
      </c>
      <c r="H192" s="3145" t="s">
        <v>21</v>
      </c>
      <c r="I192" s="3133" t="s">
        <v>3553</v>
      </c>
      <c r="J192" s="3133">
        <f>'[3]典型户型修正-办公'!S197</f>
        <v>71</v>
      </c>
      <c r="K192" s="3133">
        <f>'[3]典型户型修正-办公'!R197</f>
        <v>14318</v>
      </c>
    </row>
    <row r="193" spans="1:11">
      <c r="A193" s="3145"/>
      <c r="B193" s="3146">
        <v>175</v>
      </c>
      <c r="C193" s="3147">
        <v>8</v>
      </c>
      <c r="D193" s="3148" t="s">
        <v>3586</v>
      </c>
      <c r="E193" s="3147">
        <v>49.62</v>
      </c>
      <c r="F193" s="3147">
        <v>3</v>
      </c>
      <c r="G193" s="3147" t="s">
        <v>3408</v>
      </c>
      <c r="H193" s="3145" t="s">
        <v>21</v>
      </c>
      <c r="I193" s="3133" t="s">
        <v>3553</v>
      </c>
      <c r="J193" s="3133">
        <f>'[3]典型户型修正-办公'!S198</f>
        <v>71</v>
      </c>
      <c r="K193" s="3133">
        <f>'[3]典型户型修正-办公'!R198</f>
        <v>14318</v>
      </c>
    </row>
    <row r="194" spans="1:11">
      <c r="A194" s="3145"/>
      <c r="B194" s="3146">
        <v>176</v>
      </c>
      <c r="C194" s="3147">
        <v>8</v>
      </c>
      <c r="D194" s="3148" t="s">
        <v>3587</v>
      </c>
      <c r="E194" s="3147">
        <v>49.62</v>
      </c>
      <c r="F194" s="3147">
        <v>3</v>
      </c>
      <c r="G194" s="3147" t="s">
        <v>3408</v>
      </c>
      <c r="H194" s="3145" t="s">
        <v>21</v>
      </c>
      <c r="I194" s="3133" t="s">
        <v>3553</v>
      </c>
      <c r="J194" s="3133">
        <f>'[3]典型户型修正-办公'!S199</f>
        <v>71</v>
      </c>
      <c r="K194" s="3133">
        <f>'[3]典型户型修正-办公'!R199</f>
        <v>14318</v>
      </c>
    </row>
    <row r="195" spans="1:11">
      <c r="A195" s="3145"/>
      <c r="B195" s="3146">
        <v>177</v>
      </c>
      <c r="C195" s="3147">
        <v>8</v>
      </c>
      <c r="D195" s="3148" t="s">
        <v>3588</v>
      </c>
      <c r="E195" s="3147">
        <v>49.62</v>
      </c>
      <c r="F195" s="3147">
        <v>3</v>
      </c>
      <c r="G195" s="3147" t="s">
        <v>3408</v>
      </c>
      <c r="H195" s="3145" t="s">
        <v>21</v>
      </c>
      <c r="I195" s="3133" t="s">
        <v>3553</v>
      </c>
      <c r="J195" s="3133">
        <f>'[3]典型户型修正-办公'!S200</f>
        <v>71</v>
      </c>
      <c r="K195" s="3133">
        <f>'[3]典型户型修正-办公'!R200</f>
        <v>14318</v>
      </c>
    </row>
    <row r="196" spans="1:11">
      <c r="A196" s="3145"/>
      <c r="B196" s="3146">
        <v>178</v>
      </c>
      <c r="C196" s="3147">
        <v>8</v>
      </c>
      <c r="D196" s="3148" t="s">
        <v>3589</v>
      </c>
      <c r="E196" s="3147">
        <v>49.62</v>
      </c>
      <c r="F196" s="3147">
        <v>3</v>
      </c>
      <c r="G196" s="3147" t="s">
        <v>3408</v>
      </c>
      <c r="H196" s="3145" t="s">
        <v>21</v>
      </c>
      <c r="I196" s="3133" t="s">
        <v>3553</v>
      </c>
      <c r="J196" s="3133">
        <f>'[3]典型户型修正-办公'!S201</f>
        <v>71</v>
      </c>
      <c r="K196" s="3133">
        <f>'[3]典型户型修正-办公'!R201</f>
        <v>14318</v>
      </c>
    </row>
    <row r="197" spans="1:11">
      <c r="A197" s="3145"/>
      <c r="B197" s="3146">
        <v>179</v>
      </c>
      <c r="C197" s="3147">
        <v>8</v>
      </c>
      <c r="D197" s="3148" t="s">
        <v>3590</v>
      </c>
      <c r="E197" s="3147">
        <v>49.62</v>
      </c>
      <c r="F197" s="3147">
        <v>3</v>
      </c>
      <c r="G197" s="3147" t="s">
        <v>3408</v>
      </c>
      <c r="H197" s="3145" t="s">
        <v>21</v>
      </c>
      <c r="I197" s="3133" t="s">
        <v>3553</v>
      </c>
      <c r="J197" s="3133">
        <f>'[3]典型户型修正-办公'!S202</f>
        <v>71</v>
      </c>
      <c r="K197" s="3133">
        <f>'[3]典型户型修正-办公'!R202</f>
        <v>14318</v>
      </c>
    </row>
    <row r="198" spans="1:11">
      <c r="A198" s="3145"/>
      <c r="B198" s="3146">
        <v>180</v>
      </c>
      <c r="C198" s="3147">
        <v>8</v>
      </c>
      <c r="D198" s="3148" t="s">
        <v>3591</v>
      </c>
      <c r="E198" s="3147">
        <v>49.62</v>
      </c>
      <c r="F198" s="3147">
        <v>3</v>
      </c>
      <c r="G198" s="3147" t="s">
        <v>3408</v>
      </c>
      <c r="H198" s="3145" t="s">
        <v>21</v>
      </c>
      <c r="I198" s="3133" t="s">
        <v>3553</v>
      </c>
      <c r="J198" s="3133">
        <f>'[3]典型户型修正-办公'!S203</f>
        <v>71</v>
      </c>
      <c r="K198" s="3133">
        <f>'[3]典型户型修正-办公'!R203</f>
        <v>14318</v>
      </c>
    </row>
    <row r="199" spans="1:11">
      <c r="A199" s="3145"/>
      <c r="B199" s="3146">
        <v>181</v>
      </c>
      <c r="C199" s="3147">
        <v>8</v>
      </c>
      <c r="D199" s="3148" t="s">
        <v>3592</v>
      </c>
      <c r="E199" s="3147">
        <v>49.62</v>
      </c>
      <c r="F199" s="3147">
        <v>3</v>
      </c>
      <c r="G199" s="3147" t="s">
        <v>3408</v>
      </c>
      <c r="H199" s="3145" t="s">
        <v>21</v>
      </c>
      <c r="I199" s="3133" t="s">
        <v>3553</v>
      </c>
      <c r="J199" s="3133">
        <f>'[3]典型户型修正-办公'!S204</f>
        <v>71</v>
      </c>
      <c r="K199" s="3133">
        <f>'[3]典型户型修正-办公'!R204</f>
        <v>14318</v>
      </c>
    </row>
    <row r="200" spans="1:11">
      <c r="A200" s="3145"/>
      <c r="B200" s="3146">
        <v>182</v>
      </c>
      <c r="C200" s="3147">
        <v>8</v>
      </c>
      <c r="D200" s="3148" t="s">
        <v>3593</v>
      </c>
      <c r="E200" s="3147">
        <v>49.62</v>
      </c>
      <c r="F200" s="3147">
        <v>3</v>
      </c>
      <c r="G200" s="3147" t="s">
        <v>3408</v>
      </c>
      <c r="H200" s="3145" t="s">
        <v>21</v>
      </c>
      <c r="I200" s="3133" t="s">
        <v>3553</v>
      </c>
      <c r="J200" s="3133">
        <f>'[3]典型户型修正-办公'!S205</f>
        <v>71</v>
      </c>
      <c r="K200" s="3133">
        <f>'[3]典型户型修正-办公'!R205</f>
        <v>14318</v>
      </c>
    </row>
    <row r="201" spans="1:11">
      <c r="A201" s="3145"/>
      <c r="B201" s="3146">
        <v>183</v>
      </c>
      <c r="C201" s="3147">
        <v>8</v>
      </c>
      <c r="D201" s="3148" t="s">
        <v>3594</v>
      </c>
      <c r="E201" s="3147">
        <v>68.78</v>
      </c>
      <c r="F201" s="3147">
        <v>3</v>
      </c>
      <c r="G201" s="3147" t="s">
        <v>3408</v>
      </c>
      <c r="H201" s="3145" t="s">
        <v>21</v>
      </c>
      <c r="I201" s="3133" t="s">
        <v>3553</v>
      </c>
      <c r="J201" s="3133">
        <f>'[3]典型户型修正-办公'!S206</f>
        <v>99</v>
      </c>
      <c r="K201" s="3133">
        <f>'[3]典型户型修正-办公'!R206</f>
        <v>14461</v>
      </c>
    </row>
    <row r="202" spans="1:11">
      <c r="A202" s="3145"/>
      <c r="B202" s="3146">
        <v>184</v>
      </c>
      <c r="C202" s="3147">
        <v>8</v>
      </c>
      <c r="D202" s="3148" t="s">
        <v>3595</v>
      </c>
      <c r="E202" s="3147">
        <v>38.1</v>
      </c>
      <c r="F202" s="3147">
        <v>3</v>
      </c>
      <c r="G202" s="3147" t="s">
        <v>3408</v>
      </c>
      <c r="H202" s="3145" t="s">
        <v>21</v>
      </c>
      <c r="I202" s="3133" t="s">
        <v>3553</v>
      </c>
      <c r="J202" s="3133">
        <f>'[3]典型户型修正-办公'!S207</f>
        <v>55</v>
      </c>
      <c r="K202" s="3133">
        <f>'[3]典型户型修正-办公'!R207</f>
        <v>14318</v>
      </c>
    </row>
    <row r="203" spans="1:11">
      <c r="A203" s="3145"/>
      <c r="B203" s="3146">
        <v>185</v>
      </c>
      <c r="C203" s="3147">
        <v>8</v>
      </c>
      <c r="D203" s="3148" t="s">
        <v>3596</v>
      </c>
      <c r="E203" s="3147">
        <v>41.4</v>
      </c>
      <c r="F203" s="3147">
        <v>3</v>
      </c>
      <c r="G203" s="3147" t="s">
        <v>3408</v>
      </c>
      <c r="H203" s="3145" t="s">
        <v>21</v>
      </c>
      <c r="I203" s="3133" t="s">
        <v>3553</v>
      </c>
      <c r="J203" s="3133">
        <f>'[3]典型户型修正-办公'!S208</f>
        <v>59</v>
      </c>
      <c r="K203" s="3133">
        <f>'[3]典型户型修正-办公'!R208</f>
        <v>14318</v>
      </c>
    </row>
    <row r="204" spans="1:11">
      <c r="A204" s="3145"/>
      <c r="B204" s="3146">
        <v>186</v>
      </c>
      <c r="C204" s="3147">
        <v>8</v>
      </c>
      <c r="D204" s="3148" t="s">
        <v>3597</v>
      </c>
      <c r="E204" s="3147">
        <v>44.09</v>
      </c>
      <c r="F204" s="3147">
        <v>3</v>
      </c>
      <c r="G204" s="3147" t="s">
        <v>3408</v>
      </c>
      <c r="H204" s="3145" t="s">
        <v>21</v>
      </c>
      <c r="I204" s="3133" t="s">
        <v>3553</v>
      </c>
      <c r="J204" s="3133">
        <f>'[3]典型户型修正-办公'!S209</f>
        <v>63</v>
      </c>
      <c r="K204" s="3133">
        <f>'[3]典型户型修正-办公'!R209</f>
        <v>14318</v>
      </c>
    </row>
    <row r="205" spans="1:11">
      <c r="A205" s="3145"/>
      <c r="B205" s="3146">
        <v>187</v>
      </c>
      <c r="C205" s="3147">
        <v>8</v>
      </c>
      <c r="D205" s="3148" t="s">
        <v>3598</v>
      </c>
      <c r="E205" s="3147">
        <v>46.17</v>
      </c>
      <c r="F205" s="3147">
        <v>3</v>
      </c>
      <c r="G205" s="3147" t="s">
        <v>3408</v>
      </c>
      <c r="H205" s="3145" t="s">
        <v>21</v>
      </c>
      <c r="I205" s="3133" t="s">
        <v>3553</v>
      </c>
      <c r="J205" s="3133">
        <f>'[3]典型户型修正-办公'!S210</f>
        <v>66</v>
      </c>
      <c r="K205" s="3133">
        <f>'[3]典型户型修正-办公'!R210</f>
        <v>14318</v>
      </c>
    </row>
    <row r="206" spans="1:11">
      <c r="A206" s="3145"/>
      <c r="B206" s="3146">
        <v>188</v>
      </c>
      <c r="C206" s="3147">
        <v>8</v>
      </c>
      <c r="D206" s="3148" t="s">
        <v>3599</v>
      </c>
      <c r="E206" s="3147">
        <v>47.65</v>
      </c>
      <c r="F206" s="3147">
        <v>3</v>
      </c>
      <c r="G206" s="3147" t="s">
        <v>3408</v>
      </c>
      <c r="H206" s="3145" t="s">
        <v>21</v>
      </c>
      <c r="I206" s="3133" t="s">
        <v>3553</v>
      </c>
      <c r="J206" s="3133">
        <f>'[3]典型户型修正-办公'!S211</f>
        <v>68</v>
      </c>
      <c r="K206" s="3133">
        <f>'[3]典型户型修正-办公'!R211</f>
        <v>14318</v>
      </c>
    </row>
    <row r="207" spans="1:11">
      <c r="A207" s="3145"/>
      <c r="B207" s="3146">
        <v>189</v>
      </c>
      <c r="C207" s="3147">
        <v>8</v>
      </c>
      <c r="D207" s="3148" t="s">
        <v>3600</v>
      </c>
      <c r="E207" s="3147">
        <v>48.6</v>
      </c>
      <c r="F207" s="3147">
        <v>3</v>
      </c>
      <c r="G207" s="3147" t="s">
        <v>3408</v>
      </c>
      <c r="H207" s="3145" t="s">
        <v>21</v>
      </c>
      <c r="I207" s="3133" t="s">
        <v>3553</v>
      </c>
      <c r="J207" s="3133">
        <f>'[3]典型户型修正-办公'!S212</f>
        <v>70</v>
      </c>
      <c r="K207" s="3133">
        <f>'[3]典型户型修正-办公'!R212</f>
        <v>14318</v>
      </c>
    </row>
    <row r="208" spans="1:11">
      <c r="A208" s="3145"/>
      <c r="B208" s="3146">
        <v>190</v>
      </c>
      <c r="C208" s="3147">
        <v>8</v>
      </c>
      <c r="D208" s="3148" t="s">
        <v>3601</v>
      </c>
      <c r="E208" s="3147">
        <v>48.89</v>
      </c>
      <c r="F208" s="3147">
        <v>3</v>
      </c>
      <c r="G208" s="3147" t="s">
        <v>3408</v>
      </c>
      <c r="H208" s="3145" t="s">
        <v>21</v>
      </c>
      <c r="I208" s="3133" t="s">
        <v>3553</v>
      </c>
      <c r="J208" s="3133">
        <f>'[3]典型户型修正-办公'!S213</f>
        <v>70</v>
      </c>
      <c r="K208" s="3133">
        <f>'[3]典型户型修正-办公'!R213</f>
        <v>14318</v>
      </c>
    </row>
    <row r="209" spans="1:11">
      <c r="A209" s="3145"/>
      <c r="B209" s="3146">
        <v>191</v>
      </c>
      <c r="C209" s="3147">
        <v>8</v>
      </c>
      <c r="D209" s="3148" t="s">
        <v>3602</v>
      </c>
      <c r="E209" s="3147">
        <v>48.59</v>
      </c>
      <c r="F209" s="3147">
        <v>3</v>
      </c>
      <c r="G209" s="3147" t="s">
        <v>3408</v>
      </c>
      <c r="H209" s="3145" t="s">
        <v>21</v>
      </c>
      <c r="I209" s="3133" t="s">
        <v>3553</v>
      </c>
      <c r="J209" s="3133">
        <f>'[3]典型户型修正-办公'!S214</f>
        <v>70</v>
      </c>
      <c r="K209" s="3133">
        <f>'[3]典型户型修正-办公'!R214</f>
        <v>14318</v>
      </c>
    </row>
    <row r="210" spans="1:11">
      <c r="A210" s="3145"/>
      <c r="B210" s="3146">
        <v>192</v>
      </c>
      <c r="C210" s="3147">
        <v>8</v>
      </c>
      <c r="D210" s="3148" t="s">
        <v>3603</v>
      </c>
      <c r="E210" s="3147">
        <v>47.73</v>
      </c>
      <c r="F210" s="3147">
        <v>3</v>
      </c>
      <c r="G210" s="3147" t="s">
        <v>3408</v>
      </c>
      <c r="H210" s="3145" t="s">
        <v>21</v>
      </c>
      <c r="I210" s="3133" t="s">
        <v>3553</v>
      </c>
      <c r="J210" s="3133">
        <f>'[3]典型户型修正-办公'!S215</f>
        <v>68</v>
      </c>
      <c r="K210" s="3133">
        <f>'[3]典型户型修正-办公'!R215</f>
        <v>14318</v>
      </c>
    </row>
    <row r="211" spans="1:11">
      <c r="A211" s="3145"/>
      <c r="B211" s="3146">
        <v>193</v>
      </c>
      <c r="C211" s="3147">
        <v>8</v>
      </c>
      <c r="D211" s="3148" t="s">
        <v>3604</v>
      </c>
      <c r="E211" s="3147">
        <v>70.2</v>
      </c>
      <c r="F211" s="3147">
        <v>3</v>
      </c>
      <c r="G211" s="3147" t="s">
        <v>3408</v>
      </c>
      <c r="H211" s="3145" t="s">
        <v>21</v>
      </c>
      <c r="I211" s="3133" t="s">
        <v>3553</v>
      </c>
      <c r="J211" s="3133">
        <f>'[3]典型户型修正-办公'!S216</f>
        <v>102</v>
      </c>
      <c r="K211" s="3133">
        <f>'[3]典型户型修正-办公'!R216</f>
        <v>14461</v>
      </c>
    </row>
    <row r="212" spans="1:11">
      <c r="A212" s="3145"/>
      <c r="B212" s="3146">
        <v>194</v>
      </c>
      <c r="C212" s="3147">
        <v>9</v>
      </c>
      <c r="D212" s="3148" t="s">
        <v>3605</v>
      </c>
      <c r="E212" s="3147">
        <v>51.46</v>
      </c>
      <c r="F212" s="3147">
        <v>3</v>
      </c>
      <c r="G212" s="3147" t="s">
        <v>3408</v>
      </c>
      <c r="H212" s="3145" t="s">
        <v>21</v>
      </c>
      <c r="I212" s="3133" t="s">
        <v>3553</v>
      </c>
      <c r="J212" s="3133">
        <f>'[3]典型户型修正-办公'!S217</f>
        <v>74</v>
      </c>
      <c r="K212" s="3133">
        <f>'[3]典型户型修正-办公'!R217</f>
        <v>14318</v>
      </c>
    </row>
    <row r="213" spans="1:11">
      <c r="A213" s="3145"/>
      <c r="B213" s="3146">
        <v>195</v>
      </c>
      <c r="C213" s="3147">
        <v>9</v>
      </c>
      <c r="D213" s="3148" t="s">
        <v>3606</v>
      </c>
      <c r="E213" s="3147">
        <v>49.62</v>
      </c>
      <c r="F213" s="3147">
        <v>3</v>
      </c>
      <c r="G213" s="3147" t="s">
        <v>3408</v>
      </c>
      <c r="H213" s="3145" t="s">
        <v>21</v>
      </c>
      <c r="I213" s="3133" t="s">
        <v>3553</v>
      </c>
      <c r="J213" s="3133">
        <f>'[3]典型户型修正-办公'!S218</f>
        <v>71</v>
      </c>
      <c r="K213" s="3133">
        <f>'[3]典型户型修正-办公'!R218</f>
        <v>14318</v>
      </c>
    </row>
    <row r="214" spans="1:11">
      <c r="A214" s="3145"/>
      <c r="B214" s="3146">
        <v>196</v>
      </c>
      <c r="C214" s="3147">
        <v>9</v>
      </c>
      <c r="D214" s="3148" t="s">
        <v>3607</v>
      </c>
      <c r="E214" s="3147">
        <v>49.62</v>
      </c>
      <c r="F214" s="3147">
        <v>3</v>
      </c>
      <c r="G214" s="3147" t="s">
        <v>3408</v>
      </c>
      <c r="H214" s="3145" t="s">
        <v>21</v>
      </c>
      <c r="I214" s="3133" t="s">
        <v>3553</v>
      </c>
      <c r="J214" s="3133">
        <f>'[3]典型户型修正-办公'!S219</f>
        <v>71</v>
      </c>
      <c r="K214" s="3133">
        <f>'[3]典型户型修正-办公'!R219</f>
        <v>14318</v>
      </c>
    </row>
    <row r="215" spans="1:11">
      <c r="A215" s="3145"/>
      <c r="B215" s="3146">
        <v>197</v>
      </c>
      <c r="C215" s="3147">
        <v>9</v>
      </c>
      <c r="D215" s="3148" t="s">
        <v>3608</v>
      </c>
      <c r="E215" s="3147">
        <v>49.62</v>
      </c>
      <c r="F215" s="3147">
        <v>3</v>
      </c>
      <c r="G215" s="3147" t="s">
        <v>3408</v>
      </c>
      <c r="H215" s="3145" t="s">
        <v>21</v>
      </c>
      <c r="I215" s="3133" t="s">
        <v>3553</v>
      </c>
      <c r="J215" s="3133">
        <f>'[3]典型户型修正-办公'!S220</f>
        <v>71</v>
      </c>
      <c r="K215" s="3133">
        <f>'[3]典型户型修正-办公'!R220</f>
        <v>14318</v>
      </c>
    </row>
    <row r="216" spans="1:11">
      <c r="A216" s="3145"/>
      <c r="B216" s="3146">
        <v>198</v>
      </c>
      <c r="C216" s="3147">
        <v>9</v>
      </c>
      <c r="D216" s="3148" t="s">
        <v>3609</v>
      </c>
      <c r="E216" s="3147">
        <v>49.62</v>
      </c>
      <c r="F216" s="3147">
        <v>3</v>
      </c>
      <c r="G216" s="3147" t="s">
        <v>3408</v>
      </c>
      <c r="H216" s="3145" t="s">
        <v>21</v>
      </c>
      <c r="I216" s="3133" t="s">
        <v>3553</v>
      </c>
      <c r="J216" s="3133">
        <f>'[3]典型户型修正-办公'!S221</f>
        <v>71</v>
      </c>
      <c r="K216" s="3133">
        <f>'[3]典型户型修正-办公'!R221</f>
        <v>14318</v>
      </c>
    </row>
    <row r="217" spans="1:11">
      <c r="A217" s="3145"/>
      <c r="B217" s="3146">
        <v>199</v>
      </c>
      <c r="C217" s="3147">
        <v>9</v>
      </c>
      <c r="D217" s="3148" t="s">
        <v>3610</v>
      </c>
      <c r="E217" s="3147">
        <v>49.62</v>
      </c>
      <c r="F217" s="3147">
        <v>3</v>
      </c>
      <c r="G217" s="3147" t="s">
        <v>3408</v>
      </c>
      <c r="H217" s="3145" t="s">
        <v>21</v>
      </c>
      <c r="I217" s="3133" t="s">
        <v>3553</v>
      </c>
      <c r="J217" s="3133">
        <f>'[3]典型户型修正-办公'!S222</f>
        <v>71</v>
      </c>
      <c r="K217" s="3133">
        <f>'[3]典型户型修正-办公'!R222</f>
        <v>14318</v>
      </c>
    </row>
    <row r="218" spans="1:11">
      <c r="A218" s="3145"/>
      <c r="B218" s="3146">
        <v>200</v>
      </c>
      <c r="C218" s="3147">
        <v>9</v>
      </c>
      <c r="D218" s="3148" t="s">
        <v>3611</v>
      </c>
      <c r="E218" s="3147">
        <v>49.62</v>
      </c>
      <c r="F218" s="3147">
        <v>3</v>
      </c>
      <c r="G218" s="3147" t="s">
        <v>3408</v>
      </c>
      <c r="H218" s="3145" t="s">
        <v>21</v>
      </c>
      <c r="I218" s="3133" t="s">
        <v>3553</v>
      </c>
      <c r="J218" s="3133">
        <f>'[3]典型户型修正-办公'!S223</f>
        <v>71</v>
      </c>
      <c r="K218" s="3133">
        <f>'[3]典型户型修正-办公'!R223</f>
        <v>14318</v>
      </c>
    </row>
    <row r="219" spans="1:11">
      <c r="A219" s="3145"/>
      <c r="B219" s="3146">
        <v>201</v>
      </c>
      <c r="C219" s="3147">
        <v>9</v>
      </c>
      <c r="D219" s="3148" t="s">
        <v>3612</v>
      </c>
      <c r="E219" s="3147">
        <v>49.62</v>
      </c>
      <c r="F219" s="3147">
        <v>3</v>
      </c>
      <c r="G219" s="3147" t="s">
        <v>3408</v>
      </c>
      <c r="H219" s="3145" t="s">
        <v>21</v>
      </c>
      <c r="I219" s="3133" t="s">
        <v>3553</v>
      </c>
      <c r="J219" s="3133">
        <f>'[3]典型户型修正-办公'!S224</f>
        <v>71</v>
      </c>
      <c r="K219" s="3133">
        <f>'[3]典型户型修正-办公'!R224</f>
        <v>14318</v>
      </c>
    </row>
    <row r="220" spans="1:11">
      <c r="A220" s="3145"/>
      <c r="B220" s="3146">
        <v>202</v>
      </c>
      <c r="C220" s="3147">
        <v>9</v>
      </c>
      <c r="D220" s="3148" t="s">
        <v>3613</v>
      </c>
      <c r="E220" s="3147">
        <v>49.62</v>
      </c>
      <c r="F220" s="3147">
        <v>3</v>
      </c>
      <c r="G220" s="3147" t="s">
        <v>3408</v>
      </c>
      <c r="H220" s="3145" t="s">
        <v>21</v>
      </c>
      <c r="I220" s="3133" t="s">
        <v>3553</v>
      </c>
      <c r="J220" s="3133">
        <f>'[3]典型户型修正-办公'!S225</f>
        <v>71</v>
      </c>
      <c r="K220" s="3133">
        <f>'[3]典型户型修正-办公'!R225</f>
        <v>14318</v>
      </c>
    </row>
    <row r="221" spans="1:11">
      <c r="A221" s="3145"/>
      <c r="B221" s="3146">
        <v>203</v>
      </c>
      <c r="C221" s="3147">
        <v>9</v>
      </c>
      <c r="D221" s="3148" t="s">
        <v>3614</v>
      </c>
      <c r="E221" s="3147">
        <v>49.62</v>
      </c>
      <c r="F221" s="3147">
        <v>3</v>
      </c>
      <c r="G221" s="3147" t="s">
        <v>3408</v>
      </c>
      <c r="H221" s="3145" t="s">
        <v>21</v>
      </c>
      <c r="I221" s="3133" t="s">
        <v>3553</v>
      </c>
      <c r="J221" s="3133">
        <f>'[3]典型户型修正-办公'!S226</f>
        <v>71</v>
      </c>
      <c r="K221" s="3133">
        <f>'[3]典型户型修正-办公'!R226</f>
        <v>14318</v>
      </c>
    </row>
    <row r="222" spans="1:11">
      <c r="A222" s="3145"/>
      <c r="B222" s="3146">
        <v>204</v>
      </c>
      <c r="C222" s="3147">
        <v>9</v>
      </c>
      <c r="D222" s="3148" t="s">
        <v>3615</v>
      </c>
      <c r="E222" s="3147">
        <v>49.62</v>
      </c>
      <c r="F222" s="3147">
        <v>3</v>
      </c>
      <c r="G222" s="3147" t="s">
        <v>3408</v>
      </c>
      <c r="H222" s="3145" t="s">
        <v>21</v>
      </c>
      <c r="I222" s="3133" t="s">
        <v>3553</v>
      </c>
      <c r="J222" s="3133">
        <f>'[3]典型户型修正-办公'!S227</f>
        <v>71</v>
      </c>
      <c r="K222" s="3133">
        <f>'[3]典型户型修正-办公'!R227</f>
        <v>14318</v>
      </c>
    </row>
    <row r="223" spans="1:11">
      <c r="A223" s="3145"/>
      <c r="B223" s="3146">
        <v>205</v>
      </c>
      <c r="C223" s="3147">
        <v>9</v>
      </c>
      <c r="D223" s="3148" t="s">
        <v>3616</v>
      </c>
      <c r="E223" s="3147">
        <v>49.62</v>
      </c>
      <c r="F223" s="3147">
        <v>3</v>
      </c>
      <c r="G223" s="3147" t="s">
        <v>3408</v>
      </c>
      <c r="H223" s="3145" t="s">
        <v>21</v>
      </c>
      <c r="I223" s="3133" t="s">
        <v>3553</v>
      </c>
      <c r="J223" s="3133">
        <f>'[3]典型户型修正-办公'!S228</f>
        <v>71</v>
      </c>
      <c r="K223" s="3133">
        <f>'[3]典型户型修正-办公'!R228</f>
        <v>14318</v>
      </c>
    </row>
    <row r="224" spans="1:11">
      <c r="A224" s="3145"/>
      <c r="B224" s="3146">
        <v>206</v>
      </c>
      <c r="C224" s="3147">
        <v>9</v>
      </c>
      <c r="D224" s="3148" t="s">
        <v>3617</v>
      </c>
      <c r="E224" s="3147">
        <v>49.62</v>
      </c>
      <c r="F224" s="3147">
        <v>3</v>
      </c>
      <c r="G224" s="3147" t="s">
        <v>3408</v>
      </c>
      <c r="H224" s="3145" t="s">
        <v>21</v>
      </c>
      <c r="I224" s="3133" t="s">
        <v>3553</v>
      </c>
      <c r="J224" s="3133">
        <f>'[3]典型户型修正-办公'!S229</f>
        <v>71</v>
      </c>
      <c r="K224" s="3133">
        <f>'[3]典型户型修正-办公'!R229</f>
        <v>14318</v>
      </c>
    </row>
    <row r="225" spans="1:11">
      <c r="A225" s="3145"/>
      <c r="B225" s="3146">
        <v>207</v>
      </c>
      <c r="C225" s="3147">
        <v>9</v>
      </c>
      <c r="D225" s="3148" t="s">
        <v>3618</v>
      </c>
      <c r="E225" s="3147">
        <v>49.62</v>
      </c>
      <c r="F225" s="3147">
        <v>3</v>
      </c>
      <c r="G225" s="3147" t="s">
        <v>3408</v>
      </c>
      <c r="H225" s="3145" t="s">
        <v>21</v>
      </c>
      <c r="I225" s="3133" t="s">
        <v>3553</v>
      </c>
      <c r="J225" s="3133">
        <f>'[3]典型户型修正-办公'!S230</f>
        <v>71</v>
      </c>
      <c r="K225" s="3133">
        <f>'[3]典型户型修正-办公'!R230</f>
        <v>14318</v>
      </c>
    </row>
    <row r="226" spans="1:11">
      <c r="A226" s="3145"/>
      <c r="B226" s="3146">
        <v>208</v>
      </c>
      <c r="C226" s="3147">
        <v>9</v>
      </c>
      <c r="D226" s="3148" t="s">
        <v>3619</v>
      </c>
      <c r="E226" s="3147">
        <v>49.62</v>
      </c>
      <c r="F226" s="3147">
        <v>3</v>
      </c>
      <c r="G226" s="3147" t="s">
        <v>3408</v>
      </c>
      <c r="H226" s="3145" t="s">
        <v>21</v>
      </c>
      <c r="I226" s="3133" t="s">
        <v>3553</v>
      </c>
      <c r="J226" s="3133">
        <f>'[3]典型户型修正-办公'!S231</f>
        <v>71</v>
      </c>
      <c r="K226" s="3133">
        <f>'[3]典型户型修正-办公'!R231</f>
        <v>14318</v>
      </c>
    </row>
    <row r="227" spans="1:11">
      <c r="A227" s="3145"/>
      <c r="B227" s="3146">
        <v>209</v>
      </c>
      <c r="C227" s="3147">
        <v>9</v>
      </c>
      <c r="D227" s="3148" t="s">
        <v>3620</v>
      </c>
      <c r="E227" s="3147">
        <v>68.78</v>
      </c>
      <c r="F227" s="3147">
        <v>3</v>
      </c>
      <c r="G227" s="3147" t="s">
        <v>3408</v>
      </c>
      <c r="H227" s="3145" t="s">
        <v>21</v>
      </c>
      <c r="I227" s="3133" t="s">
        <v>3553</v>
      </c>
      <c r="J227" s="3133">
        <f>'[3]典型户型修正-办公'!S232</f>
        <v>99</v>
      </c>
      <c r="K227" s="3133">
        <f>'[3]典型户型修正-办公'!R232</f>
        <v>14461</v>
      </c>
    </row>
    <row r="228" spans="1:11">
      <c r="A228" s="3145"/>
      <c r="B228" s="3146">
        <v>210</v>
      </c>
      <c r="C228" s="3147">
        <v>9</v>
      </c>
      <c r="D228" s="3148" t="s">
        <v>3621</v>
      </c>
      <c r="E228" s="3147">
        <v>38.1</v>
      </c>
      <c r="F228" s="3147">
        <v>3</v>
      </c>
      <c r="G228" s="3147" t="s">
        <v>3408</v>
      </c>
      <c r="H228" s="3145" t="s">
        <v>21</v>
      </c>
      <c r="I228" s="3133" t="s">
        <v>3553</v>
      </c>
      <c r="J228" s="3133">
        <f>'[3]典型户型修正-办公'!S233</f>
        <v>55</v>
      </c>
      <c r="K228" s="3133">
        <f>'[3]典型户型修正-办公'!R233</f>
        <v>14318</v>
      </c>
    </row>
    <row r="229" spans="1:11">
      <c r="A229" s="3145"/>
      <c r="B229" s="3146">
        <v>211</v>
      </c>
      <c r="C229" s="3147">
        <v>9</v>
      </c>
      <c r="D229" s="3148" t="s">
        <v>3622</v>
      </c>
      <c r="E229" s="3147">
        <v>41.4</v>
      </c>
      <c r="F229" s="3147">
        <v>3</v>
      </c>
      <c r="G229" s="3147" t="s">
        <v>3408</v>
      </c>
      <c r="H229" s="3145" t="s">
        <v>21</v>
      </c>
      <c r="I229" s="3133" t="s">
        <v>3553</v>
      </c>
      <c r="J229" s="3133">
        <f>'[3]典型户型修正-办公'!S234</f>
        <v>59</v>
      </c>
      <c r="K229" s="3133">
        <f>'[3]典型户型修正-办公'!R234</f>
        <v>14318</v>
      </c>
    </row>
    <row r="230" spans="1:11">
      <c r="A230" s="3145"/>
      <c r="B230" s="3146">
        <v>212</v>
      </c>
      <c r="C230" s="3147">
        <v>9</v>
      </c>
      <c r="D230" s="3148" t="s">
        <v>3623</v>
      </c>
      <c r="E230" s="3147">
        <v>44.09</v>
      </c>
      <c r="F230" s="3147">
        <v>3</v>
      </c>
      <c r="G230" s="3147" t="s">
        <v>3408</v>
      </c>
      <c r="H230" s="3145" t="s">
        <v>21</v>
      </c>
      <c r="I230" s="3133" t="s">
        <v>3553</v>
      </c>
      <c r="J230" s="3133">
        <f>'[3]典型户型修正-办公'!S235</f>
        <v>63</v>
      </c>
      <c r="K230" s="3133">
        <f>'[3]典型户型修正-办公'!R235</f>
        <v>14318</v>
      </c>
    </row>
    <row r="231" spans="1:11">
      <c r="A231" s="3145"/>
      <c r="B231" s="3146">
        <v>213</v>
      </c>
      <c r="C231" s="3147">
        <v>9</v>
      </c>
      <c r="D231" s="3148" t="s">
        <v>3624</v>
      </c>
      <c r="E231" s="3147">
        <v>46.17</v>
      </c>
      <c r="F231" s="3147">
        <v>3</v>
      </c>
      <c r="G231" s="3147" t="s">
        <v>3408</v>
      </c>
      <c r="H231" s="3145" t="s">
        <v>21</v>
      </c>
      <c r="I231" s="3133" t="s">
        <v>3553</v>
      </c>
      <c r="J231" s="3133">
        <f>'[3]典型户型修正-办公'!S236</f>
        <v>66</v>
      </c>
      <c r="K231" s="3133">
        <f>'[3]典型户型修正-办公'!R236</f>
        <v>14318</v>
      </c>
    </row>
    <row r="232" spans="1:11">
      <c r="A232" s="3145"/>
      <c r="B232" s="3146">
        <v>214</v>
      </c>
      <c r="C232" s="3147">
        <v>9</v>
      </c>
      <c r="D232" s="3148" t="s">
        <v>3625</v>
      </c>
      <c r="E232" s="3147">
        <v>47.65</v>
      </c>
      <c r="F232" s="3147">
        <v>3</v>
      </c>
      <c r="G232" s="3147" t="s">
        <v>3408</v>
      </c>
      <c r="H232" s="3145" t="s">
        <v>21</v>
      </c>
      <c r="I232" s="3133" t="s">
        <v>3553</v>
      </c>
      <c r="J232" s="3133">
        <f>'[3]典型户型修正-办公'!S237</f>
        <v>68</v>
      </c>
      <c r="K232" s="3133">
        <f>'[3]典型户型修正-办公'!R237</f>
        <v>14318</v>
      </c>
    </row>
    <row r="233" spans="1:11">
      <c r="A233" s="3145"/>
      <c r="B233" s="3146">
        <v>215</v>
      </c>
      <c r="C233" s="3147">
        <v>9</v>
      </c>
      <c r="D233" s="3148" t="s">
        <v>3626</v>
      </c>
      <c r="E233" s="3147">
        <v>48.6</v>
      </c>
      <c r="F233" s="3147">
        <v>3</v>
      </c>
      <c r="G233" s="3147" t="s">
        <v>3408</v>
      </c>
      <c r="H233" s="3145" t="s">
        <v>21</v>
      </c>
      <c r="I233" s="3133" t="s">
        <v>3553</v>
      </c>
      <c r="J233" s="3133">
        <f>'[3]典型户型修正-办公'!S238</f>
        <v>70</v>
      </c>
      <c r="K233" s="3133">
        <f>'[3]典型户型修正-办公'!R238</f>
        <v>14318</v>
      </c>
    </row>
    <row r="234" spans="1:11">
      <c r="A234" s="3145"/>
      <c r="B234" s="3146">
        <v>216</v>
      </c>
      <c r="C234" s="3147">
        <v>9</v>
      </c>
      <c r="D234" s="3148" t="s">
        <v>3627</v>
      </c>
      <c r="E234" s="3147">
        <v>48.89</v>
      </c>
      <c r="F234" s="3147">
        <v>3</v>
      </c>
      <c r="G234" s="3147" t="s">
        <v>3408</v>
      </c>
      <c r="H234" s="3145" t="s">
        <v>21</v>
      </c>
      <c r="I234" s="3133" t="s">
        <v>3553</v>
      </c>
      <c r="J234" s="3133">
        <f>'[3]典型户型修正-办公'!S239</f>
        <v>70</v>
      </c>
      <c r="K234" s="3133">
        <f>'[3]典型户型修正-办公'!R239</f>
        <v>14318</v>
      </c>
    </row>
    <row r="235" spans="1:11">
      <c r="A235" s="3145"/>
      <c r="B235" s="3146">
        <v>217</v>
      </c>
      <c r="C235" s="3147">
        <v>9</v>
      </c>
      <c r="D235" s="3148" t="s">
        <v>3628</v>
      </c>
      <c r="E235" s="3147">
        <v>48.59</v>
      </c>
      <c r="F235" s="3147">
        <v>3</v>
      </c>
      <c r="G235" s="3147" t="s">
        <v>3408</v>
      </c>
      <c r="H235" s="3145" t="s">
        <v>21</v>
      </c>
      <c r="I235" s="3133" t="s">
        <v>3553</v>
      </c>
      <c r="J235" s="3133">
        <f>'[3]典型户型修正-办公'!S240</f>
        <v>70</v>
      </c>
      <c r="K235" s="3133">
        <f>'[3]典型户型修正-办公'!R240</f>
        <v>14318</v>
      </c>
    </row>
    <row r="236" spans="1:11">
      <c r="A236" s="3145"/>
      <c r="B236" s="3146">
        <v>218</v>
      </c>
      <c r="C236" s="3147">
        <v>9</v>
      </c>
      <c r="D236" s="3148" t="s">
        <v>3629</v>
      </c>
      <c r="E236" s="3147">
        <v>47.73</v>
      </c>
      <c r="F236" s="3147">
        <v>3</v>
      </c>
      <c r="G236" s="3147" t="s">
        <v>3408</v>
      </c>
      <c r="H236" s="3145" t="s">
        <v>21</v>
      </c>
      <c r="I236" s="3133" t="s">
        <v>3553</v>
      </c>
      <c r="J236" s="3133">
        <f>'[3]典型户型修正-办公'!S241</f>
        <v>68</v>
      </c>
      <c r="K236" s="3133">
        <f>'[3]典型户型修正-办公'!R241</f>
        <v>14318</v>
      </c>
    </row>
    <row r="237" spans="1:11">
      <c r="A237" s="3145"/>
      <c r="B237" s="3146">
        <v>219</v>
      </c>
      <c r="C237" s="3147">
        <v>9</v>
      </c>
      <c r="D237" s="3148" t="s">
        <v>3630</v>
      </c>
      <c r="E237" s="3147">
        <v>70.2</v>
      </c>
      <c r="F237" s="3147">
        <v>3</v>
      </c>
      <c r="G237" s="3147" t="s">
        <v>3408</v>
      </c>
      <c r="H237" s="3145" t="s">
        <v>21</v>
      </c>
      <c r="I237" s="3133" t="s">
        <v>3553</v>
      </c>
      <c r="J237" s="3133">
        <f>'[3]典型户型修正-办公'!S242</f>
        <v>102</v>
      </c>
      <c r="K237" s="3133">
        <f>'[3]典型户型修正-办公'!R242</f>
        <v>14461</v>
      </c>
    </row>
    <row r="238" spans="1:11">
      <c r="A238" s="3145"/>
      <c r="B238" s="3146">
        <v>220</v>
      </c>
      <c r="C238" s="3147">
        <v>10</v>
      </c>
      <c r="D238" s="3148" t="s">
        <v>3631</v>
      </c>
      <c r="E238" s="3147">
        <v>51.46</v>
      </c>
      <c r="F238" s="3147">
        <v>3</v>
      </c>
      <c r="G238" s="3147" t="s">
        <v>3408</v>
      </c>
      <c r="H238" s="3145" t="s">
        <v>21</v>
      </c>
      <c r="I238" s="3133" t="s">
        <v>3553</v>
      </c>
      <c r="J238" s="3133">
        <f>'[3]典型户型修正-办公'!S243</f>
        <v>74</v>
      </c>
      <c r="K238" s="3133">
        <f>'[3]典型户型修正-办公'!R243</f>
        <v>14318</v>
      </c>
    </row>
    <row r="239" spans="1:11">
      <c r="A239" s="3145"/>
      <c r="B239" s="3146">
        <v>221</v>
      </c>
      <c r="C239" s="3147">
        <v>10</v>
      </c>
      <c r="D239" s="3148" t="s">
        <v>3632</v>
      </c>
      <c r="E239" s="3147">
        <v>49.62</v>
      </c>
      <c r="F239" s="3147">
        <v>3</v>
      </c>
      <c r="G239" s="3147" t="s">
        <v>3408</v>
      </c>
      <c r="H239" s="3145" t="s">
        <v>21</v>
      </c>
      <c r="I239" s="3133" t="s">
        <v>3553</v>
      </c>
      <c r="J239" s="3133">
        <f>'[3]典型户型修正-办公'!S244</f>
        <v>71</v>
      </c>
      <c r="K239" s="3133">
        <f>'[3]典型户型修正-办公'!R244</f>
        <v>14318</v>
      </c>
    </row>
    <row r="240" spans="1:11">
      <c r="A240" s="3145"/>
      <c r="B240" s="3146">
        <v>222</v>
      </c>
      <c r="C240" s="3147">
        <v>10</v>
      </c>
      <c r="D240" s="3148" t="s">
        <v>3633</v>
      </c>
      <c r="E240" s="3147">
        <v>49.62</v>
      </c>
      <c r="F240" s="3147">
        <v>3</v>
      </c>
      <c r="G240" s="3147" t="s">
        <v>3408</v>
      </c>
      <c r="H240" s="3145" t="s">
        <v>21</v>
      </c>
      <c r="I240" s="3133" t="s">
        <v>3553</v>
      </c>
      <c r="J240" s="3133">
        <f>'[3]典型户型修正-办公'!S245</f>
        <v>71</v>
      </c>
      <c r="K240" s="3133">
        <f>'[3]典型户型修正-办公'!R245</f>
        <v>14318</v>
      </c>
    </row>
    <row r="241" spans="1:11">
      <c r="A241" s="3145"/>
      <c r="B241" s="3146">
        <v>223</v>
      </c>
      <c r="C241" s="3147">
        <v>10</v>
      </c>
      <c r="D241" s="3148" t="s">
        <v>3634</v>
      </c>
      <c r="E241" s="3147">
        <v>49.62</v>
      </c>
      <c r="F241" s="3147">
        <v>3</v>
      </c>
      <c r="G241" s="3147" t="s">
        <v>3408</v>
      </c>
      <c r="H241" s="3145" t="s">
        <v>21</v>
      </c>
      <c r="I241" s="3133" t="s">
        <v>3553</v>
      </c>
      <c r="J241" s="3133">
        <f>'[3]典型户型修正-办公'!S246</f>
        <v>71</v>
      </c>
      <c r="K241" s="3133">
        <f>'[3]典型户型修正-办公'!R246</f>
        <v>14318</v>
      </c>
    </row>
    <row r="242" spans="1:11">
      <c r="A242" s="3145"/>
      <c r="B242" s="3146">
        <v>224</v>
      </c>
      <c r="C242" s="3147">
        <v>10</v>
      </c>
      <c r="D242" s="3148" t="s">
        <v>3635</v>
      </c>
      <c r="E242" s="3147">
        <v>49.62</v>
      </c>
      <c r="F242" s="3147">
        <v>3</v>
      </c>
      <c r="G242" s="3147" t="s">
        <v>3408</v>
      </c>
      <c r="H242" s="3145" t="s">
        <v>21</v>
      </c>
      <c r="I242" s="3133" t="s">
        <v>3553</v>
      </c>
      <c r="J242" s="3133">
        <f>'[3]典型户型修正-办公'!S247</f>
        <v>71</v>
      </c>
      <c r="K242" s="3133">
        <f>'[3]典型户型修正-办公'!R247</f>
        <v>14318</v>
      </c>
    </row>
    <row r="243" spans="1:11">
      <c r="A243" s="3145"/>
      <c r="B243" s="3146">
        <v>225</v>
      </c>
      <c r="C243" s="3147">
        <v>10</v>
      </c>
      <c r="D243" s="3148" t="s">
        <v>3636</v>
      </c>
      <c r="E243" s="3147">
        <v>49.62</v>
      </c>
      <c r="F243" s="3147">
        <v>3</v>
      </c>
      <c r="G243" s="3147" t="s">
        <v>3408</v>
      </c>
      <c r="H243" s="3145" t="s">
        <v>21</v>
      </c>
      <c r="I243" s="3133" t="s">
        <v>3553</v>
      </c>
      <c r="J243" s="3133">
        <f>'[3]典型户型修正-办公'!S248</f>
        <v>71</v>
      </c>
      <c r="K243" s="3133">
        <f>'[3]典型户型修正-办公'!R248</f>
        <v>14318</v>
      </c>
    </row>
    <row r="244" spans="1:11">
      <c r="A244" s="3145"/>
      <c r="B244" s="3146">
        <v>226</v>
      </c>
      <c r="C244" s="3147">
        <v>10</v>
      </c>
      <c r="D244" s="3148" t="s">
        <v>3637</v>
      </c>
      <c r="E244" s="3147">
        <v>49.62</v>
      </c>
      <c r="F244" s="3147">
        <v>3</v>
      </c>
      <c r="G244" s="3147" t="s">
        <v>3408</v>
      </c>
      <c r="H244" s="3145" t="s">
        <v>21</v>
      </c>
      <c r="I244" s="3133" t="s">
        <v>3553</v>
      </c>
      <c r="J244" s="3133">
        <f>'[3]典型户型修正-办公'!S249</f>
        <v>71</v>
      </c>
      <c r="K244" s="3133">
        <f>'[3]典型户型修正-办公'!R249</f>
        <v>14318</v>
      </c>
    </row>
    <row r="245" spans="1:11">
      <c r="A245" s="3145"/>
      <c r="B245" s="3146">
        <v>227</v>
      </c>
      <c r="C245" s="3147">
        <v>10</v>
      </c>
      <c r="D245" s="3148" t="s">
        <v>3638</v>
      </c>
      <c r="E245" s="3147">
        <v>49.62</v>
      </c>
      <c r="F245" s="3147">
        <v>3</v>
      </c>
      <c r="G245" s="3147" t="s">
        <v>3408</v>
      </c>
      <c r="H245" s="3145" t="s">
        <v>21</v>
      </c>
      <c r="I245" s="3133" t="s">
        <v>3553</v>
      </c>
      <c r="J245" s="3133">
        <f>'[3]典型户型修正-办公'!S250</f>
        <v>71</v>
      </c>
      <c r="K245" s="3133">
        <f>'[3]典型户型修正-办公'!R250</f>
        <v>14318</v>
      </c>
    </row>
    <row r="246" spans="1:11">
      <c r="A246" s="3145"/>
      <c r="B246" s="3146">
        <v>228</v>
      </c>
      <c r="C246" s="3147">
        <v>10</v>
      </c>
      <c r="D246" s="3148" t="s">
        <v>3639</v>
      </c>
      <c r="E246" s="3147">
        <v>49.62</v>
      </c>
      <c r="F246" s="3147">
        <v>3</v>
      </c>
      <c r="G246" s="3147" t="s">
        <v>3408</v>
      </c>
      <c r="H246" s="3145" t="s">
        <v>21</v>
      </c>
      <c r="I246" s="3133" t="s">
        <v>3553</v>
      </c>
      <c r="J246" s="3133">
        <f>'[3]典型户型修正-办公'!S251</f>
        <v>71</v>
      </c>
      <c r="K246" s="3133">
        <f>'[3]典型户型修正-办公'!R251</f>
        <v>14318</v>
      </c>
    </row>
    <row r="247" spans="1:11">
      <c r="A247" s="3145"/>
      <c r="B247" s="3146">
        <v>229</v>
      </c>
      <c r="C247" s="3147">
        <v>10</v>
      </c>
      <c r="D247" s="3148" t="s">
        <v>3640</v>
      </c>
      <c r="E247" s="3147">
        <v>49.62</v>
      </c>
      <c r="F247" s="3147">
        <v>3</v>
      </c>
      <c r="G247" s="3147" t="s">
        <v>3408</v>
      </c>
      <c r="H247" s="3145" t="s">
        <v>21</v>
      </c>
      <c r="I247" s="3133" t="s">
        <v>3553</v>
      </c>
      <c r="J247" s="3133">
        <f>'[3]典型户型修正-办公'!S252</f>
        <v>71</v>
      </c>
      <c r="K247" s="3133">
        <f>'[3]典型户型修正-办公'!R252</f>
        <v>14318</v>
      </c>
    </row>
    <row r="248" spans="1:11">
      <c r="A248" s="3145"/>
      <c r="B248" s="3146">
        <v>230</v>
      </c>
      <c r="C248" s="3147">
        <v>10</v>
      </c>
      <c r="D248" s="3148" t="s">
        <v>3641</v>
      </c>
      <c r="E248" s="3147">
        <v>49.62</v>
      </c>
      <c r="F248" s="3147">
        <v>3</v>
      </c>
      <c r="G248" s="3147" t="s">
        <v>3408</v>
      </c>
      <c r="H248" s="3145" t="s">
        <v>21</v>
      </c>
      <c r="I248" s="3133" t="s">
        <v>3553</v>
      </c>
      <c r="J248" s="3133">
        <f>'[3]典型户型修正-办公'!S253</f>
        <v>71</v>
      </c>
      <c r="K248" s="3133">
        <f>'[3]典型户型修正-办公'!R253</f>
        <v>14318</v>
      </c>
    </row>
    <row r="249" spans="1:11">
      <c r="A249" s="3145"/>
      <c r="B249" s="3146">
        <v>231</v>
      </c>
      <c r="C249" s="3147">
        <v>10</v>
      </c>
      <c r="D249" s="3148" t="s">
        <v>3642</v>
      </c>
      <c r="E249" s="3147">
        <v>49.62</v>
      </c>
      <c r="F249" s="3147">
        <v>3</v>
      </c>
      <c r="G249" s="3147" t="s">
        <v>3408</v>
      </c>
      <c r="H249" s="3145" t="s">
        <v>21</v>
      </c>
      <c r="I249" s="3133" t="s">
        <v>3553</v>
      </c>
      <c r="J249" s="3133">
        <f>'[3]典型户型修正-办公'!S254</f>
        <v>71</v>
      </c>
      <c r="K249" s="3133">
        <f>'[3]典型户型修正-办公'!R254</f>
        <v>14318</v>
      </c>
    </row>
    <row r="250" spans="1:11">
      <c r="A250" s="3145"/>
      <c r="B250" s="3146">
        <v>232</v>
      </c>
      <c r="C250" s="3147">
        <v>10</v>
      </c>
      <c r="D250" s="3148" t="s">
        <v>3643</v>
      </c>
      <c r="E250" s="3147">
        <v>49.62</v>
      </c>
      <c r="F250" s="3147">
        <v>3</v>
      </c>
      <c r="G250" s="3147" t="s">
        <v>3408</v>
      </c>
      <c r="H250" s="3145" t="s">
        <v>21</v>
      </c>
      <c r="I250" s="3133" t="s">
        <v>3553</v>
      </c>
      <c r="J250" s="3133">
        <f>'[3]典型户型修正-办公'!S255</f>
        <v>71</v>
      </c>
      <c r="K250" s="3133">
        <f>'[3]典型户型修正-办公'!R255</f>
        <v>14318</v>
      </c>
    </row>
    <row r="251" spans="1:11">
      <c r="A251" s="3145"/>
      <c r="B251" s="3146">
        <v>233</v>
      </c>
      <c r="C251" s="3147">
        <v>10</v>
      </c>
      <c r="D251" s="3148" t="s">
        <v>3644</v>
      </c>
      <c r="E251" s="3147">
        <v>49.62</v>
      </c>
      <c r="F251" s="3147">
        <v>3</v>
      </c>
      <c r="G251" s="3147" t="s">
        <v>3408</v>
      </c>
      <c r="H251" s="3145" t="s">
        <v>21</v>
      </c>
      <c r="I251" s="3133" t="s">
        <v>3553</v>
      </c>
      <c r="J251" s="3133">
        <f>'[3]典型户型修正-办公'!S256</f>
        <v>71</v>
      </c>
      <c r="K251" s="3133">
        <f>'[3]典型户型修正-办公'!R256</f>
        <v>14318</v>
      </c>
    </row>
    <row r="252" spans="1:11">
      <c r="A252" s="3145"/>
      <c r="B252" s="3146">
        <v>234</v>
      </c>
      <c r="C252" s="3147">
        <v>10</v>
      </c>
      <c r="D252" s="3148" t="s">
        <v>3645</v>
      </c>
      <c r="E252" s="3147">
        <v>49.62</v>
      </c>
      <c r="F252" s="3147">
        <v>3</v>
      </c>
      <c r="G252" s="3147" t="s">
        <v>3408</v>
      </c>
      <c r="H252" s="3145" t="s">
        <v>21</v>
      </c>
      <c r="I252" s="3133" t="s">
        <v>3553</v>
      </c>
      <c r="J252" s="3133">
        <f>'[3]典型户型修正-办公'!S257</f>
        <v>71</v>
      </c>
      <c r="K252" s="3133">
        <f>'[3]典型户型修正-办公'!R257</f>
        <v>14318</v>
      </c>
    </row>
    <row r="253" spans="1:11">
      <c r="A253" s="3145"/>
      <c r="B253" s="3146">
        <v>235</v>
      </c>
      <c r="C253" s="3147">
        <v>10</v>
      </c>
      <c r="D253" s="3148" t="s">
        <v>3646</v>
      </c>
      <c r="E253" s="3147">
        <v>68.78</v>
      </c>
      <c r="F253" s="3147">
        <v>3</v>
      </c>
      <c r="G253" s="3147" t="s">
        <v>3408</v>
      </c>
      <c r="H253" s="3145" t="s">
        <v>21</v>
      </c>
      <c r="I253" s="3133" t="s">
        <v>3553</v>
      </c>
      <c r="J253" s="3133">
        <f>'[3]典型户型修正-办公'!S258</f>
        <v>99</v>
      </c>
      <c r="K253" s="3133">
        <f>'[3]典型户型修正-办公'!R258</f>
        <v>14461</v>
      </c>
    </row>
    <row r="254" spans="1:11">
      <c r="A254" s="3145"/>
      <c r="B254" s="3146">
        <v>236</v>
      </c>
      <c r="C254" s="3147">
        <v>10</v>
      </c>
      <c r="D254" s="3148" t="s">
        <v>3647</v>
      </c>
      <c r="E254" s="3147">
        <v>38.1</v>
      </c>
      <c r="F254" s="3147">
        <v>3</v>
      </c>
      <c r="G254" s="3147" t="s">
        <v>3408</v>
      </c>
      <c r="H254" s="3145" t="s">
        <v>21</v>
      </c>
      <c r="I254" s="3133" t="s">
        <v>3553</v>
      </c>
      <c r="J254" s="3133">
        <f>'[3]典型户型修正-办公'!S259</f>
        <v>55</v>
      </c>
      <c r="K254" s="3133">
        <f>'[3]典型户型修正-办公'!R259</f>
        <v>14318</v>
      </c>
    </row>
    <row r="255" spans="1:11">
      <c r="A255" s="3145"/>
      <c r="B255" s="3146">
        <v>237</v>
      </c>
      <c r="C255" s="3147">
        <v>10</v>
      </c>
      <c r="D255" s="3148" t="s">
        <v>3648</v>
      </c>
      <c r="E255" s="3147">
        <v>41.4</v>
      </c>
      <c r="F255" s="3147">
        <v>3</v>
      </c>
      <c r="G255" s="3147" t="s">
        <v>3408</v>
      </c>
      <c r="H255" s="3145" t="s">
        <v>21</v>
      </c>
      <c r="I255" s="3133" t="s">
        <v>3553</v>
      </c>
      <c r="J255" s="3133">
        <f>'[3]典型户型修正-办公'!S260</f>
        <v>59</v>
      </c>
      <c r="K255" s="3133">
        <f>'[3]典型户型修正-办公'!R260</f>
        <v>14318</v>
      </c>
    </row>
    <row r="256" spans="1:11">
      <c r="A256" s="3145"/>
      <c r="B256" s="3146">
        <v>238</v>
      </c>
      <c r="C256" s="3147">
        <v>10</v>
      </c>
      <c r="D256" s="3148" t="s">
        <v>3649</v>
      </c>
      <c r="E256" s="3147">
        <v>44.09</v>
      </c>
      <c r="F256" s="3147">
        <v>3</v>
      </c>
      <c r="G256" s="3147" t="s">
        <v>3408</v>
      </c>
      <c r="H256" s="3145" t="s">
        <v>21</v>
      </c>
      <c r="I256" s="3133" t="s">
        <v>3553</v>
      </c>
      <c r="J256" s="3133">
        <f>'[3]典型户型修正-办公'!S261</f>
        <v>63</v>
      </c>
      <c r="K256" s="3133">
        <f>'[3]典型户型修正-办公'!R261</f>
        <v>14318</v>
      </c>
    </row>
    <row r="257" spans="1:11">
      <c r="A257" s="3145"/>
      <c r="B257" s="3146">
        <v>239</v>
      </c>
      <c r="C257" s="3147">
        <v>10</v>
      </c>
      <c r="D257" s="3148" t="s">
        <v>3650</v>
      </c>
      <c r="E257" s="3147">
        <v>46.17</v>
      </c>
      <c r="F257" s="3147">
        <v>3</v>
      </c>
      <c r="G257" s="3147" t="s">
        <v>3408</v>
      </c>
      <c r="H257" s="3145" t="s">
        <v>21</v>
      </c>
      <c r="I257" s="3133" t="s">
        <v>3553</v>
      </c>
      <c r="J257" s="3133">
        <f>'[3]典型户型修正-办公'!S262</f>
        <v>66</v>
      </c>
      <c r="K257" s="3133">
        <f>'[3]典型户型修正-办公'!R262</f>
        <v>14318</v>
      </c>
    </row>
    <row r="258" spans="1:11">
      <c r="A258" s="3145"/>
      <c r="B258" s="3146">
        <v>240</v>
      </c>
      <c r="C258" s="3147">
        <v>10</v>
      </c>
      <c r="D258" s="3148" t="s">
        <v>3651</v>
      </c>
      <c r="E258" s="3147">
        <v>47.65</v>
      </c>
      <c r="F258" s="3147">
        <v>3</v>
      </c>
      <c r="G258" s="3147" t="s">
        <v>3408</v>
      </c>
      <c r="H258" s="3145" t="s">
        <v>21</v>
      </c>
      <c r="I258" s="3133" t="s">
        <v>3553</v>
      </c>
      <c r="J258" s="3133">
        <f>'[3]典型户型修正-办公'!S263</f>
        <v>68</v>
      </c>
      <c r="K258" s="3133">
        <f>'[3]典型户型修正-办公'!R263</f>
        <v>14318</v>
      </c>
    </row>
    <row r="259" spans="1:11">
      <c r="A259" s="3145"/>
      <c r="B259" s="3146">
        <v>241</v>
      </c>
      <c r="C259" s="3147">
        <v>10</v>
      </c>
      <c r="D259" s="3148" t="s">
        <v>3652</v>
      </c>
      <c r="E259" s="3147">
        <v>48.6</v>
      </c>
      <c r="F259" s="3147">
        <v>3</v>
      </c>
      <c r="G259" s="3147" t="s">
        <v>3408</v>
      </c>
      <c r="H259" s="3145" t="s">
        <v>21</v>
      </c>
      <c r="I259" s="3133" t="s">
        <v>3553</v>
      </c>
      <c r="J259" s="3133">
        <f>'[3]典型户型修正-办公'!S264</f>
        <v>70</v>
      </c>
      <c r="K259" s="3133">
        <f>'[3]典型户型修正-办公'!R264</f>
        <v>14318</v>
      </c>
    </row>
    <row r="260" spans="1:11">
      <c r="A260" s="3145"/>
      <c r="B260" s="3146">
        <v>242</v>
      </c>
      <c r="C260" s="3147">
        <v>10</v>
      </c>
      <c r="D260" s="3148" t="s">
        <v>3653</v>
      </c>
      <c r="E260" s="3147">
        <v>48.89</v>
      </c>
      <c r="F260" s="3147">
        <v>3</v>
      </c>
      <c r="G260" s="3147" t="s">
        <v>3408</v>
      </c>
      <c r="H260" s="3145" t="s">
        <v>21</v>
      </c>
      <c r="I260" s="3133" t="s">
        <v>3553</v>
      </c>
      <c r="J260" s="3133">
        <f>'[3]典型户型修正-办公'!S265</f>
        <v>70</v>
      </c>
      <c r="K260" s="3133">
        <f>'[3]典型户型修正-办公'!R265</f>
        <v>14318</v>
      </c>
    </row>
    <row r="261" spans="1:11">
      <c r="A261" s="3145"/>
      <c r="B261" s="3146">
        <v>243</v>
      </c>
      <c r="C261" s="3147">
        <v>10</v>
      </c>
      <c r="D261" s="3148" t="s">
        <v>3654</v>
      </c>
      <c r="E261" s="3147">
        <v>48.59</v>
      </c>
      <c r="F261" s="3147">
        <v>3</v>
      </c>
      <c r="G261" s="3147" t="s">
        <v>3408</v>
      </c>
      <c r="H261" s="3145" t="s">
        <v>21</v>
      </c>
      <c r="I261" s="3133" t="s">
        <v>3553</v>
      </c>
      <c r="J261" s="3133">
        <f>'[3]典型户型修正-办公'!S266</f>
        <v>70</v>
      </c>
      <c r="K261" s="3133">
        <f>'[3]典型户型修正-办公'!R266</f>
        <v>14318</v>
      </c>
    </row>
    <row r="262" spans="1:11">
      <c r="A262" s="3145"/>
      <c r="B262" s="3146">
        <v>244</v>
      </c>
      <c r="C262" s="3147">
        <v>10</v>
      </c>
      <c r="D262" s="3148" t="s">
        <v>3655</v>
      </c>
      <c r="E262" s="3147">
        <v>47.73</v>
      </c>
      <c r="F262" s="3147">
        <v>3</v>
      </c>
      <c r="G262" s="3147" t="s">
        <v>3408</v>
      </c>
      <c r="H262" s="3145" t="s">
        <v>21</v>
      </c>
      <c r="I262" s="3133" t="s">
        <v>3553</v>
      </c>
      <c r="J262" s="3133">
        <f>'[3]典型户型修正-办公'!S267</f>
        <v>68</v>
      </c>
      <c r="K262" s="3133">
        <f>'[3]典型户型修正-办公'!R267</f>
        <v>14318</v>
      </c>
    </row>
    <row r="263" spans="1:11">
      <c r="A263" s="3145"/>
      <c r="B263" s="3146">
        <v>245</v>
      </c>
      <c r="C263" s="3147">
        <v>10</v>
      </c>
      <c r="D263" s="3148" t="s">
        <v>3656</v>
      </c>
      <c r="E263" s="3147">
        <v>70.2</v>
      </c>
      <c r="F263" s="3147">
        <v>3</v>
      </c>
      <c r="G263" s="3147" t="s">
        <v>3408</v>
      </c>
      <c r="H263" s="3145" t="s">
        <v>21</v>
      </c>
      <c r="I263" s="3133" t="s">
        <v>3553</v>
      </c>
      <c r="J263" s="3133">
        <f>'[3]典型户型修正-办公'!S268</f>
        <v>102</v>
      </c>
      <c r="K263" s="3133">
        <f>'[3]典型户型修正-办公'!R268</f>
        <v>14461</v>
      </c>
    </row>
    <row r="264" spans="1:11">
      <c r="A264" s="3145"/>
      <c r="B264" s="3146">
        <v>246</v>
      </c>
      <c r="C264" s="3147">
        <v>11</v>
      </c>
      <c r="D264" s="3148" t="s">
        <v>3657</v>
      </c>
      <c r="E264" s="3147">
        <v>51.46</v>
      </c>
      <c r="F264" s="3147">
        <v>3</v>
      </c>
      <c r="G264" s="3147" t="s">
        <v>3408</v>
      </c>
      <c r="H264" s="3145" t="s">
        <v>21</v>
      </c>
      <c r="I264" s="3133" t="s">
        <v>3553</v>
      </c>
      <c r="J264" s="3133">
        <f>'[3]典型户型修正-办公'!S269</f>
        <v>74</v>
      </c>
      <c r="K264" s="3133">
        <f>'[3]典型户型修正-办公'!R269</f>
        <v>14318</v>
      </c>
    </row>
    <row r="265" spans="1:11">
      <c r="A265" s="3145"/>
      <c r="B265" s="3146">
        <v>247</v>
      </c>
      <c r="C265" s="3147">
        <v>11</v>
      </c>
      <c r="D265" s="3148" t="s">
        <v>3658</v>
      </c>
      <c r="E265" s="3147">
        <v>49.62</v>
      </c>
      <c r="F265" s="3147">
        <v>3</v>
      </c>
      <c r="G265" s="3147" t="s">
        <v>3408</v>
      </c>
      <c r="H265" s="3145" t="s">
        <v>21</v>
      </c>
      <c r="I265" s="3133" t="s">
        <v>3553</v>
      </c>
      <c r="J265" s="3133">
        <f>'[3]典型户型修正-办公'!S270</f>
        <v>71</v>
      </c>
      <c r="K265" s="3133">
        <f>'[3]典型户型修正-办公'!R270</f>
        <v>14318</v>
      </c>
    </row>
    <row r="266" spans="1:11">
      <c r="A266" s="3145"/>
      <c r="B266" s="3146">
        <v>248</v>
      </c>
      <c r="C266" s="3147">
        <v>11</v>
      </c>
      <c r="D266" s="3148" t="s">
        <v>3659</v>
      </c>
      <c r="E266" s="3147">
        <v>49.62</v>
      </c>
      <c r="F266" s="3147">
        <v>3</v>
      </c>
      <c r="G266" s="3147" t="s">
        <v>3408</v>
      </c>
      <c r="H266" s="3145" t="s">
        <v>21</v>
      </c>
      <c r="I266" s="3133" t="s">
        <v>3553</v>
      </c>
      <c r="J266" s="3133">
        <f>'[3]典型户型修正-办公'!S271</f>
        <v>71</v>
      </c>
      <c r="K266" s="3133">
        <f>'[3]典型户型修正-办公'!R271</f>
        <v>14318</v>
      </c>
    </row>
    <row r="267" spans="1:11">
      <c r="A267" s="3145"/>
      <c r="B267" s="3146">
        <v>249</v>
      </c>
      <c r="C267" s="3147">
        <v>11</v>
      </c>
      <c r="D267" s="3148" t="s">
        <v>3660</v>
      </c>
      <c r="E267" s="3147">
        <v>49.62</v>
      </c>
      <c r="F267" s="3147">
        <v>3</v>
      </c>
      <c r="G267" s="3147" t="s">
        <v>3408</v>
      </c>
      <c r="H267" s="3145" t="s">
        <v>21</v>
      </c>
      <c r="I267" s="3133" t="s">
        <v>3553</v>
      </c>
      <c r="J267" s="3133">
        <f>'[3]典型户型修正-办公'!S272</f>
        <v>71</v>
      </c>
      <c r="K267" s="3133">
        <f>'[3]典型户型修正-办公'!R272</f>
        <v>14318</v>
      </c>
    </row>
    <row r="268" spans="1:11">
      <c r="A268" s="3145"/>
      <c r="B268" s="3146">
        <v>250</v>
      </c>
      <c r="C268" s="3147">
        <v>11</v>
      </c>
      <c r="D268" s="3148" t="s">
        <v>3661</v>
      </c>
      <c r="E268" s="3147">
        <v>49.62</v>
      </c>
      <c r="F268" s="3147">
        <v>3</v>
      </c>
      <c r="G268" s="3147" t="s">
        <v>3408</v>
      </c>
      <c r="H268" s="3145" t="s">
        <v>21</v>
      </c>
      <c r="I268" s="3133" t="s">
        <v>3553</v>
      </c>
      <c r="J268" s="3133">
        <f>'[3]典型户型修正-办公'!S273</f>
        <v>71</v>
      </c>
      <c r="K268" s="3133">
        <f>'[3]典型户型修正-办公'!R273</f>
        <v>14318</v>
      </c>
    </row>
    <row r="269" spans="1:11">
      <c r="A269" s="3145"/>
      <c r="B269" s="3146">
        <v>251</v>
      </c>
      <c r="C269" s="3147">
        <v>11</v>
      </c>
      <c r="D269" s="3148" t="s">
        <v>3662</v>
      </c>
      <c r="E269" s="3147">
        <v>49.62</v>
      </c>
      <c r="F269" s="3147">
        <v>3</v>
      </c>
      <c r="G269" s="3147" t="s">
        <v>3408</v>
      </c>
      <c r="H269" s="3145" t="s">
        <v>21</v>
      </c>
      <c r="I269" s="3133" t="s">
        <v>3553</v>
      </c>
      <c r="J269" s="3133">
        <f>'[3]典型户型修正-办公'!S274</f>
        <v>71</v>
      </c>
      <c r="K269" s="3133">
        <f>'[3]典型户型修正-办公'!R274</f>
        <v>14318</v>
      </c>
    </row>
    <row r="270" spans="1:11">
      <c r="A270" s="3145"/>
      <c r="B270" s="3146">
        <v>252</v>
      </c>
      <c r="C270" s="3147">
        <v>11</v>
      </c>
      <c r="D270" s="3148" t="s">
        <v>3663</v>
      </c>
      <c r="E270" s="3147">
        <v>49.62</v>
      </c>
      <c r="F270" s="3147">
        <v>3</v>
      </c>
      <c r="G270" s="3147" t="s">
        <v>3408</v>
      </c>
      <c r="H270" s="3145" t="s">
        <v>21</v>
      </c>
      <c r="I270" s="3133" t="s">
        <v>3553</v>
      </c>
      <c r="J270" s="3133">
        <f>'[3]典型户型修正-办公'!S275</f>
        <v>71</v>
      </c>
      <c r="K270" s="3133">
        <f>'[3]典型户型修正-办公'!R275</f>
        <v>14318</v>
      </c>
    </row>
    <row r="271" spans="1:11">
      <c r="A271" s="3145"/>
      <c r="B271" s="3146">
        <v>253</v>
      </c>
      <c r="C271" s="3147">
        <v>11</v>
      </c>
      <c r="D271" s="3148" t="s">
        <v>3664</v>
      </c>
      <c r="E271" s="3147">
        <v>49.62</v>
      </c>
      <c r="F271" s="3147">
        <v>3</v>
      </c>
      <c r="G271" s="3147" t="s">
        <v>3408</v>
      </c>
      <c r="H271" s="3145" t="s">
        <v>21</v>
      </c>
      <c r="I271" s="3133" t="s">
        <v>3553</v>
      </c>
      <c r="J271" s="3133">
        <f>'[3]典型户型修正-办公'!S276</f>
        <v>71</v>
      </c>
      <c r="K271" s="3133">
        <f>'[3]典型户型修正-办公'!R276</f>
        <v>14318</v>
      </c>
    </row>
    <row r="272" spans="1:11">
      <c r="A272" s="3145"/>
      <c r="B272" s="3146">
        <v>254</v>
      </c>
      <c r="C272" s="3147">
        <v>11</v>
      </c>
      <c r="D272" s="3148" t="s">
        <v>3665</v>
      </c>
      <c r="E272" s="3147">
        <v>49.62</v>
      </c>
      <c r="F272" s="3147">
        <v>3</v>
      </c>
      <c r="G272" s="3147" t="s">
        <v>3408</v>
      </c>
      <c r="H272" s="3145" t="s">
        <v>21</v>
      </c>
      <c r="I272" s="3133" t="s">
        <v>3553</v>
      </c>
      <c r="J272" s="3133">
        <f>'[3]典型户型修正-办公'!S277</f>
        <v>71</v>
      </c>
      <c r="K272" s="3133">
        <f>'[3]典型户型修正-办公'!R277</f>
        <v>14318</v>
      </c>
    </row>
    <row r="273" spans="1:11">
      <c r="A273" s="3145"/>
      <c r="B273" s="3146">
        <v>255</v>
      </c>
      <c r="C273" s="3147">
        <v>11</v>
      </c>
      <c r="D273" s="3148" t="s">
        <v>3666</v>
      </c>
      <c r="E273" s="3147">
        <v>49.62</v>
      </c>
      <c r="F273" s="3147">
        <v>3</v>
      </c>
      <c r="G273" s="3147" t="s">
        <v>3408</v>
      </c>
      <c r="H273" s="3145" t="s">
        <v>21</v>
      </c>
      <c r="I273" s="3133" t="s">
        <v>3553</v>
      </c>
      <c r="J273" s="3133">
        <f>'[3]典型户型修正-办公'!S278</f>
        <v>71</v>
      </c>
      <c r="K273" s="3133">
        <f>'[3]典型户型修正-办公'!R278</f>
        <v>14318</v>
      </c>
    </row>
    <row r="274" spans="1:11">
      <c r="A274" s="3145"/>
      <c r="B274" s="3146">
        <v>256</v>
      </c>
      <c r="C274" s="3147">
        <v>11</v>
      </c>
      <c r="D274" s="3148" t="s">
        <v>3667</v>
      </c>
      <c r="E274" s="3147">
        <v>49.62</v>
      </c>
      <c r="F274" s="3147">
        <v>3</v>
      </c>
      <c r="G274" s="3147" t="s">
        <v>3408</v>
      </c>
      <c r="H274" s="3145" t="s">
        <v>21</v>
      </c>
      <c r="I274" s="3133" t="s">
        <v>3553</v>
      </c>
      <c r="J274" s="3133">
        <f>'[3]典型户型修正-办公'!S279</f>
        <v>71</v>
      </c>
      <c r="K274" s="3133">
        <f>'[3]典型户型修正-办公'!R279</f>
        <v>14318</v>
      </c>
    </row>
    <row r="275" spans="1:11">
      <c r="A275" s="3145"/>
      <c r="B275" s="3146">
        <v>257</v>
      </c>
      <c r="C275" s="3147">
        <v>11</v>
      </c>
      <c r="D275" s="3148" t="s">
        <v>3668</v>
      </c>
      <c r="E275" s="3147">
        <v>49.62</v>
      </c>
      <c r="F275" s="3147">
        <v>3</v>
      </c>
      <c r="G275" s="3147" t="s">
        <v>3408</v>
      </c>
      <c r="H275" s="3145" t="s">
        <v>21</v>
      </c>
      <c r="I275" s="3133" t="s">
        <v>3553</v>
      </c>
      <c r="J275" s="3133">
        <f>'[3]典型户型修正-办公'!S280</f>
        <v>71</v>
      </c>
      <c r="K275" s="3133">
        <f>'[3]典型户型修正-办公'!R280</f>
        <v>14318</v>
      </c>
    </row>
    <row r="276" spans="1:11">
      <c r="A276" s="3145"/>
      <c r="B276" s="3146">
        <v>258</v>
      </c>
      <c r="C276" s="3147">
        <v>11</v>
      </c>
      <c r="D276" s="3148" t="s">
        <v>3669</v>
      </c>
      <c r="E276" s="3147">
        <v>49.62</v>
      </c>
      <c r="F276" s="3147">
        <v>3</v>
      </c>
      <c r="G276" s="3147" t="s">
        <v>3408</v>
      </c>
      <c r="H276" s="3145" t="s">
        <v>21</v>
      </c>
      <c r="I276" s="3133" t="s">
        <v>3553</v>
      </c>
      <c r="J276" s="3133">
        <f>'[3]典型户型修正-办公'!S281</f>
        <v>71</v>
      </c>
      <c r="K276" s="3133">
        <f>'[3]典型户型修正-办公'!R281</f>
        <v>14318</v>
      </c>
    </row>
    <row r="277" spans="1:11">
      <c r="A277" s="3145"/>
      <c r="B277" s="3146">
        <v>259</v>
      </c>
      <c r="C277" s="3147">
        <v>11</v>
      </c>
      <c r="D277" s="3148" t="s">
        <v>3670</v>
      </c>
      <c r="E277" s="3147">
        <v>49.62</v>
      </c>
      <c r="F277" s="3147">
        <v>3</v>
      </c>
      <c r="G277" s="3147" t="s">
        <v>3408</v>
      </c>
      <c r="H277" s="3145" t="s">
        <v>21</v>
      </c>
      <c r="I277" s="3133" t="s">
        <v>3553</v>
      </c>
      <c r="J277" s="3133">
        <f>'[3]典型户型修正-办公'!S282</f>
        <v>71</v>
      </c>
      <c r="K277" s="3133">
        <f>'[3]典型户型修正-办公'!R282</f>
        <v>14318</v>
      </c>
    </row>
    <row r="278" spans="1:11">
      <c r="A278" s="3145"/>
      <c r="B278" s="3146">
        <v>260</v>
      </c>
      <c r="C278" s="3147">
        <v>11</v>
      </c>
      <c r="D278" s="3148" t="s">
        <v>3671</v>
      </c>
      <c r="E278" s="3147">
        <v>49.62</v>
      </c>
      <c r="F278" s="3147">
        <v>3</v>
      </c>
      <c r="G278" s="3147" t="s">
        <v>3408</v>
      </c>
      <c r="H278" s="3145" t="s">
        <v>21</v>
      </c>
      <c r="I278" s="3133" t="s">
        <v>3553</v>
      </c>
      <c r="J278" s="3133">
        <f>'[3]典型户型修正-办公'!S283</f>
        <v>71</v>
      </c>
      <c r="K278" s="3133">
        <f>'[3]典型户型修正-办公'!R283</f>
        <v>14318</v>
      </c>
    </row>
    <row r="279" spans="1:11">
      <c r="A279" s="3145"/>
      <c r="B279" s="3146">
        <v>261</v>
      </c>
      <c r="C279" s="3147">
        <v>11</v>
      </c>
      <c r="D279" s="3148" t="s">
        <v>3672</v>
      </c>
      <c r="E279" s="3147">
        <v>68.78</v>
      </c>
      <c r="F279" s="3147">
        <v>3</v>
      </c>
      <c r="G279" s="3147" t="s">
        <v>3408</v>
      </c>
      <c r="H279" s="3145" t="s">
        <v>21</v>
      </c>
      <c r="I279" s="3133" t="s">
        <v>3553</v>
      </c>
      <c r="J279" s="3133">
        <f>'[3]典型户型修正-办公'!S284</f>
        <v>99</v>
      </c>
      <c r="K279" s="3133">
        <f>'[3]典型户型修正-办公'!R284</f>
        <v>14461</v>
      </c>
    </row>
    <row r="280" spans="1:11">
      <c r="A280" s="3145"/>
      <c r="B280" s="3146">
        <v>262</v>
      </c>
      <c r="C280" s="3147">
        <v>11</v>
      </c>
      <c r="D280" s="3148" t="s">
        <v>3673</v>
      </c>
      <c r="E280" s="3147">
        <v>38.1</v>
      </c>
      <c r="F280" s="3147">
        <v>3</v>
      </c>
      <c r="G280" s="3147" t="s">
        <v>3408</v>
      </c>
      <c r="H280" s="3145" t="s">
        <v>21</v>
      </c>
      <c r="I280" s="3133" t="s">
        <v>3553</v>
      </c>
      <c r="J280" s="3133">
        <f>'[3]典型户型修正-办公'!S285</f>
        <v>55</v>
      </c>
      <c r="K280" s="3133">
        <f>'[3]典型户型修正-办公'!R285</f>
        <v>14318</v>
      </c>
    </row>
    <row r="281" spans="1:11">
      <c r="A281" s="3145"/>
      <c r="B281" s="3146">
        <v>263</v>
      </c>
      <c r="C281" s="3147">
        <v>11</v>
      </c>
      <c r="D281" s="3148" t="s">
        <v>3674</v>
      </c>
      <c r="E281" s="3147">
        <v>41.4</v>
      </c>
      <c r="F281" s="3147">
        <v>3</v>
      </c>
      <c r="G281" s="3147" t="s">
        <v>3408</v>
      </c>
      <c r="H281" s="3145" t="s">
        <v>21</v>
      </c>
      <c r="I281" s="3133" t="s">
        <v>3553</v>
      </c>
      <c r="J281" s="3133">
        <f>'[3]典型户型修正-办公'!S286</f>
        <v>59</v>
      </c>
      <c r="K281" s="3133">
        <f>'[3]典型户型修正-办公'!R286</f>
        <v>14318</v>
      </c>
    </row>
    <row r="282" spans="1:11">
      <c r="A282" s="3145"/>
      <c r="B282" s="3146">
        <v>264</v>
      </c>
      <c r="C282" s="3147">
        <v>11</v>
      </c>
      <c r="D282" s="3148" t="s">
        <v>3675</v>
      </c>
      <c r="E282" s="3147">
        <v>44.09</v>
      </c>
      <c r="F282" s="3147">
        <v>3</v>
      </c>
      <c r="G282" s="3147" t="s">
        <v>3408</v>
      </c>
      <c r="H282" s="3145" t="s">
        <v>21</v>
      </c>
      <c r="I282" s="3133" t="s">
        <v>3553</v>
      </c>
      <c r="J282" s="3133">
        <f>'[3]典型户型修正-办公'!S287</f>
        <v>63</v>
      </c>
      <c r="K282" s="3133">
        <f>'[3]典型户型修正-办公'!R287</f>
        <v>14318</v>
      </c>
    </row>
    <row r="283" spans="1:11">
      <c r="A283" s="3145"/>
      <c r="B283" s="3146">
        <v>265</v>
      </c>
      <c r="C283" s="3147">
        <v>11</v>
      </c>
      <c r="D283" s="3148" t="s">
        <v>3676</v>
      </c>
      <c r="E283" s="3147">
        <v>46.17</v>
      </c>
      <c r="F283" s="3147">
        <v>3</v>
      </c>
      <c r="G283" s="3147" t="s">
        <v>3408</v>
      </c>
      <c r="H283" s="3145" t="s">
        <v>21</v>
      </c>
      <c r="I283" s="3133" t="s">
        <v>3553</v>
      </c>
      <c r="J283" s="3133">
        <f>'[3]典型户型修正-办公'!S288</f>
        <v>66</v>
      </c>
      <c r="K283" s="3133">
        <f>'[3]典型户型修正-办公'!R288</f>
        <v>14318</v>
      </c>
    </row>
    <row r="284" spans="1:11">
      <c r="A284" s="3145"/>
      <c r="B284" s="3146">
        <v>266</v>
      </c>
      <c r="C284" s="3147">
        <v>11</v>
      </c>
      <c r="D284" s="3148" t="s">
        <v>3677</v>
      </c>
      <c r="E284" s="3147">
        <v>47.65</v>
      </c>
      <c r="F284" s="3147">
        <v>3</v>
      </c>
      <c r="G284" s="3147" t="s">
        <v>3408</v>
      </c>
      <c r="H284" s="3145" t="s">
        <v>21</v>
      </c>
      <c r="I284" s="3133" t="s">
        <v>3553</v>
      </c>
      <c r="J284" s="3133">
        <f>'[3]典型户型修正-办公'!S289</f>
        <v>68</v>
      </c>
      <c r="K284" s="3133">
        <f>'[3]典型户型修正-办公'!R289</f>
        <v>14318</v>
      </c>
    </row>
    <row r="285" spans="1:11">
      <c r="A285" s="3145"/>
      <c r="B285" s="3146">
        <v>267</v>
      </c>
      <c r="C285" s="3147">
        <v>11</v>
      </c>
      <c r="D285" s="3148" t="s">
        <v>3678</v>
      </c>
      <c r="E285" s="3147">
        <v>48.6</v>
      </c>
      <c r="F285" s="3147">
        <v>3</v>
      </c>
      <c r="G285" s="3147" t="s">
        <v>3408</v>
      </c>
      <c r="H285" s="3145" t="s">
        <v>21</v>
      </c>
      <c r="I285" s="3133" t="s">
        <v>3553</v>
      </c>
      <c r="J285" s="3133">
        <f>'[3]典型户型修正-办公'!S290</f>
        <v>70</v>
      </c>
      <c r="K285" s="3133">
        <f>'[3]典型户型修正-办公'!R290</f>
        <v>14318</v>
      </c>
    </row>
    <row r="286" spans="1:11">
      <c r="A286" s="3145"/>
      <c r="B286" s="3146">
        <v>268</v>
      </c>
      <c r="C286" s="3147">
        <v>11</v>
      </c>
      <c r="D286" s="3148" t="s">
        <v>3679</v>
      </c>
      <c r="E286" s="3147">
        <v>48.89</v>
      </c>
      <c r="F286" s="3147">
        <v>3</v>
      </c>
      <c r="G286" s="3147" t="s">
        <v>3408</v>
      </c>
      <c r="H286" s="3145" t="s">
        <v>21</v>
      </c>
      <c r="I286" s="3133" t="s">
        <v>3553</v>
      </c>
      <c r="J286" s="3133">
        <f>'[3]典型户型修正-办公'!S291</f>
        <v>70</v>
      </c>
      <c r="K286" s="3133">
        <f>'[3]典型户型修正-办公'!R291</f>
        <v>14318</v>
      </c>
    </row>
    <row r="287" spans="1:11">
      <c r="A287" s="3145"/>
      <c r="B287" s="3146">
        <v>269</v>
      </c>
      <c r="C287" s="3147">
        <v>11</v>
      </c>
      <c r="D287" s="3148" t="s">
        <v>3680</v>
      </c>
      <c r="E287" s="3147">
        <v>48.59</v>
      </c>
      <c r="F287" s="3147">
        <v>3</v>
      </c>
      <c r="G287" s="3147" t="s">
        <v>3408</v>
      </c>
      <c r="H287" s="3145" t="s">
        <v>21</v>
      </c>
      <c r="I287" s="3133" t="s">
        <v>3553</v>
      </c>
      <c r="J287" s="3133">
        <f>'[3]典型户型修正-办公'!S292</f>
        <v>70</v>
      </c>
      <c r="K287" s="3133">
        <f>'[3]典型户型修正-办公'!R292</f>
        <v>14318</v>
      </c>
    </row>
    <row r="288" spans="1:11">
      <c r="A288" s="3145"/>
      <c r="B288" s="3146">
        <v>270</v>
      </c>
      <c r="C288" s="3147">
        <v>11</v>
      </c>
      <c r="D288" s="3148" t="s">
        <v>3681</v>
      </c>
      <c r="E288" s="3147">
        <v>47.73</v>
      </c>
      <c r="F288" s="3147">
        <v>3</v>
      </c>
      <c r="G288" s="3147" t="s">
        <v>3408</v>
      </c>
      <c r="H288" s="3145" t="s">
        <v>21</v>
      </c>
      <c r="I288" s="3133" t="s">
        <v>3553</v>
      </c>
      <c r="J288" s="3133">
        <f>'[3]典型户型修正-办公'!S293</f>
        <v>68</v>
      </c>
      <c r="K288" s="3133">
        <f>'[3]典型户型修正-办公'!R293</f>
        <v>14318</v>
      </c>
    </row>
    <row r="289" spans="1:11">
      <c r="A289" s="3145"/>
      <c r="B289" s="3146">
        <v>271</v>
      </c>
      <c r="C289" s="3147">
        <v>11</v>
      </c>
      <c r="D289" s="3148" t="s">
        <v>3682</v>
      </c>
      <c r="E289" s="3147">
        <v>70.2</v>
      </c>
      <c r="F289" s="3147">
        <v>3</v>
      </c>
      <c r="G289" s="3147" t="s">
        <v>3408</v>
      </c>
      <c r="H289" s="3145" t="s">
        <v>21</v>
      </c>
      <c r="I289" s="3133" t="s">
        <v>3553</v>
      </c>
      <c r="J289" s="3133">
        <f>'[3]典型户型修正-办公'!S294</f>
        <v>102</v>
      </c>
      <c r="K289" s="3133">
        <f>'[3]典型户型修正-办公'!R294</f>
        <v>14461</v>
      </c>
    </row>
    <row r="290" spans="1:11">
      <c r="A290" s="3145"/>
      <c r="B290" s="3146">
        <v>272</v>
      </c>
      <c r="C290" s="3147">
        <v>12</v>
      </c>
      <c r="D290" s="3148" t="s">
        <v>3683</v>
      </c>
      <c r="E290" s="3147">
        <v>51.46</v>
      </c>
      <c r="F290" s="3147">
        <v>3</v>
      </c>
      <c r="G290" s="3147" t="s">
        <v>3408</v>
      </c>
      <c r="H290" s="3145" t="s">
        <v>21</v>
      </c>
      <c r="I290" s="3133" t="s">
        <v>3553</v>
      </c>
      <c r="J290" s="3133">
        <f>'[3]典型户型修正-办公'!S295</f>
        <v>74</v>
      </c>
      <c r="K290" s="3133">
        <f>'[3]典型户型修正-办公'!R295</f>
        <v>14318</v>
      </c>
    </row>
    <row r="291" spans="1:11">
      <c r="A291" s="3145"/>
      <c r="B291" s="3146">
        <v>273</v>
      </c>
      <c r="C291" s="3147">
        <v>12</v>
      </c>
      <c r="D291" s="3148" t="s">
        <v>3684</v>
      </c>
      <c r="E291" s="3147">
        <v>49.62</v>
      </c>
      <c r="F291" s="3147">
        <v>3</v>
      </c>
      <c r="G291" s="3147" t="s">
        <v>3408</v>
      </c>
      <c r="H291" s="3145" t="s">
        <v>21</v>
      </c>
      <c r="I291" s="3133" t="s">
        <v>3553</v>
      </c>
      <c r="J291" s="3133">
        <f>'[3]典型户型修正-办公'!S296</f>
        <v>71</v>
      </c>
      <c r="K291" s="3133">
        <f>'[3]典型户型修正-办公'!R296</f>
        <v>14318</v>
      </c>
    </row>
    <row r="292" spans="1:11">
      <c r="A292" s="3145"/>
      <c r="B292" s="3146">
        <v>274</v>
      </c>
      <c r="C292" s="3147">
        <v>12</v>
      </c>
      <c r="D292" s="3148" t="s">
        <v>3685</v>
      </c>
      <c r="E292" s="3147">
        <v>49.62</v>
      </c>
      <c r="F292" s="3147">
        <v>3</v>
      </c>
      <c r="G292" s="3147" t="s">
        <v>3408</v>
      </c>
      <c r="H292" s="3145" t="s">
        <v>21</v>
      </c>
      <c r="I292" s="3133" t="s">
        <v>3553</v>
      </c>
      <c r="J292" s="3133">
        <f>'[3]典型户型修正-办公'!S297</f>
        <v>71</v>
      </c>
      <c r="K292" s="3133">
        <f>'[3]典型户型修正-办公'!R297</f>
        <v>14318</v>
      </c>
    </row>
    <row r="293" spans="1:11">
      <c r="A293" s="3145"/>
      <c r="B293" s="3146">
        <v>275</v>
      </c>
      <c r="C293" s="3147">
        <v>12</v>
      </c>
      <c r="D293" s="3148" t="s">
        <v>3686</v>
      </c>
      <c r="E293" s="3147">
        <v>49.62</v>
      </c>
      <c r="F293" s="3147">
        <v>3</v>
      </c>
      <c r="G293" s="3147" t="s">
        <v>3408</v>
      </c>
      <c r="H293" s="3145" t="s">
        <v>21</v>
      </c>
      <c r="I293" s="3133" t="s">
        <v>3553</v>
      </c>
      <c r="J293" s="3133">
        <f>'[3]典型户型修正-办公'!S298</f>
        <v>71</v>
      </c>
      <c r="K293" s="3133">
        <f>'[3]典型户型修正-办公'!R298</f>
        <v>14318</v>
      </c>
    </row>
    <row r="294" spans="1:11">
      <c r="A294" s="3145"/>
      <c r="B294" s="3146">
        <v>276</v>
      </c>
      <c r="C294" s="3147">
        <v>12</v>
      </c>
      <c r="D294" s="3148" t="s">
        <v>3687</v>
      </c>
      <c r="E294" s="3147">
        <v>49.62</v>
      </c>
      <c r="F294" s="3147">
        <v>3</v>
      </c>
      <c r="G294" s="3147" t="s">
        <v>3408</v>
      </c>
      <c r="H294" s="3145" t="s">
        <v>21</v>
      </c>
      <c r="I294" s="3133" t="s">
        <v>3553</v>
      </c>
      <c r="J294" s="3133">
        <f>'[3]典型户型修正-办公'!S299</f>
        <v>71</v>
      </c>
      <c r="K294" s="3133">
        <f>'[3]典型户型修正-办公'!R299</f>
        <v>14318</v>
      </c>
    </row>
    <row r="295" spans="1:11">
      <c r="A295" s="3145"/>
      <c r="B295" s="3146">
        <v>277</v>
      </c>
      <c r="C295" s="3147">
        <v>12</v>
      </c>
      <c r="D295" s="3148" t="s">
        <v>3688</v>
      </c>
      <c r="E295" s="3147">
        <v>49.62</v>
      </c>
      <c r="F295" s="3147">
        <v>3</v>
      </c>
      <c r="G295" s="3147" t="s">
        <v>3408</v>
      </c>
      <c r="H295" s="3145" t="s">
        <v>21</v>
      </c>
      <c r="I295" s="3133" t="s">
        <v>3553</v>
      </c>
      <c r="J295" s="3133">
        <f>'[3]典型户型修正-办公'!S300</f>
        <v>71</v>
      </c>
      <c r="K295" s="3133">
        <f>'[3]典型户型修正-办公'!R300</f>
        <v>14318</v>
      </c>
    </row>
    <row r="296" spans="1:11">
      <c r="A296" s="3145"/>
      <c r="B296" s="3146">
        <v>278</v>
      </c>
      <c r="C296" s="3147">
        <v>12</v>
      </c>
      <c r="D296" s="3148" t="s">
        <v>3689</v>
      </c>
      <c r="E296" s="3147">
        <v>49.62</v>
      </c>
      <c r="F296" s="3147">
        <v>3</v>
      </c>
      <c r="G296" s="3147" t="s">
        <v>3408</v>
      </c>
      <c r="H296" s="3145" t="s">
        <v>21</v>
      </c>
      <c r="I296" s="3133" t="s">
        <v>3553</v>
      </c>
      <c r="J296" s="3133">
        <f>'[3]典型户型修正-办公'!S301</f>
        <v>71</v>
      </c>
      <c r="K296" s="3133">
        <f>'[3]典型户型修正-办公'!R301</f>
        <v>14318</v>
      </c>
    </row>
    <row r="297" spans="1:11">
      <c r="A297" s="3145"/>
      <c r="B297" s="3146">
        <v>279</v>
      </c>
      <c r="C297" s="3147">
        <v>12</v>
      </c>
      <c r="D297" s="3148" t="s">
        <v>3690</v>
      </c>
      <c r="E297" s="3147">
        <v>49.62</v>
      </c>
      <c r="F297" s="3147">
        <v>3</v>
      </c>
      <c r="G297" s="3147" t="s">
        <v>3408</v>
      </c>
      <c r="H297" s="3145" t="s">
        <v>21</v>
      </c>
      <c r="I297" s="3133" t="s">
        <v>3553</v>
      </c>
      <c r="J297" s="3133">
        <f>'[3]典型户型修正-办公'!S302</f>
        <v>71</v>
      </c>
      <c r="K297" s="3133">
        <f>'[3]典型户型修正-办公'!R302</f>
        <v>14318</v>
      </c>
    </row>
    <row r="298" spans="1:11">
      <c r="A298" s="3145"/>
      <c r="B298" s="3146">
        <v>280</v>
      </c>
      <c r="C298" s="3147">
        <v>12</v>
      </c>
      <c r="D298" s="3148" t="s">
        <v>3691</v>
      </c>
      <c r="E298" s="3147">
        <v>49.62</v>
      </c>
      <c r="F298" s="3147">
        <v>3</v>
      </c>
      <c r="G298" s="3147" t="s">
        <v>3408</v>
      </c>
      <c r="H298" s="3145" t="s">
        <v>21</v>
      </c>
      <c r="I298" s="3133" t="s">
        <v>3553</v>
      </c>
      <c r="J298" s="3133">
        <f>'[3]典型户型修正-办公'!S303</f>
        <v>71</v>
      </c>
      <c r="K298" s="3133">
        <f>'[3]典型户型修正-办公'!R303</f>
        <v>14318</v>
      </c>
    </row>
    <row r="299" spans="1:11">
      <c r="A299" s="3145"/>
      <c r="B299" s="3146">
        <v>281</v>
      </c>
      <c r="C299" s="3147">
        <v>12</v>
      </c>
      <c r="D299" s="3148" t="s">
        <v>3692</v>
      </c>
      <c r="E299" s="3147">
        <v>49.62</v>
      </c>
      <c r="F299" s="3147">
        <v>3</v>
      </c>
      <c r="G299" s="3147" t="s">
        <v>3408</v>
      </c>
      <c r="H299" s="3145" t="s">
        <v>21</v>
      </c>
      <c r="I299" s="3133" t="s">
        <v>3553</v>
      </c>
      <c r="J299" s="3133">
        <f>'[3]典型户型修正-办公'!S304</f>
        <v>71</v>
      </c>
      <c r="K299" s="3133">
        <f>'[3]典型户型修正-办公'!R304</f>
        <v>14318</v>
      </c>
    </row>
    <row r="300" spans="1:11">
      <c r="A300" s="3145"/>
      <c r="B300" s="3146">
        <v>282</v>
      </c>
      <c r="C300" s="3147">
        <v>12</v>
      </c>
      <c r="D300" s="3148" t="s">
        <v>3693</v>
      </c>
      <c r="E300" s="3147">
        <v>49.62</v>
      </c>
      <c r="F300" s="3147">
        <v>3</v>
      </c>
      <c r="G300" s="3147" t="s">
        <v>3408</v>
      </c>
      <c r="H300" s="3145" t="s">
        <v>21</v>
      </c>
      <c r="I300" s="3133" t="s">
        <v>3553</v>
      </c>
      <c r="J300" s="3133">
        <f>'[3]典型户型修正-办公'!S305</f>
        <v>71</v>
      </c>
      <c r="K300" s="3133">
        <f>'[3]典型户型修正-办公'!R305</f>
        <v>14318</v>
      </c>
    </row>
    <row r="301" spans="1:11">
      <c r="A301" s="3145"/>
      <c r="B301" s="3146">
        <v>283</v>
      </c>
      <c r="C301" s="3147">
        <v>12</v>
      </c>
      <c r="D301" s="3148" t="s">
        <v>3694</v>
      </c>
      <c r="E301" s="3147">
        <v>49.62</v>
      </c>
      <c r="F301" s="3147">
        <v>3</v>
      </c>
      <c r="G301" s="3147" t="s">
        <v>3408</v>
      </c>
      <c r="H301" s="3145" t="s">
        <v>21</v>
      </c>
      <c r="I301" s="3133" t="s">
        <v>3553</v>
      </c>
      <c r="J301" s="3133">
        <f>'[3]典型户型修正-办公'!S306</f>
        <v>71</v>
      </c>
      <c r="K301" s="3133">
        <f>'[3]典型户型修正-办公'!R306</f>
        <v>14318</v>
      </c>
    </row>
    <row r="302" spans="1:11">
      <c r="A302" s="3145"/>
      <c r="B302" s="3146">
        <v>284</v>
      </c>
      <c r="C302" s="3147">
        <v>12</v>
      </c>
      <c r="D302" s="3148" t="s">
        <v>3695</v>
      </c>
      <c r="E302" s="3147">
        <v>49.62</v>
      </c>
      <c r="F302" s="3147">
        <v>3</v>
      </c>
      <c r="G302" s="3147" t="s">
        <v>3408</v>
      </c>
      <c r="H302" s="3145" t="s">
        <v>21</v>
      </c>
      <c r="I302" s="3133" t="s">
        <v>3553</v>
      </c>
      <c r="J302" s="3133">
        <f>'[3]典型户型修正-办公'!S307</f>
        <v>71</v>
      </c>
      <c r="K302" s="3133">
        <f>'[3]典型户型修正-办公'!R307</f>
        <v>14318</v>
      </c>
    </row>
    <row r="303" spans="1:11">
      <c r="A303" s="3145"/>
      <c r="B303" s="3146">
        <v>285</v>
      </c>
      <c r="C303" s="3147">
        <v>12</v>
      </c>
      <c r="D303" s="3148" t="s">
        <v>3696</v>
      </c>
      <c r="E303" s="3147">
        <v>49.62</v>
      </c>
      <c r="F303" s="3147">
        <v>3</v>
      </c>
      <c r="G303" s="3147" t="s">
        <v>3408</v>
      </c>
      <c r="H303" s="3145" t="s">
        <v>21</v>
      </c>
      <c r="I303" s="3133" t="s">
        <v>3553</v>
      </c>
      <c r="J303" s="3133">
        <f>'[3]典型户型修正-办公'!S308</f>
        <v>71</v>
      </c>
      <c r="K303" s="3133">
        <f>'[3]典型户型修正-办公'!R308</f>
        <v>14318</v>
      </c>
    </row>
    <row r="304" spans="1:11">
      <c r="A304" s="3145"/>
      <c r="B304" s="3146">
        <v>286</v>
      </c>
      <c r="C304" s="3147">
        <v>12</v>
      </c>
      <c r="D304" s="3148" t="s">
        <v>3697</v>
      </c>
      <c r="E304" s="3147">
        <v>49.62</v>
      </c>
      <c r="F304" s="3147">
        <v>3</v>
      </c>
      <c r="G304" s="3147" t="s">
        <v>3408</v>
      </c>
      <c r="H304" s="3145" t="s">
        <v>21</v>
      </c>
      <c r="I304" s="3133" t="s">
        <v>3553</v>
      </c>
      <c r="J304" s="3133">
        <f>'[3]典型户型修正-办公'!S309</f>
        <v>71</v>
      </c>
      <c r="K304" s="3133">
        <f>'[3]典型户型修正-办公'!R309</f>
        <v>14318</v>
      </c>
    </row>
    <row r="305" spans="1:11">
      <c r="A305" s="3145"/>
      <c r="B305" s="3146">
        <v>287</v>
      </c>
      <c r="C305" s="3147">
        <v>12</v>
      </c>
      <c r="D305" s="3148" t="s">
        <v>3698</v>
      </c>
      <c r="E305" s="3147">
        <v>68.78</v>
      </c>
      <c r="F305" s="3147">
        <v>3</v>
      </c>
      <c r="G305" s="3147" t="s">
        <v>3408</v>
      </c>
      <c r="H305" s="3145" t="s">
        <v>21</v>
      </c>
      <c r="I305" s="3133" t="s">
        <v>3553</v>
      </c>
      <c r="J305" s="3133">
        <f>'[3]典型户型修正-办公'!S310</f>
        <v>99</v>
      </c>
      <c r="K305" s="3133">
        <f>'[3]典型户型修正-办公'!R310</f>
        <v>14461</v>
      </c>
    </row>
    <row r="306" spans="1:11">
      <c r="A306" s="3145"/>
      <c r="B306" s="3146">
        <v>288</v>
      </c>
      <c r="C306" s="3147">
        <v>12</v>
      </c>
      <c r="D306" s="3148" t="s">
        <v>3699</v>
      </c>
      <c r="E306" s="3147">
        <v>38.1</v>
      </c>
      <c r="F306" s="3147">
        <v>3</v>
      </c>
      <c r="G306" s="3147" t="s">
        <v>3408</v>
      </c>
      <c r="H306" s="3145" t="s">
        <v>21</v>
      </c>
      <c r="I306" s="3133" t="s">
        <v>3553</v>
      </c>
      <c r="J306" s="3133">
        <f>'[3]典型户型修正-办公'!S311</f>
        <v>55</v>
      </c>
      <c r="K306" s="3133">
        <f>'[3]典型户型修正-办公'!R311</f>
        <v>14318</v>
      </c>
    </row>
    <row r="307" spans="1:11">
      <c r="A307" s="3145"/>
      <c r="B307" s="3146">
        <v>289</v>
      </c>
      <c r="C307" s="3147">
        <v>12</v>
      </c>
      <c r="D307" s="3148" t="s">
        <v>3700</v>
      </c>
      <c r="E307" s="3147">
        <v>41.4</v>
      </c>
      <c r="F307" s="3147">
        <v>3</v>
      </c>
      <c r="G307" s="3147" t="s">
        <v>3408</v>
      </c>
      <c r="H307" s="3145" t="s">
        <v>21</v>
      </c>
      <c r="I307" s="3133" t="s">
        <v>3553</v>
      </c>
      <c r="J307" s="3133">
        <f>'[3]典型户型修正-办公'!S312</f>
        <v>59</v>
      </c>
      <c r="K307" s="3133">
        <f>'[3]典型户型修正-办公'!R312</f>
        <v>14318</v>
      </c>
    </row>
    <row r="308" spans="1:11">
      <c r="A308" s="3145"/>
      <c r="B308" s="3146">
        <v>290</v>
      </c>
      <c r="C308" s="3147">
        <v>12</v>
      </c>
      <c r="D308" s="3148" t="s">
        <v>3701</v>
      </c>
      <c r="E308" s="3147">
        <v>44.09</v>
      </c>
      <c r="F308" s="3147">
        <v>3</v>
      </c>
      <c r="G308" s="3147" t="s">
        <v>3408</v>
      </c>
      <c r="H308" s="3145" t="s">
        <v>21</v>
      </c>
      <c r="I308" s="3133" t="s">
        <v>3553</v>
      </c>
      <c r="J308" s="3133">
        <f>'[3]典型户型修正-办公'!S313</f>
        <v>63</v>
      </c>
      <c r="K308" s="3133">
        <f>'[3]典型户型修正-办公'!R313</f>
        <v>14318</v>
      </c>
    </row>
    <row r="309" spans="1:11">
      <c r="A309" s="3145"/>
      <c r="B309" s="3146">
        <v>291</v>
      </c>
      <c r="C309" s="3147">
        <v>12</v>
      </c>
      <c r="D309" s="3148" t="s">
        <v>3702</v>
      </c>
      <c r="E309" s="3147">
        <v>46.17</v>
      </c>
      <c r="F309" s="3147">
        <v>3</v>
      </c>
      <c r="G309" s="3147" t="s">
        <v>3408</v>
      </c>
      <c r="H309" s="3145" t="s">
        <v>21</v>
      </c>
      <c r="I309" s="3133" t="s">
        <v>3553</v>
      </c>
      <c r="J309" s="3133">
        <f>'[3]典型户型修正-办公'!S314</f>
        <v>66</v>
      </c>
      <c r="K309" s="3133">
        <f>'[3]典型户型修正-办公'!R314</f>
        <v>14318</v>
      </c>
    </row>
    <row r="310" spans="1:11">
      <c r="A310" s="3145"/>
      <c r="B310" s="3146">
        <v>292</v>
      </c>
      <c r="C310" s="3147">
        <v>12</v>
      </c>
      <c r="D310" s="3148" t="s">
        <v>3703</v>
      </c>
      <c r="E310" s="3147">
        <v>47.65</v>
      </c>
      <c r="F310" s="3147">
        <v>3</v>
      </c>
      <c r="G310" s="3147" t="s">
        <v>3408</v>
      </c>
      <c r="H310" s="3145" t="s">
        <v>21</v>
      </c>
      <c r="I310" s="3133" t="s">
        <v>3553</v>
      </c>
      <c r="J310" s="3133">
        <f>'[3]典型户型修正-办公'!S315</f>
        <v>68</v>
      </c>
      <c r="K310" s="3133">
        <f>'[3]典型户型修正-办公'!R315</f>
        <v>14318</v>
      </c>
    </row>
    <row r="311" spans="1:11">
      <c r="A311" s="3145"/>
      <c r="B311" s="3146">
        <v>293</v>
      </c>
      <c r="C311" s="3147">
        <v>12</v>
      </c>
      <c r="D311" s="3148" t="s">
        <v>3704</v>
      </c>
      <c r="E311" s="3147">
        <v>48.6</v>
      </c>
      <c r="F311" s="3147">
        <v>3</v>
      </c>
      <c r="G311" s="3147" t="s">
        <v>3408</v>
      </c>
      <c r="H311" s="3145" t="s">
        <v>21</v>
      </c>
      <c r="I311" s="3133" t="s">
        <v>3553</v>
      </c>
      <c r="J311" s="3133">
        <f>'[3]典型户型修正-办公'!S316</f>
        <v>70</v>
      </c>
      <c r="K311" s="3133">
        <f>'[3]典型户型修正-办公'!R316</f>
        <v>14318</v>
      </c>
    </row>
    <row r="312" spans="1:11">
      <c r="A312" s="3145"/>
      <c r="B312" s="3146">
        <v>294</v>
      </c>
      <c r="C312" s="3147">
        <v>12</v>
      </c>
      <c r="D312" s="3148" t="s">
        <v>3705</v>
      </c>
      <c r="E312" s="3147">
        <v>48.89</v>
      </c>
      <c r="F312" s="3147">
        <v>3</v>
      </c>
      <c r="G312" s="3147" t="s">
        <v>3408</v>
      </c>
      <c r="H312" s="3145" t="s">
        <v>21</v>
      </c>
      <c r="I312" s="3133" t="s">
        <v>3553</v>
      </c>
      <c r="J312" s="3133">
        <f>'[3]典型户型修正-办公'!S317</f>
        <v>70</v>
      </c>
      <c r="K312" s="3133">
        <f>'[3]典型户型修正-办公'!R317</f>
        <v>14318</v>
      </c>
    </row>
    <row r="313" spans="1:11">
      <c r="A313" s="3145"/>
      <c r="B313" s="3146">
        <v>295</v>
      </c>
      <c r="C313" s="3147">
        <v>12</v>
      </c>
      <c r="D313" s="3148" t="s">
        <v>3706</v>
      </c>
      <c r="E313" s="3147">
        <v>48.59</v>
      </c>
      <c r="F313" s="3147">
        <v>3</v>
      </c>
      <c r="G313" s="3147" t="s">
        <v>3408</v>
      </c>
      <c r="H313" s="3145" t="s">
        <v>21</v>
      </c>
      <c r="I313" s="3133" t="s">
        <v>3553</v>
      </c>
      <c r="J313" s="3133">
        <f>'[3]典型户型修正-办公'!S318</f>
        <v>70</v>
      </c>
      <c r="K313" s="3133">
        <f>'[3]典型户型修正-办公'!R318</f>
        <v>14318</v>
      </c>
    </row>
    <row r="314" spans="1:11">
      <c r="A314" s="3145"/>
      <c r="B314" s="3146">
        <v>296</v>
      </c>
      <c r="C314" s="3147">
        <v>12</v>
      </c>
      <c r="D314" s="3148" t="s">
        <v>3707</v>
      </c>
      <c r="E314" s="3147">
        <v>47.73</v>
      </c>
      <c r="F314" s="3147">
        <v>3</v>
      </c>
      <c r="G314" s="3147" t="s">
        <v>3408</v>
      </c>
      <c r="H314" s="3145" t="s">
        <v>21</v>
      </c>
      <c r="I314" s="3133" t="s">
        <v>3553</v>
      </c>
      <c r="J314" s="3133">
        <f>'[3]典型户型修正-办公'!S319</f>
        <v>68</v>
      </c>
      <c r="K314" s="3133">
        <f>'[3]典型户型修正-办公'!R319</f>
        <v>14318</v>
      </c>
    </row>
    <row r="315" spans="1:11">
      <c r="A315" s="3145"/>
      <c r="B315" s="3146">
        <v>297</v>
      </c>
      <c r="C315" s="3147">
        <v>12</v>
      </c>
      <c r="D315" s="3148" t="s">
        <v>3708</v>
      </c>
      <c r="E315" s="3147">
        <v>70.2</v>
      </c>
      <c r="F315" s="3147">
        <v>3</v>
      </c>
      <c r="G315" s="3147" t="s">
        <v>3408</v>
      </c>
      <c r="H315" s="3145" t="s">
        <v>21</v>
      </c>
      <c r="I315" s="3133" t="s">
        <v>3553</v>
      </c>
      <c r="J315" s="3133">
        <f>'[3]典型户型修正-办公'!S320</f>
        <v>102</v>
      </c>
      <c r="K315" s="3133">
        <f>'[3]典型户型修正-办公'!R320</f>
        <v>14461</v>
      </c>
    </row>
    <row r="316" spans="1:11">
      <c r="A316" s="3145"/>
      <c r="B316" s="3146">
        <v>298</v>
      </c>
      <c r="C316" s="3147">
        <v>13</v>
      </c>
      <c r="D316" s="3148" t="s">
        <v>3709</v>
      </c>
      <c r="E316" s="3147">
        <v>51.46</v>
      </c>
      <c r="F316" s="3147">
        <v>3</v>
      </c>
      <c r="G316" s="3147" t="s">
        <v>3408</v>
      </c>
      <c r="H316" s="3145" t="s">
        <v>21</v>
      </c>
      <c r="I316" s="3133" t="s">
        <v>3710</v>
      </c>
      <c r="J316" s="3133">
        <f>'[3]典型户型修正-办公'!S321</f>
        <v>75</v>
      </c>
      <c r="K316" s="3133">
        <f>'[3]典型户型修正-办公'!R321</f>
        <v>14529</v>
      </c>
    </row>
    <row r="317" spans="1:11">
      <c r="A317" s="3145"/>
      <c r="B317" s="3146">
        <v>299</v>
      </c>
      <c r="C317" s="3147">
        <v>13</v>
      </c>
      <c r="D317" s="3148" t="s">
        <v>3711</v>
      </c>
      <c r="E317" s="3147">
        <v>49.62</v>
      </c>
      <c r="F317" s="3147">
        <v>3</v>
      </c>
      <c r="G317" s="3147" t="s">
        <v>3408</v>
      </c>
      <c r="H317" s="3145" t="s">
        <v>21</v>
      </c>
      <c r="I317" s="3133" t="s">
        <v>3710</v>
      </c>
      <c r="J317" s="3133">
        <f>'[3]典型户型修正-办公'!S322</f>
        <v>72</v>
      </c>
      <c r="K317" s="3133">
        <f>'[3]典型户型修正-办公'!R322</f>
        <v>14529</v>
      </c>
    </row>
    <row r="318" spans="1:11">
      <c r="A318" s="3145"/>
      <c r="B318" s="3146">
        <v>300</v>
      </c>
      <c r="C318" s="3147">
        <v>13</v>
      </c>
      <c r="D318" s="3148" t="s">
        <v>3712</v>
      </c>
      <c r="E318" s="3147">
        <v>49.62</v>
      </c>
      <c r="F318" s="3147">
        <v>3</v>
      </c>
      <c r="G318" s="3147" t="s">
        <v>3408</v>
      </c>
      <c r="H318" s="3145" t="s">
        <v>21</v>
      </c>
      <c r="I318" s="3133" t="s">
        <v>3710</v>
      </c>
      <c r="J318" s="3133">
        <f>'[3]典型户型修正-办公'!S323</f>
        <v>72</v>
      </c>
      <c r="K318" s="3133">
        <f>'[3]典型户型修正-办公'!R323</f>
        <v>14529</v>
      </c>
    </row>
    <row r="319" spans="1:11">
      <c r="A319" s="3145"/>
      <c r="B319" s="3146">
        <v>301</v>
      </c>
      <c r="C319" s="3147">
        <v>13</v>
      </c>
      <c r="D319" s="3148" t="s">
        <v>3713</v>
      </c>
      <c r="E319" s="3147">
        <v>49.62</v>
      </c>
      <c r="F319" s="3147">
        <v>3</v>
      </c>
      <c r="G319" s="3147" t="s">
        <v>3408</v>
      </c>
      <c r="H319" s="3145" t="s">
        <v>21</v>
      </c>
      <c r="I319" s="3133" t="s">
        <v>3710</v>
      </c>
      <c r="J319" s="3133">
        <f>'[3]典型户型修正-办公'!S324</f>
        <v>72</v>
      </c>
      <c r="K319" s="3133">
        <f>'[3]典型户型修正-办公'!R324</f>
        <v>14529</v>
      </c>
    </row>
    <row r="320" spans="1:11">
      <c r="A320" s="3145"/>
      <c r="B320" s="3146">
        <v>302</v>
      </c>
      <c r="C320" s="3147">
        <v>13</v>
      </c>
      <c r="D320" s="3148" t="s">
        <v>3714</v>
      </c>
      <c r="E320" s="3147">
        <v>49.62</v>
      </c>
      <c r="F320" s="3147">
        <v>3</v>
      </c>
      <c r="G320" s="3147" t="s">
        <v>3408</v>
      </c>
      <c r="H320" s="3145" t="s">
        <v>21</v>
      </c>
      <c r="I320" s="3133" t="s">
        <v>3710</v>
      </c>
      <c r="J320" s="3133">
        <f>'[3]典型户型修正-办公'!S325</f>
        <v>72</v>
      </c>
      <c r="K320" s="3133">
        <f>'[3]典型户型修正-办公'!R325</f>
        <v>14529</v>
      </c>
    </row>
    <row r="321" spans="1:11">
      <c r="A321" s="3145"/>
      <c r="B321" s="3146">
        <v>303</v>
      </c>
      <c r="C321" s="3147">
        <v>13</v>
      </c>
      <c r="D321" s="3148" t="s">
        <v>3715</v>
      </c>
      <c r="E321" s="3147">
        <v>49.62</v>
      </c>
      <c r="F321" s="3147">
        <v>3</v>
      </c>
      <c r="G321" s="3147" t="s">
        <v>3408</v>
      </c>
      <c r="H321" s="3145" t="s">
        <v>21</v>
      </c>
      <c r="I321" s="3133" t="s">
        <v>3710</v>
      </c>
      <c r="J321" s="3133">
        <f>'[3]典型户型修正-办公'!S326</f>
        <v>72</v>
      </c>
      <c r="K321" s="3133">
        <f>'[3]典型户型修正-办公'!R326</f>
        <v>14529</v>
      </c>
    </row>
    <row r="322" spans="1:11">
      <c r="A322" s="3145"/>
      <c r="B322" s="3146">
        <v>304</v>
      </c>
      <c r="C322" s="3147">
        <v>13</v>
      </c>
      <c r="D322" s="3148" t="s">
        <v>3716</v>
      </c>
      <c r="E322" s="3147">
        <v>49.62</v>
      </c>
      <c r="F322" s="3147">
        <v>3</v>
      </c>
      <c r="G322" s="3147" t="s">
        <v>3408</v>
      </c>
      <c r="H322" s="3145" t="s">
        <v>21</v>
      </c>
      <c r="I322" s="3133" t="s">
        <v>3710</v>
      </c>
      <c r="J322" s="3133">
        <f>'[3]典型户型修正-办公'!S327</f>
        <v>72</v>
      </c>
      <c r="K322" s="3133">
        <f>'[3]典型户型修正-办公'!R327</f>
        <v>14529</v>
      </c>
    </row>
    <row r="323" spans="1:11">
      <c r="A323" s="3145"/>
      <c r="B323" s="3146">
        <v>305</v>
      </c>
      <c r="C323" s="3147">
        <v>13</v>
      </c>
      <c r="D323" s="3148" t="s">
        <v>3717</v>
      </c>
      <c r="E323" s="3147">
        <v>49.62</v>
      </c>
      <c r="F323" s="3147">
        <v>3</v>
      </c>
      <c r="G323" s="3147" t="s">
        <v>3408</v>
      </c>
      <c r="H323" s="3145" t="s">
        <v>21</v>
      </c>
      <c r="I323" s="3133" t="s">
        <v>3710</v>
      </c>
      <c r="J323" s="3133">
        <f>'[3]典型户型修正-办公'!S328</f>
        <v>72</v>
      </c>
      <c r="K323" s="3133">
        <f>'[3]典型户型修正-办公'!R328</f>
        <v>14529</v>
      </c>
    </row>
    <row r="324" spans="1:11">
      <c r="A324" s="3145"/>
      <c r="B324" s="3146">
        <v>306</v>
      </c>
      <c r="C324" s="3147">
        <v>13</v>
      </c>
      <c r="D324" s="3148" t="s">
        <v>3718</v>
      </c>
      <c r="E324" s="3147">
        <v>49.62</v>
      </c>
      <c r="F324" s="3147">
        <v>3</v>
      </c>
      <c r="G324" s="3147" t="s">
        <v>3408</v>
      </c>
      <c r="H324" s="3145" t="s">
        <v>21</v>
      </c>
      <c r="I324" s="3133" t="s">
        <v>3710</v>
      </c>
      <c r="J324" s="3133">
        <f>'[3]典型户型修正-办公'!S329</f>
        <v>72</v>
      </c>
      <c r="K324" s="3133">
        <f>'[3]典型户型修正-办公'!R329</f>
        <v>14529</v>
      </c>
    </row>
    <row r="325" spans="1:11">
      <c r="A325" s="3145"/>
      <c r="B325" s="3146">
        <v>307</v>
      </c>
      <c r="C325" s="3147">
        <v>13</v>
      </c>
      <c r="D325" s="3148" t="s">
        <v>3719</v>
      </c>
      <c r="E325" s="3147">
        <v>49.62</v>
      </c>
      <c r="F325" s="3147">
        <v>3</v>
      </c>
      <c r="G325" s="3147" t="s">
        <v>3408</v>
      </c>
      <c r="H325" s="3145" t="s">
        <v>21</v>
      </c>
      <c r="I325" s="3133" t="s">
        <v>3710</v>
      </c>
      <c r="J325" s="3133">
        <f>'[3]典型户型修正-办公'!S330</f>
        <v>72</v>
      </c>
      <c r="K325" s="3133">
        <f>'[3]典型户型修正-办公'!R330</f>
        <v>14529</v>
      </c>
    </row>
    <row r="326" spans="1:11">
      <c r="A326" s="3145"/>
      <c r="B326" s="3146">
        <v>308</v>
      </c>
      <c r="C326" s="3147">
        <v>13</v>
      </c>
      <c r="D326" s="3148" t="s">
        <v>3720</v>
      </c>
      <c r="E326" s="3147">
        <v>49.62</v>
      </c>
      <c r="F326" s="3147">
        <v>3</v>
      </c>
      <c r="G326" s="3147" t="s">
        <v>3408</v>
      </c>
      <c r="H326" s="3145" t="s">
        <v>21</v>
      </c>
      <c r="I326" s="3133" t="s">
        <v>3710</v>
      </c>
      <c r="J326" s="3133">
        <f>'[3]典型户型修正-办公'!S331</f>
        <v>72</v>
      </c>
      <c r="K326" s="3133">
        <f>'[3]典型户型修正-办公'!R331</f>
        <v>14529</v>
      </c>
    </row>
    <row r="327" spans="1:11">
      <c r="A327" s="3145"/>
      <c r="B327" s="3146">
        <v>309</v>
      </c>
      <c r="C327" s="3147">
        <v>13</v>
      </c>
      <c r="D327" s="3148" t="s">
        <v>3721</v>
      </c>
      <c r="E327" s="3147">
        <v>49.62</v>
      </c>
      <c r="F327" s="3147">
        <v>3</v>
      </c>
      <c r="G327" s="3147" t="s">
        <v>3408</v>
      </c>
      <c r="H327" s="3145" t="s">
        <v>21</v>
      </c>
      <c r="I327" s="3133" t="s">
        <v>3710</v>
      </c>
      <c r="J327" s="3133">
        <f>'[3]典型户型修正-办公'!S332</f>
        <v>72</v>
      </c>
      <c r="K327" s="3133">
        <f>'[3]典型户型修正-办公'!R332</f>
        <v>14529</v>
      </c>
    </row>
    <row r="328" spans="1:11">
      <c r="A328" s="3145"/>
      <c r="B328" s="3146">
        <v>310</v>
      </c>
      <c r="C328" s="3147">
        <v>13</v>
      </c>
      <c r="D328" s="3148" t="s">
        <v>3722</v>
      </c>
      <c r="E328" s="3147">
        <v>49.62</v>
      </c>
      <c r="F328" s="3147">
        <v>3</v>
      </c>
      <c r="G328" s="3147" t="s">
        <v>3408</v>
      </c>
      <c r="H328" s="3145" t="s">
        <v>21</v>
      </c>
      <c r="I328" s="3133" t="s">
        <v>3710</v>
      </c>
      <c r="J328" s="3133">
        <f>'[3]典型户型修正-办公'!S333</f>
        <v>72</v>
      </c>
      <c r="K328" s="3133">
        <f>'[3]典型户型修正-办公'!R333</f>
        <v>14529</v>
      </c>
    </row>
    <row r="329" spans="1:11">
      <c r="A329" s="3145"/>
      <c r="B329" s="3146">
        <v>311</v>
      </c>
      <c r="C329" s="3147">
        <v>13</v>
      </c>
      <c r="D329" s="3148" t="s">
        <v>3723</v>
      </c>
      <c r="E329" s="3147">
        <v>49.62</v>
      </c>
      <c r="F329" s="3147">
        <v>3</v>
      </c>
      <c r="G329" s="3147" t="s">
        <v>3408</v>
      </c>
      <c r="H329" s="3145" t="s">
        <v>21</v>
      </c>
      <c r="I329" s="3133" t="s">
        <v>3710</v>
      </c>
      <c r="J329" s="3133">
        <f>'[3]典型户型修正-办公'!S334</f>
        <v>72</v>
      </c>
      <c r="K329" s="3133">
        <f>'[3]典型户型修正-办公'!R334</f>
        <v>14529</v>
      </c>
    </row>
    <row r="330" spans="1:11">
      <c r="A330" s="3145"/>
      <c r="B330" s="3146">
        <v>312</v>
      </c>
      <c r="C330" s="3147">
        <v>13</v>
      </c>
      <c r="D330" s="3148" t="s">
        <v>3724</v>
      </c>
      <c r="E330" s="3147">
        <v>49.62</v>
      </c>
      <c r="F330" s="3147">
        <v>3</v>
      </c>
      <c r="G330" s="3147" t="s">
        <v>3408</v>
      </c>
      <c r="H330" s="3145" t="s">
        <v>21</v>
      </c>
      <c r="I330" s="3133" t="s">
        <v>3710</v>
      </c>
      <c r="J330" s="3133">
        <f>'[3]典型户型修正-办公'!S335</f>
        <v>72</v>
      </c>
      <c r="K330" s="3133">
        <f>'[3]典型户型修正-办公'!R335</f>
        <v>14529</v>
      </c>
    </row>
    <row r="331" spans="1:11">
      <c r="A331" s="3145"/>
      <c r="B331" s="3146">
        <v>313</v>
      </c>
      <c r="C331" s="3147">
        <v>13</v>
      </c>
      <c r="D331" s="3148" t="s">
        <v>3725</v>
      </c>
      <c r="E331" s="3147">
        <v>68.78</v>
      </c>
      <c r="F331" s="3147">
        <v>3</v>
      </c>
      <c r="G331" s="3147" t="s">
        <v>3408</v>
      </c>
      <c r="H331" s="3145" t="s">
        <v>21</v>
      </c>
      <c r="I331" s="3133" t="s">
        <v>3710</v>
      </c>
      <c r="J331" s="3133">
        <f>'[3]典型户型修正-办公'!S336</f>
        <v>101</v>
      </c>
      <c r="K331" s="3133">
        <f>'[3]典型户型修正-办公'!R336</f>
        <v>14674</v>
      </c>
    </row>
    <row r="332" spans="1:11">
      <c r="A332" s="3145"/>
      <c r="B332" s="3146">
        <v>314</v>
      </c>
      <c r="C332" s="3147">
        <v>13</v>
      </c>
      <c r="D332" s="3148" t="s">
        <v>3726</v>
      </c>
      <c r="E332" s="3147">
        <v>38.1</v>
      </c>
      <c r="F332" s="3147">
        <v>3</v>
      </c>
      <c r="G332" s="3147" t="s">
        <v>3408</v>
      </c>
      <c r="H332" s="3145" t="s">
        <v>21</v>
      </c>
      <c r="I332" s="3133" t="s">
        <v>3710</v>
      </c>
      <c r="J332" s="3133">
        <f>'[3]典型户型修正-办公'!S337</f>
        <v>55</v>
      </c>
      <c r="K332" s="3133">
        <f>'[3]典型户型修正-办公'!R337</f>
        <v>14529</v>
      </c>
    </row>
    <row r="333" spans="1:11">
      <c r="A333" s="3145"/>
      <c r="B333" s="3146">
        <v>315</v>
      </c>
      <c r="C333" s="3147">
        <v>13</v>
      </c>
      <c r="D333" s="3148" t="s">
        <v>3727</v>
      </c>
      <c r="E333" s="3147">
        <v>41.4</v>
      </c>
      <c r="F333" s="3147">
        <v>3</v>
      </c>
      <c r="G333" s="3147" t="s">
        <v>3408</v>
      </c>
      <c r="H333" s="3145" t="s">
        <v>21</v>
      </c>
      <c r="I333" s="3133" t="s">
        <v>3710</v>
      </c>
      <c r="J333" s="3133">
        <f>'[3]典型户型修正-办公'!S338</f>
        <v>60</v>
      </c>
      <c r="K333" s="3133">
        <f>'[3]典型户型修正-办公'!R338</f>
        <v>14529</v>
      </c>
    </row>
    <row r="334" spans="1:11">
      <c r="A334" s="3145"/>
      <c r="B334" s="3146">
        <v>316</v>
      </c>
      <c r="C334" s="3147">
        <v>13</v>
      </c>
      <c r="D334" s="3148" t="s">
        <v>3728</v>
      </c>
      <c r="E334" s="3147">
        <v>44.09</v>
      </c>
      <c r="F334" s="3147">
        <v>3</v>
      </c>
      <c r="G334" s="3147" t="s">
        <v>3408</v>
      </c>
      <c r="H334" s="3145" t="s">
        <v>21</v>
      </c>
      <c r="I334" s="3133" t="s">
        <v>3710</v>
      </c>
      <c r="J334" s="3133">
        <f>'[3]典型户型修正-办公'!S339</f>
        <v>64</v>
      </c>
      <c r="K334" s="3133">
        <f>'[3]典型户型修正-办公'!R339</f>
        <v>14529</v>
      </c>
    </row>
    <row r="335" spans="1:11">
      <c r="A335" s="3145"/>
      <c r="B335" s="3146">
        <v>317</v>
      </c>
      <c r="C335" s="3147">
        <v>13</v>
      </c>
      <c r="D335" s="3148" t="s">
        <v>3729</v>
      </c>
      <c r="E335" s="3147">
        <v>46.17</v>
      </c>
      <c r="F335" s="3147">
        <v>3</v>
      </c>
      <c r="G335" s="3147" t="s">
        <v>3408</v>
      </c>
      <c r="H335" s="3145" t="s">
        <v>21</v>
      </c>
      <c r="I335" s="3133" t="s">
        <v>3710</v>
      </c>
      <c r="J335" s="3133">
        <f>'[3]典型户型修正-办公'!S340</f>
        <v>67</v>
      </c>
      <c r="K335" s="3133">
        <f>'[3]典型户型修正-办公'!R340</f>
        <v>14529</v>
      </c>
    </row>
    <row r="336" spans="1:11">
      <c r="A336" s="3145"/>
      <c r="B336" s="3146">
        <v>318</v>
      </c>
      <c r="C336" s="3147">
        <v>13</v>
      </c>
      <c r="D336" s="3148" t="s">
        <v>3730</v>
      </c>
      <c r="E336" s="3147">
        <v>47.65</v>
      </c>
      <c r="F336" s="3147">
        <v>3</v>
      </c>
      <c r="G336" s="3147" t="s">
        <v>3408</v>
      </c>
      <c r="H336" s="3145" t="s">
        <v>21</v>
      </c>
      <c r="I336" s="3133" t="s">
        <v>3710</v>
      </c>
      <c r="J336" s="3133">
        <f>'[3]典型户型修正-办公'!S341</f>
        <v>69</v>
      </c>
      <c r="K336" s="3133">
        <f>'[3]典型户型修正-办公'!R341</f>
        <v>14529</v>
      </c>
    </row>
    <row r="337" spans="1:11">
      <c r="A337" s="3145"/>
      <c r="B337" s="3146">
        <v>319</v>
      </c>
      <c r="C337" s="3147">
        <v>13</v>
      </c>
      <c r="D337" s="3148" t="s">
        <v>3731</v>
      </c>
      <c r="E337" s="3147">
        <v>48.6</v>
      </c>
      <c r="F337" s="3147">
        <v>3</v>
      </c>
      <c r="G337" s="3147" t="s">
        <v>3408</v>
      </c>
      <c r="H337" s="3145" t="s">
        <v>21</v>
      </c>
      <c r="I337" s="3133" t="s">
        <v>3710</v>
      </c>
      <c r="J337" s="3133">
        <f>'[3]典型户型修正-办公'!S342</f>
        <v>71</v>
      </c>
      <c r="K337" s="3133">
        <f>'[3]典型户型修正-办公'!R342</f>
        <v>14529</v>
      </c>
    </row>
    <row r="338" spans="1:11">
      <c r="A338" s="3145"/>
      <c r="B338" s="3146">
        <v>320</v>
      </c>
      <c r="C338" s="3147">
        <v>13</v>
      </c>
      <c r="D338" s="3148" t="s">
        <v>3732</v>
      </c>
      <c r="E338" s="3147">
        <v>48.89</v>
      </c>
      <c r="F338" s="3147">
        <v>3</v>
      </c>
      <c r="G338" s="3147" t="s">
        <v>3408</v>
      </c>
      <c r="H338" s="3145" t="s">
        <v>21</v>
      </c>
      <c r="I338" s="3133" t="s">
        <v>3710</v>
      </c>
      <c r="J338" s="3133">
        <f>'[3]典型户型修正-办公'!S343</f>
        <v>71</v>
      </c>
      <c r="K338" s="3133">
        <f>'[3]典型户型修正-办公'!R343</f>
        <v>14529</v>
      </c>
    </row>
    <row r="339" spans="1:11">
      <c r="A339" s="3145"/>
      <c r="B339" s="3146">
        <v>321</v>
      </c>
      <c r="C339" s="3147">
        <v>13</v>
      </c>
      <c r="D339" s="3148" t="s">
        <v>3733</v>
      </c>
      <c r="E339" s="3147">
        <v>48.59</v>
      </c>
      <c r="F339" s="3147">
        <v>3</v>
      </c>
      <c r="G339" s="3147" t="s">
        <v>3408</v>
      </c>
      <c r="H339" s="3145" t="s">
        <v>21</v>
      </c>
      <c r="I339" s="3133" t="s">
        <v>3710</v>
      </c>
      <c r="J339" s="3133">
        <f>'[3]典型户型修正-办公'!S344</f>
        <v>71</v>
      </c>
      <c r="K339" s="3133">
        <f>'[3]典型户型修正-办公'!R344</f>
        <v>14529</v>
      </c>
    </row>
    <row r="340" spans="1:11">
      <c r="A340" s="3145"/>
      <c r="B340" s="3146">
        <v>322</v>
      </c>
      <c r="C340" s="3147">
        <v>13</v>
      </c>
      <c r="D340" s="3148" t="s">
        <v>3734</v>
      </c>
      <c r="E340" s="3147">
        <v>47.73</v>
      </c>
      <c r="F340" s="3147">
        <v>3</v>
      </c>
      <c r="G340" s="3147" t="s">
        <v>3408</v>
      </c>
      <c r="H340" s="3145" t="s">
        <v>21</v>
      </c>
      <c r="I340" s="3133" t="s">
        <v>3710</v>
      </c>
      <c r="J340" s="3133">
        <f>'[3]典型户型修正-办公'!S345</f>
        <v>69</v>
      </c>
      <c r="K340" s="3133">
        <f>'[3]典型户型修正-办公'!R345</f>
        <v>14529</v>
      </c>
    </row>
    <row r="341" spans="1:11">
      <c r="A341" s="3145"/>
      <c r="B341" s="3146">
        <v>323</v>
      </c>
      <c r="C341" s="3147">
        <v>13</v>
      </c>
      <c r="D341" s="3148" t="s">
        <v>3735</v>
      </c>
      <c r="E341" s="3147">
        <v>70.2</v>
      </c>
      <c r="F341" s="3147">
        <v>3</v>
      </c>
      <c r="G341" s="3147" t="s">
        <v>3408</v>
      </c>
      <c r="H341" s="3145" t="s">
        <v>21</v>
      </c>
      <c r="I341" s="3133" t="s">
        <v>3710</v>
      </c>
      <c r="J341" s="3133">
        <f>'[3]典型户型修正-办公'!S346</f>
        <v>103</v>
      </c>
      <c r="K341" s="3133">
        <f>'[3]典型户型修正-办公'!R346</f>
        <v>14674</v>
      </c>
    </row>
    <row r="342" spans="1:11">
      <c r="A342" s="3145"/>
      <c r="B342" s="3146">
        <v>324</v>
      </c>
      <c r="C342" s="3147">
        <v>14</v>
      </c>
      <c r="D342" s="3148" t="s">
        <v>3736</v>
      </c>
      <c r="E342" s="3147">
        <v>51.46</v>
      </c>
      <c r="F342" s="3147">
        <v>3</v>
      </c>
      <c r="G342" s="3147" t="s">
        <v>3408</v>
      </c>
      <c r="H342" s="3145" t="s">
        <v>21</v>
      </c>
      <c r="I342" s="3133" t="s">
        <v>3710</v>
      </c>
      <c r="J342" s="3133">
        <f>'[3]典型户型修正-办公'!S347</f>
        <v>75</v>
      </c>
      <c r="K342" s="3133">
        <f>'[3]典型户型修正-办公'!R347</f>
        <v>14529</v>
      </c>
    </row>
    <row r="343" spans="1:11">
      <c r="A343" s="3145"/>
      <c r="B343" s="3146">
        <v>325</v>
      </c>
      <c r="C343" s="3147">
        <v>14</v>
      </c>
      <c r="D343" s="3148" t="s">
        <v>3737</v>
      </c>
      <c r="E343" s="3147">
        <v>49.62</v>
      </c>
      <c r="F343" s="3147">
        <v>3</v>
      </c>
      <c r="G343" s="3147" t="s">
        <v>3408</v>
      </c>
      <c r="H343" s="3145" t="s">
        <v>21</v>
      </c>
      <c r="I343" s="3133" t="s">
        <v>3710</v>
      </c>
      <c r="J343" s="3133">
        <f>'[3]典型户型修正-办公'!S348</f>
        <v>72</v>
      </c>
      <c r="K343" s="3133">
        <f>'[3]典型户型修正-办公'!R348</f>
        <v>14529</v>
      </c>
    </row>
    <row r="344" spans="1:11">
      <c r="A344" s="3145"/>
      <c r="B344" s="3146">
        <v>326</v>
      </c>
      <c r="C344" s="3147">
        <v>14</v>
      </c>
      <c r="D344" s="3148" t="s">
        <v>3738</v>
      </c>
      <c r="E344" s="3147">
        <v>49.62</v>
      </c>
      <c r="F344" s="3147">
        <v>3</v>
      </c>
      <c r="G344" s="3147" t="s">
        <v>3408</v>
      </c>
      <c r="H344" s="3145" t="s">
        <v>21</v>
      </c>
      <c r="I344" s="3133" t="s">
        <v>3710</v>
      </c>
      <c r="J344" s="3133">
        <f>'[3]典型户型修正-办公'!S349</f>
        <v>72</v>
      </c>
      <c r="K344" s="3133">
        <f>'[3]典型户型修正-办公'!R349</f>
        <v>14529</v>
      </c>
    </row>
    <row r="345" spans="1:11">
      <c r="A345" s="3145"/>
      <c r="B345" s="3146">
        <v>327</v>
      </c>
      <c r="C345" s="3147">
        <v>14</v>
      </c>
      <c r="D345" s="3148" t="s">
        <v>3739</v>
      </c>
      <c r="E345" s="3147">
        <v>49.62</v>
      </c>
      <c r="F345" s="3147">
        <v>3</v>
      </c>
      <c r="G345" s="3147" t="s">
        <v>3408</v>
      </c>
      <c r="H345" s="3145" t="s">
        <v>21</v>
      </c>
      <c r="I345" s="3133" t="s">
        <v>3710</v>
      </c>
      <c r="J345" s="3133">
        <f>'[3]典型户型修正-办公'!S350</f>
        <v>72</v>
      </c>
      <c r="K345" s="3133">
        <f>'[3]典型户型修正-办公'!R350</f>
        <v>14529</v>
      </c>
    </row>
    <row r="346" spans="1:11">
      <c r="A346" s="3145"/>
      <c r="B346" s="3146">
        <v>328</v>
      </c>
      <c r="C346" s="3147">
        <v>14</v>
      </c>
      <c r="D346" s="3148" t="s">
        <v>3740</v>
      </c>
      <c r="E346" s="3147">
        <v>49.62</v>
      </c>
      <c r="F346" s="3147">
        <v>3</v>
      </c>
      <c r="G346" s="3147" t="s">
        <v>3408</v>
      </c>
      <c r="H346" s="3145" t="s">
        <v>21</v>
      </c>
      <c r="I346" s="3133" t="s">
        <v>3710</v>
      </c>
      <c r="J346" s="3133">
        <f>'[3]典型户型修正-办公'!S351</f>
        <v>72</v>
      </c>
      <c r="K346" s="3133">
        <f>'[3]典型户型修正-办公'!R351</f>
        <v>14529</v>
      </c>
    </row>
    <row r="347" spans="1:11">
      <c r="A347" s="3145"/>
      <c r="B347" s="3146">
        <v>329</v>
      </c>
      <c r="C347" s="3147">
        <v>14</v>
      </c>
      <c r="D347" s="3148" t="s">
        <v>3741</v>
      </c>
      <c r="E347" s="3147">
        <v>49.62</v>
      </c>
      <c r="F347" s="3147">
        <v>3</v>
      </c>
      <c r="G347" s="3147" t="s">
        <v>3408</v>
      </c>
      <c r="H347" s="3145" t="s">
        <v>21</v>
      </c>
      <c r="I347" s="3133" t="s">
        <v>3710</v>
      </c>
      <c r="J347" s="3133">
        <f>'[3]典型户型修正-办公'!S352</f>
        <v>72</v>
      </c>
      <c r="K347" s="3133">
        <f>'[3]典型户型修正-办公'!R352</f>
        <v>14529</v>
      </c>
    </row>
    <row r="348" spans="1:11">
      <c r="A348" s="3145"/>
      <c r="B348" s="3146">
        <v>330</v>
      </c>
      <c r="C348" s="3147">
        <v>14</v>
      </c>
      <c r="D348" s="3148" t="s">
        <v>3742</v>
      </c>
      <c r="E348" s="3147">
        <v>49.62</v>
      </c>
      <c r="F348" s="3147">
        <v>3</v>
      </c>
      <c r="G348" s="3147" t="s">
        <v>3408</v>
      </c>
      <c r="H348" s="3145" t="s">
        <v>21</v>
      </c>
      <c r="I348" s="3133" t="s">
        <v>3710</v>
      </c>
      <c r="J348" s="3133">
        <f>'[3]典型户型修正-办公'!S353</f>
        <v>72</v>
      </c>
      <c r="K348" s="3133">
        <f>'[3]典型户型修正-办公'!R353</f>
        <v>14529</v>
      </c>
    </row>
    <row r="349" spans="1:11">
      <c r="A349" s="3145"/>
      <c r="B349" s="3146">
        <v>331</v>
      </c>
      <c r="C349" s="3147">
        <v>14</v>
      </c>
      <c r="D349" s="3148" t="s">
        <v>3743</v>
      </c>
      <c r="E349" s="3147">
        <v>49.62</v>
      </c>
      <c r="F349" s="3147">
        <v>3</v>
      </c>
      <c r="G349" s="3147" t="s">
        <v>3408</v>
      </c>
      <c r="H349" s="3145" t="s">
        <v>21</v>
      </c>
      <c r="I349" s="3133" t="s">
        <v>3710</v>
      </c>
      <c r="J349" s="3133">
        <f>'[3]典型户型修正-办公'!S354</f>
        <v>72</v>
      </c>
      <c r="K349" s="3133">
        <f>'[3]典型户型修正-办公'!R354</f>
        <v>14529</v>
      </c>
    </row>
    <row r="350" spans="1:11">
      <c r="A350" s="3145"/>
      <c r="B350" s="3146">
        <v>332</v>
      </c>
      <c r="C350" s="3147">
        <v>14</v>
      </c>
      <c r="D350" s="3148" t="s">
        <v>3744</v>
      </c>
      <c r="E350" s="3147">
        <v>49.62</v>
      </c>
      <c r="F350" s="3147">
        <v>3</v>
      </c>
      <c r="G350" s="3147" t="s">
        <v>3408</v>
      </c>
      <c r="H350" s="3145" t="s">
        <v>21</v>
      </c>
      <c r="I350" s="3133" t="s">
        <v>3710</v>
      </c>
      <c r="J350" s="3133">
        <f>'[3]典型户型修正-办公'!S355</f>
        <v>72</v>
      </c>
      <c r="K350" s="3133">
        <f>'[3]典型户型修正-办公'!R355</f>
        <v>14529</v>
      </c>
    </row>
    <row r="351" spans="1:11">
      <c r="A351" s="3145"/>
      <c r="B351" s="3146">
        <v>333</v>
      </c>
      <c r="C351" s="3147">
        <v>14</v>
      </c>
      <c r="D351" s="3148" t="s">
        <v>3745</v>
      </c>
      <c r="E351" s="3147">
        <v>49.62</v>
      </c>
      <c r="F351" s="3147">
        <v>3</v>
      </c>
      <c r="G351" s="3147" t="s">
        <v>3408</v>
      </c>
      <c r="H351" s="3145" t="s">
        <v>21</v>
      </c>
      <c r="I351" s="3133" t="s">
        <v>3710</v>
      </c>
      <c r="J351" s="3133">
        <f>'[3]典型户型修正-办公'!S356</f>
        <v>72</v>
      </c>
      <c r="K351" s="3133">
        <f>'[3]典型户型修正-办公'!R356</f>
        <v>14529</v>
      </c>
    </row>
    <row r="352" spans="1:11">
      <c r="A352" s="3145"/>
      <c r="B352" s="3146">
        <v>334</v>
      </c>
      <c r="C352" s="3147">
        <v>14</v>
      </c>
      <c r="D352" s="3148" t="s">
        <v>3746</v>
      </c>
      <c r="E352" s="3147">
        <v>49.62</v>
      </c>
      <c r="F352" s="3147">
        <v>3</v>
      </c>
      <c r="G352" s="3147" t="s">
        <v>3408</v>
      </c>
      <c r="H352" s="3145" t="s">
        <v>21</v>
      </c>
      <c r="I352" s="3133" t="s">
        <v>3710</v>
      </c>
      <c r="J352" s="3133">
        <f>'[3]典型户型修正-办公'!S357</f>
        <v>72</v>
      </c>
      <c r="K352" s="3133">
        <f>'[3]典型户型修正-办公'!R357</f>
        <v>14529</v>
      </c>
    </row>
    <row r="353" spans="1:11">
      <c r="A353" s="3145"/>
      <c r="B353" s="3146">
        <v>335</v>
      </c>
      <c r="C353" s="3147">
        <v>14</v>
      </c>
      <c r="D353" s="3148" t="s">
        <v>3747</v>
      </c>
      <c r="E353" s="3147">
        <v>49.62</v>
      </c>
      <c r="F353" s="3147">
        <v>3</v>
      </c>
      <c r="G353" s="3147" t="s">
        <v>3408</v>
      </c>
      <c r="H353" s="3145" t="s">
        <v>21</v>
      </c>
      <c r="I353" s="3133" t="s">
        <v>3710</v>
      </c>
      <c r="J353" s="3133">
        <f>'[3]典型户型修正-办公'!S358</f>
        <v>72</v>
      </c>
      <c r="K353" s="3133">
        <f>'[3]典型户型修正-办公'!R358</f>
        <v>14529</v>
      </c>
    </row>
    <row r="354" spans="1:11">
      <c r="A354" s="3145"/>
      <c r="B354" s="3146">
        <v>336</v>
      </c>
      <c r="C354" s="3147">
        <v>14</v>
      </c>
      <c r="D354" s="3148" t="s">
        <v>3748</v>
      </c>
      <c r="E354" s="3147">
        <v>49.62</v>
      </c>
      <c r="F354" s="3147">
        <v>3</v>
      </c>
      <c r="G354" s="3147" t="s">
        <v>3408</v>
      </c>
      <c r="H354" s="3145" t="s">
        <v>21</v>
      </c>
      <c r="I354" s="3133" t="s">
        <v>3710</v>
      </c>
      <c r="J354" s="3133">
        <f>'[3]典型户型修正-办公'!S359</f>
        <v>72</v>
      </c>
      <c r="K354" s="3133">
        <f>'[3]典型户型修正-办公'!R359</f>
        <v>14529</v>
      </c>
    </row>
    <row r="355" spans="1:11">
      <c r="A355" s="3145"/>
      <c r="B355" s="3146">
        <v>337</v>
      </c>
      <c r="C355" s="3147">
        <v>14</v>
      </c>
      <c r="D355" s="3148" t="s">
        <v>3749</v>
      </c>
      <c r="E355" s="3147">
        <v>49.62</v>
      </c>
      <c r="F355" s="3147">
        <v>3</v>
      </c>
      <c r="G355" s="3147" t="s">
        <v>3408</v>
      </c>
      <c r="H355" s="3145" t="s">
        <v>21</v>
      </c>
      <c r="I355" s="3133" t="s">
        <v>3710</v>
      </c>
      <c r="J355" s="3133">
        <f>'[3]典型户型修正-办公'!S360</f>
        <v>72</v>
      </c>
      <c r="K355" s="3133">
        <f>'[3]典型户型修正-办公'!R360</f>
        <v>14529</v>
      </c>
    </row>
    <row r="356" spans="1:11">
      <c r="A356" s="3145"/>
      <c r="B356" s="3146">
        <v>338</v>
      </c>
      <c r="C356" s="3147">
        <v>14</v>
      </c>
      <c r="D356" s="3148" t="s">
        <v>3750</v>
      </c>
      <c r="E356" s="3147">
        <v>49.62</v>
      </c>
      <c r="F356" s="3147">
        <v>3</v>
      </c>
      <c r="G356" s="3147" t="s">
        <v>3408</v>
      </c>
      <c r="H356" s="3145" t="s">
        <v>21</v>
      </c>
      <c r="I356" s="3133" t="s">
        <v>3710</v>
      </c>
      <c r="J356" s="3133">
        <f>'[3]典型户型修正-办公'!S361</f>
        <v>72</v>
      </c>
      <c r="K356" s="3133">
        <f>'[3]典型户型修正-办公'!R361</f>
        <v>14529</v>
      </c>
    </row>
    <row r="357" spans="1:11">
      <c r="A357" s="3145"/>
      <c r="B357" s="3146">
        <v>339</v>
      </c>
      <c r="C357" s="3147">
        <v>14</v>
      </c>
      <c r="D357" s="3148" t="s">
        <v>3751</v>
      </c>
      <c r="E357" s="3147">
        <v>68.78</v>
      </c>
      <c r="F357" s="3147">
        <v>3</v>
      </c>
      <c r="G357" s="3147" t="s">
        <v>3408</v>
      </c>
      <c r="H357" s="3145" t="s">
        <v>21</v>
      </c>
      <c r="I357" s="3133" t="s">
        <v>3710</v>
      </c>
      <c r="J357" s="3133">
        <f>'[3]典型户型修正-办公'!S362</f>
        <v>101</v>
      </c>
      <c r="K357" s="3133">
        <f>'[3]典型户型修正-办公'!R362</f>
        <v>14674</v>
      </c>
    </row>
    <row r="358" spans="1:11">
      <c r="A358" s="3145"/>
      <c r="B358" s="3146">
        <v>340</v>
      </c>
      <c r="C358" s="3147">
        <v>14</v>
      </c>
      <c r="D358" s="3148" t="s">
        <v>3752</v>
      </c>
      <c r="E358" s="3147">
        <v>38.1</v>
      </c>
      <c r="F358" s="3147">
        <v>3</v>
      </c>
      <c r="G358" s="3147" t="s">
        <v>3408</v>
      </c>
      <c r="H358" s="3145" t="s">
        <v>21</v>
      </c>
      <c r="I358" s="3133" t="s">
        <v>3710</v>
      </c>
      <c r="J358" s="3133">
        <f>'[3]典型户型修正-办公'!S363</f>
        <v>55</v>
      </c>
      <c r="K358" s="3133">
        <f>'[3]典型户型修正-办公'!R363</f>
        <v>14529</v>
      </c>
    </row>
    <row r="359" spans="1:11">
      <c r="A359" s="3145"/>
      <c r="B359" s="3146">
        <v>341</v>
      </c>
      <c r="C359" s="3147">
        <v>14</v>
      </c>
      <c r="D359" s="3148" t="s">
        <v>3753</v>
      </c>
      <c r="E359" s="3147">
        <v>41.4</v>
      </c>
      <c r="F359" s="3147">
        <v>3</v>
      </c>
      <c r="G359" s="3147" t="s">
        <v>3408</v>
      </c>
      <c r="H359" s="3145" t="s">
        <v>21</v>
      </c>
      <c r="I359" s="3133" t="s">
        <v>3710</v>
      </c>
      <c r="J359" s="3133">
        <f>'[3]典型户型修正-办公'!S364</f>
        <v>60</v>
      </c>
      <c r="K359" s="3133">
        <f>'[3]典型户型修正-办公'!R364</f>
        <v>14529</v>
      </c>
    </row>
    <row r="360" spans="1:11">
      <c r="A360" s="3145"/>
      <c r="B360" s="3146">
        <v>342</v>
      </c>
      <c r="C360" s="3147">
        <v>14</v>
      </c>
      <c r="D360" s="3148" t="s">
        <v>3754</v>
      </c>
      <c r="E360" s="3147">
        <v>44.09</v>
      </c>
      <c r="F360" s="3147">
        <v>3</v>
      </c>
      <c r="G360" s="3147" t="s">
        <v>3408</v>
      </c>
      <c r="H360" s="3145" t="s">
        <v>21</v>
      </c>
      <c r="I360" s="3133" t="s">
        <v>3710</v>
      </c>
      <c r="J360" s="3133">
        <f>'[3]典型户型修正-办公'!S365</f>
        <v>64</v>
      </c>
      <c r="K360" s="3133">
        <f>'[3]典型户型修正-办公'!R365</f>
        <v>14529</v>
      </c>
    </row>
    <row r="361" spans="1:11">
      <c r="A361" s="3145"/>
      <c r="B361" s="3146">
        <v>343</v>
      </c>
      <c r="C361" s="3147">
        <v>14</v>
      </c>
      <c r="D361" s="3148" t="s">
        <v>3755</v>
      </c>
      <c r="E361" s="3147">
        <v>46.17</v>
      </c>
      <c r="F361" s="3147">
        <v>3</v>
      </c>
      <c r="G361" s="3147" t="s">
        <v>3408</v>
      </c>
      <c r="H361" s="3145" t="s">
        <v>21</v>
      </c>
      <c r="I361" s="3133" t="s">
        <v>3710</v>
      </c>
      <c r="J361" s="3133">
        <f>'[3]典型户型修正-办公'!S366</f>
        <v>67</v>
      </c>
      <c r="K361" s="3133">
        <f>'[3]典型户型修正-办公'!R366</f>
        <v>14529</v>
      </c>
    </row>
    <row r="362" spans="1:11">
      <c r="A362" s="3145"/>
      <c r="B362" s="3146">
        <v>344</v>
      </c>
      <c r="C362" s="3147">
        <v>14</v>
      </c>
      <c r="D362" s="3148" t="s">
        <v>3756</v>
      </c>
      <c r="E362" s="3147">
        <v>47.65</v>
      </c>
      <c r="F362" s="3147">
        <v>3</v>
      </c>
      <c r="G362" s="3147" t="s">
        <v>3408</v>
      </c>
      <c r="H362" s="3145" t="s">
        <v>21</v>
      </c>
      <c r="I362" s="3133" t="s">
        <v>3710</v>
      </c>
      <c r="J362" s="3133">
        <f>'[3]典型户型修正-办公'!S367</f>
        <v>69</v>
      </c>
      <c r="K362" s="3133">
        <f>'[3]典型户型修正-办公'!R367</f>
        <v>14529</v>
      </c>
    </row>
    <row r="363" spans="1:11">
      <c r="A363" s="3145"/>
      <c r="B363" s="3146">
        <v>345</v>
      </c>
      <c r="C363" s="3147">
        <v>14</v>
      </c>
      <c r="D363" s="3148" t="s">
        <v>3757</v>
      </c>
      <c r="E363" s="3147">
        <v>48.6</v>
      </c>
      <c r="F363" s="3147">
        <v>3</v>
      </c>
      <c r="G363" s="3147" t="s">
        <v>3408</v>
      </c>
      <c r="H363" s="3145" t="s">
        <v>21</v>
      </c>
      <c r="I363" s="3133" t="s">
        <v>3710</v>
      </c>
      <c r="J363" s="3133">
        <f>'[3]典型户型修正-办公'!S368</f>
        <v>71</v>
      </c>
      <c r="K363" s="3133">
        <f>'[3]典型户型修正-办公'!R368</f>
        <v>14529</v>
      </c>
    </row>
    <row r="364" spans="1:11">
      <c r="A364" s="3145"/>
      <c r="B364" s="3146">
        <v>346</v>
      </c>
      <c r="C364" s="3147">
        <v>14</v>
      </c>
      <c r="D364" s="3148" t="s">
        <v>3758</v>
      </c>
      <c r="E364" s="3147">
        <v>48.89</v>
      </c>
      <c r="F364" s="3147">
        <v>3</v>
      </c>
      <c r="G364" s="3147" t="s">
        <v>3408</v>
      </c>
      <c r="H364" s="3145" t="s">
        <v>21</v>
      </c>
      <c r="I364" s="3133" t="s">
        <v>3710</v>
      </c>
      <c r="J364" s="3133">
        <f>'[3]典型户型修正-办公'!S369</f>
        <v>71</v>
      </c>
      <c r="K364" s="3133">
        <f>'[3]典型户型修正-办公'!R369</f>
        <v>14529</v>
      </c>
    </row>
    <row r="365" spans="1:11">
      <c r="A365" s="3145"/>
      <c r="B365" s="3146">
        <v>347</v>
      </c>
      <c r="C365" s="3147">
        <v>14</v>
      </c>
      <c r="D365" s="3148" t="s">
        <v>3759</v>
      </c>
      <c r="E365" s="3147">
        <v>48.59</v>
      </c>
      <c r="F365" s="3147">
        <v>3</v>
      </c>
      <c r="G365" s="3147" t="s">
        <v>3408</v>
      </c>
      <c r="H365" s="3145" t="s">
        <v>21</v>
      </c>
      <c r="I365" s="3133" t="s">
        <v>3710</v>
      </c>
      <c r="J365" s="3133">
        <f>'[3]典型户型修正-办公'!S370</f>
        <v>71</v>
      </c>
      <c r="K365" s="3133">
        <f>'[3]典型户型修正-办公'!R370</f>
        <v>14529</v>
      </c>
    </row>
    <row r="366" spans="1:11">
      <c r="A366" s="3145"/>
      <c r="B366" s="3146">
        <v>348</v>
      </c>
      <c r="C366" s="3147">
        <v>14</v>
      </c>
      <c r="D366" s="3148" t="s">
        <v>3760</v>
      </c>
      <c r="E366" s="3147">
        <v>47.73</v>
      </c>
      <c r="F366" s="3147">
        <v>3</v>
      </c>
      <c r="G366" s="3147" t="s">
        <v>3408</v>
      </c>
      <c r="H366" s="3145" t="s">
        <v>21</v>
      </c>
      <c r="I366" s="3133" t="s">
        <v>3710</v>
      </c>
      <c r="J366" s="3133">
        <f>'[3]典型户型修正-办公'!S371</f>
        <v>69</v>
      </c>
      <c r="K366" s="3133">
        <f>'[3]典型户型修正-办公'!R371</f>
        <v>14529</v>
      </c>
    </row>
    <row r="367" spans="1:11">
      <c r="A367" s="3145"/>
      <c r="B367" s="3146">
        <v>349</v>
      </c>
      <c r="C367" s="3147">
        <v>14</v>
      </c>
      <c r="D367" s="3148" t="s">
        <v>3761</v>
      </c>
      <c r="E367" s="3147">
        <v>70.2</v>
      </c>
      <c r="F367" s="3147">
        <v>3</v>
      </c>
      <c r="G367" s="3147" t="s">
        <v>3408</v>
      </c>
      <c r="H367" s="3145" t="s">
        <v>21</v>
      </c>
      <c r="I367" s="3133" t="s">
        <v>3710</v>
      </c>
      <c r="J367" s="3133">
        <f>'[3]典型户型修正-办公'!S372</f>
        <v>103</v>
      </c>
      <c r="K367" s="3133">
        <f>'[3]典型户型修正-办公'!R372</f>
        <v>14674</v>
      </c>
    </row>
    <row r="368" spans="1:11">
      <c r="A368" s="3145"/>
      <c r="B368" s="3146">
        <v>350</v>
      </c>
      <c r="C368" s="3147">
        <v>15</v>
      </c>
      <c r="D368" s="3148" t="s">
        <v>3762</v>
      </c>
      <c r="E368" s="3147">
        <v>51.46</v>
      </c>
      <c r="F368" s="3147">
        <v>3</v>
      </c>
      <c r="G368" s="3147" t="s">
        <v>3408</v>
      </c>
      <c r="H368" s="3145" t="s">
        <v>21</v>
      </c>
      <c r="I368" s="3133" t="s">
        <v>3710</v>
      </c>
      <c r="J368" s="3133">
        <f>'[3]典型户型修正-办公'!S373</f>
        <v>75</v>
      </c>
      <c r="K368" s="3133">
        <f>'[3]典型户型修正-办公'!R373</f>
        <v>14529</v>
      </c>
    </row>
    <row r="369" spans="1:11">
      <c r="A369" s="3145"/>
      <c r="B369" s="3146">
        <v>351</v>
      </c>
      <c r="C369" s="3147">
        <v>15</v>
      </c>
      <c r="D369" s="3148" t="s">
        <v>3763</v>
      </c>
      <c r="E369" s="3147">
        <v>49.62</v>
      </c>
      <c r="F369" s="3147">
        <v>3</v>
      </c>
      <c r="G369" s="3147" t="s">
        <v>3408</v>
      </c>
      <c r="H369" s="3145" t="s">
        <v>21</v>
      </c>
      <c r="I369" s="3133" t="s">
        <v>3710</v>
      </c>
      <c r="J369" s="3133">
        <f>'[3]典型户型修正-办公'!S374</f>
        <v>72</v>
      </c>
      <c r="K369" s="3133">
        <f>'[3]典型户型修正-办公'!R374</f>
        <v>14529</v>
      </c>
    </row>
    <row r="370" spans="1:11">
      <c r="A370" s="3145"/>
      <c r="B370" s="3146">
        <v>352</v>
      </c>
      <c r="C370" s="3147">
        <v>15</v>
      </c>
      <c r="D370" s="3148" t="s">
        <v>3764</v>
      </c>
      <c r="E370" s="3147">
        <v>49.62</v>
      </c>
      <c r="F370" s="3147">
        <v>3</v>
      </c>
      <c r="G370" s="3147" t="s">
        <v>3408</v>
      </c>
      <c r="H370" s="3145" t="s">
        <v>21</v>
      </c>
      <c r="I370" s="3133" t="s">
        <v>3710</v>
      </c>
      <c r="J370" s="3133">
        <f>'[3]典型户型修正-办公'!S375</f>
        <v>72</v>
      </c>
      <c r="K370" s="3133">
        <f>'[3]典型户型修正-办公'!R375</f>
        <v>14529</v>
      </c>
    </row>
    <row r="371" spans="1:11">
      <c r="A371" s="3145"/>
      <c r="B371" s="3146">
        <v>353</v>
      </c>
      <c r="C371" s="3147">
        <v>15</v>
      </c>
      <c r="D371" s="3148" t="s">
        <v>3765</v>
      </c>
      <c r="E371" s="3147">
        <v>49.62</v>
      </c>
      <c r="F371" s="3147">
        <v>3</v>
      </c>
      <c r="G371" s="3147" t="s">
        <v>3408</v>
      </c>
      <c r="H371" s="3145" t="s">
        <v>21</v>
      </c>
      <c r="I371" s="3133" t="s">
        <v>3710</v>
      </c>
      <c r="J371" s="3133">
        <f>'[3]典型户型修正-办公'!S376</f>
        <v>72</v>
      </c>
      <c r="K371" s="3133">
        <f>'[3]典型户型修正-办公'!R376</f>
        <v>14529</v>
      </c>
    </row>
    <row r="372" spans="1:11">
      <c r="A372" s="3145"/>
      <c r="B372" s="3146">
        <v>354</v>
      </c>
      <c r="C372" s="3147">
        <v>15</v>
      </c>
      <c r="D372" s="3148" t="s">
        <v>3766</v>
      </c>
      <c r="E372" s="3147">
        <v>49.62</v>
      </c>
      <c r="F372" s="3147">
        <v>3</v>
      </c>
      <c r="G372" s="3147" t="s">
        <v>3408</v>
      </c>
      <c r="H372" s="3145" t="s">
        <v>21</v>
      </c>
      <c r="I372" s="3133" t="s">
        <v>3710</v>
      </c>
      <c r="J372" s="3133">
        <f>'[3]典型户型修正-办公'!S377</f>
        <v>72</v>
      </c>
      <c r="K372" s="3133">
        <f>'[3]典型户型修正-办公'!R377</f>
        <v>14529</v>
      </c>
    </row>
    <row r="373" spans="1:11">
      <c r="A373" s="3145"/>
      <c r="B373" s="3146">
        <v>355</v>
      </c>
      <c r="C373" s="3147">
        <v>15</v>
      </c>
      <c r="D373" s="3148" t="s">
        <v>3767</v>
      </c>
      <c r="E373" s="3147">
        <v>49.62</v>
      </c>
      <c r="F373" s="3147">
        <v>3</v>
      </c>
      <c r="G373" s="3147" t="s">
        <v>3408</v>
      </c>
      <c r="H373" s="3145" t="s">
        <v>21</v>
      </c>
      <c r="I373" s="3133" t="s">
        <v>3710</v>
      </c>
      <c r="J373" s="3133">
        <f>'[3]典型户型修正-办公'!S378</f>
        <v>72</v>
      </c>
      <c r="K373" s="3133">
        <f>'[3]典型户型修正-办公'!R378</f>
        <v>14529</v>
      </c>
    </row>
    <row r="374" spans="1:11">
      <c r="A374" s="3145"/>
      <c r="B374" s="3146">
        <v>356</v>
      </c>
      <c r="C374" s="3147">
        <v>15</v>
      </c>
      <c r="D374" s="3148" t="s">
        <v>3768</v>
      </c>
      <c r="E374" s="3147">
        <v>49.62</v>
      </c>
      <c r="F374" s="3147">
        <v>3</v>
      </c>
      <c r="G374" s="3147" t="s">
        <v>3408</v>
      </c>
      <c r="H374" s="3145" t="s">
        <v>21</v>
      </c>
      <c r="I374" s="3133" t="s">
        <v>3710</v>
      </c>
      <c r="J374" s="3133">
        <f>'[3]典型户型修正-办公'!S379</f>
        <v>72</v>
      </c>
      <c r="K374" s="3133">
        <f>'[3]典型户型修正-办公'!R379</f>
        <v>14529</v>
      </c>
    </row>
    <row r="375" spans="1:11">
      <c r="A375" s="3145"/>
      <c r="B375" s="3146">
        <v>357</v>
      </c>
      <c r="C375" s="3147">
        <v>15</v>
      </c>
      <c r="D375" s="3148" t="s">
        <v>3769</v>
      </c>
      <c r="E375" s="3147">
        <v>49.62</v>
      </c>
      <c r="F375" s="3147">
        <v>3</v>
      </c>
      <c r="G375" s="3147" t="s">
        <v>3408</v>
      </c>
      <c r="H375" s="3145" t="s">
        <v>21</v>
      </c>
      <c r="I375" s="3133" t="s">
        <v>3710</v>
      </c>
      <c r="J375" s="3133">
        <f>'[3]典型户型修正-办公'!S380</f>
        <v>72</v>
      </c>
      <c r="K375" s="3133">
        <f>'[3]典型户型修正-办公'!R380</f>
        <v>14529</v>
      </c>
    </row>
    <row r="376" spans="1:11">
      <c r="A376" s="3145"/>
      <c r="B376" s="3146">
        <v>358</v>
      </c>
      <c r="C376" s="3147">
        <v>15</v>
      </c>
      <c r="D376" s="3148" t="s">
        <v>3770</v>
      </c>
      <c r="E376" s="3147">
        <v>49.62</v>
      </c>
      <c r="F376" s="3147">
        <v>3</v>
      </c>
      <c r="G376" s="3147" t="s">
        <v>3408</v>
      </c>
      <c r="H376" s="3145" t="s">
        <v>21</v>
      </c>
      <c r="I376" s="3133" t="s">
        <v>3710</v>
      </c>
      <c r="J376" s="3133">
        <f>'[3]典型户型修正-办公'!S381</f>
        <v>72</v>
      </c>
      <c r="K376" s="3133">
        <f>'[3]典型户型修正-办公'!R381</f>
        <v>14529</v>
      </c>
    </row>
    <row r="377" spans="1:11">
      <c r="A377" s="3145"/>
      <c r="B377" s="3146">
        <v>359</v>
      </c>
      <c r="C377" s="3147">
        <v>15</v>
      </c>
      <c r="D377" s="3148" t="s">
        <v>3771</v>
      </c>
      <c r="E377" s="3147">
        <v>49.62</v>
      </c>
      <c r="F377" s="3147">
        <v>3</v>
      </c>
      <c r="G377" s="3147" t="s">
        <v>3408</v>
      </c>
      <c r="H377" s="3145" t="s">
        <v>21</v>
      </c>
      <c r="I377" s="3133" t="s">
        <v>3710</v>
      </c>
      <c r="J377" s="3133">
        <f>'[3]典型户型修正-办公'!S382</f>
        <v>72</v>
      </c>
      <c r="K377" s="3133">
        <f>'[3]典型户型修正-办公'!R382</f>
        <v>14529</v>
      </c>
    </row>
    <row r="378" spans="1:11">
      <c r="A378" s="3145"/>
      <c r="B378" s="3146">
        <v>360</v>
      </c>
      <c r="C378" s="3147">
        <v>15</v>
      </c>
      <c r="D378" s="3148" t="s">
        <v>3772</v>
      </c>
      <c r="E378" s="3147">
        <v>49.62</v>
      </c>
      <c r="F378" s="3147">
        <v>3</v>
      </c>
      <c r="G378" s="3147" t="s">
        <v>3408</v>
      </c>
      <c r="H378" s="3145" t="s">
        <v>21</v>
      </c>
      <c r="I378" s="3133" t="s">
        <v>3710</v>
      </c>
      <c r="J378" s="3133">
        <f>'[3]典型户型修正-办公'!S383</f>
        <v>72</v>
      </c>
      <c r="K378" s="3133">
        <f>'[3]典型户型修正-办公'!R383</f>
        <v>14529</v>
      </c>
    </row>
    <row r="379" spans="1:11">
      <c r="A379" s="3145"/>
      <c r="B379" s="3146">
        <v>361</v>
      </c>
      <c r="C379" s="3147">
        <v>15</v>
      </c>
      <c r="D379" s="3148" t="s">
        <v>3773</v>
      </c>
      <c r="E379" s="3147">
        <v>49.62</v>
      </c>
      <c r="F379" s="3147">
        <v>3</v>
      </c>
      <c r="G379" s="3147" t="s">
        <v>3408</v>
      </c>
      <c r="H379" s="3145" t="s">
        <v>21</v>
      </c>
      <c r="I379" s="3133" t="s">
        <v>3710</v>
      </c>
      <c r="J379" s="3133">
        <f>'[3]典型户型修正-办公'!S384</f>
        <v>72</v>
      </c>
      <c r="K379" s="3133">
        <f>'[3]典型户型修正-办公'!R384</f>
        <v>14529</v>
      </c>
    </row>
    <row r="380" spans="1:11">
      <c r="A380" s="3145"/>
      <c r="B380" s="3146">
        <v>362</v>
      </c>
      <c r="C380" s="3147">
        <v>15</v>
      </c>
      <c r="D380" s="3148" t="s">
        <v>3774</v>
      </c>
      <c r="E380" s="3147">
        <v>49.62</v>
      </c>
      <c r="F380" s="3147">
        <v>3</v>
      </c>
      <c r="G380" s="3147" t="s">
        <v>3408</v>
      </c>
      <c r="H380" s="3145" t="s">
        <v>21</v>
      </c>
      <c r="I380" s="3133" t="s">
        <v>3710</v>
      </c>
      <c r="J380" s="3133">
        <f>'[3]典型户型修正-办公'!S385</f>
        <v>72</v>
      </c>
      <c r="K380" s="3133">
        <f>'[3]典型户型修正-办公'!R385</f>
        <v>14529</v>
      </c>
    </row>
    <row r="381" spans="1:11">
      <c r="A381" s="3145"/>
      <c r="B381" s="3146">
        <v>363</v>
      </c>
      <c r="C381" s="3147">
        <v>15</v>
      </c>
      <c r="D381" s="3148" t="s">
        <v>3775</v>
      </c>
      <c r="E381" s="3147">
        <v>49.62</v>
      </c>
      <c r="F381" s="3147">
        <v>3</v>
      </c>
      <c r="G381" s="3147" t="s">
        <v>3408</v>
      </c>
      <c r="H381" s="3145" t="s">
        <v>21</v>
      </c>
      <c r="I381" s="3133" t="s">
        <v>3710</v>
      </c>
      <c r="J381" s="3133">
        <f>'[3]典型户型修正-办公'!S386</f>
        <v>72</v>
      </c>
      <c r="K381" s="3133">
        <f>'[3]典型户型修正-办公'!R386</f>
        <v>14529</v>
      </c>
    </row>
    <row r="382" spans="1:11">
      <c r="A382" s="3145"/>
      <c r="B382" s="3146">
        <v>364</v>
      </c>
      <c r="C382" s="3147">
        <v>15</v>
      </c>
      <c r="D382" s="3148" t="s">
        <v>3776</v>
      </c>
      <c r="E382" s="3147">
        <v>49.62</v>
      </c>
      <c r="F382" s="3147">
        <v>3</v>
      </c>
      <c r="G382" s="3147" t="s">
        <v>3408</v>
      </c>
      <c r="H382" s="3145" t="s">
        <v>21</v>
      </c>
      <c r="I382" s="3133" t="s">
        <v>3710</v>
      </c>
      <c r="J382" s="3133">
        <f>'[3]典型户型修正-办公'!S387</f>
        <v>72</v>
      </c>
      <c r="K382" s="3133">
        <f>'[3]典型户型修正-办公'!R387</f>
        <v>14529</v>
      </c>
    </row>
    <row r="383" spans="1:11">
      <c r="A383" s="3145"/>
      <c r="B383" s="3146">
        <v>365</v>
      </c>
      <c r="C383" s="3147">
        <v>15</v>
      </c>
      <c r="D383" s="3148" t="s">
        <v>3777</v>
      </c>
      <c r="E383" s="3147">
        <v>68.78</v>
      </c>
      <c r="F383" s="3147">
        <v>3</v>
      </c>
      <c r="G383" s="3147" t="s">
        <v>3408</v>
      </c>
      <c r="H383" s="3145" t="s">
        <v>21</v>
      </c>
      <c r="I383" s="3133" t="s">
        <v>3710</v>
      </c>
      <c r="J383" s="3133">
        <f>'[3]典型户型修正-办公'!S388</f>
        <v>101</v>
      </c>
      <c r="K383" s="3133">
        <f>'[3]典型户型修正-办公'!R388</f>
        <v>14674</v>
      </c>
    </row>
    <row r="384" spans="1:11">
      <c r="A384" s="3145"/>
      <c r="B384" s="3146">
        <v>366</v>
      </c>
      <c r="C384" s="3147">
        <v>15</v>
      </c>
      <c r="D384" s="3148" t="s">
        <v>3778</v>
      </c>
      <c r="E384" s="3147">
        <v>38.1</v>
      </c>
      <c r="F384" s="3147">
        <v>3</v>
      </c>
      <c r="G384" s="3147" t="s">
        <v>3408</v>
      </c>
      <c r="H384" s="3145" t="s">
        <v>21</v>
      </c>
      <c r="I384" s="3133" t="s">
        <v>3710</v>
      </c>
      <c r="J384" s="3133">
        <f>'[3]典型户型修正-办公'!S389</f>
        <v>55</v>
      </c>
      <c r="K384" s="3133">
        <f>'[3]典型户型修正-办公'!R389</f>
        <v>14529</v>
      </c>
    </row>
    <row r="385" spans="1:11">
      <c r="A385" s="3145"/>
      <c r="B385" s="3146">
        <v>367</v>
      </c>
      <c r="C385" s="3147">
        <v>15</v>
      </c>
      <c r="D385" s="3148" t="s">
        <v>3779</v>
      </c>
      <c r="E385" s="3147">
        <v>41.4</v>
      </c>
      <c r="F385" s="3147">
        <v>3</v>
      </c>
      <c r="G385" s="3147" t="s">
        <v>3408</v>
      </c>
      <c r="H385" s="3145" t="s">
        <v>21</v>
      </c>
      <c r="I385" s="3133" t="s">
        <v>3710</v>
      </c>
      <c r="J385" s="3133">
        <f>'[3]典型户型修正-办公'!S390</f>
        <v>60</v>
      </c>
      <c r="K385" s="3133">
        <f>'[3]典型户型修正-办公'!R390</f>
        <v>14529</v>
      </c>
    </row>
    <row r="386" spans="1:11">
      <c r="A386" s="3145"/>
      <c r="B386" s="3146">
        <v>368</v>
      </c>
      <c r="C386" s="3147">
        <v>15</v>
      </c>
      <c r="D386" s="3148" t="s">
        <v>3780</v>
      </c>
      <c r="E386" s="3147">
        <v>44.09</v>
      </c>
      <c r="F386" s="3147">
        <v>3</v>
      </c>
      <c r="G386" s="3147" t="s">
        <v>3408</v>
      </c>
      <c r="H386" s="3145" t="s">
        <v>21</v>
      </c>
      <c r="I386" s="3133" t="s">
        <v>3710</v>
      </c>
      <c r="J386" s="3133">
        <f>'[3]典型户型修正-办公'!S391</f>
        <v>64</v>
      </c>
      <c r="K386" s="3133">
        <f>'[3]典型户型修正-办公'!R391</f>
        <v>14529</v>
      </c>
    </row>
    <row r="387" spans="1:11">
      <c r="A387" s="3145"/>
      <c r="B387" s="3146">
        <v>369</v>
      </c>
      <c r="C387" s="3147">
        <v>15</v>
      </c>
      <c r="D387" s="3148" t="s">
        <v>3781</v>
      </c>
      <c r="E387" s="3147">
        <v>46.17</v>
      </c>
      <c r="F387" s="3147">
        <v>3</v>
      </c>
      <c r="G387" s="3147" t="s">
        <v>3408</v>
      </c>
      <c r="H387" s="3145" t="s">
        <v>21</v>
      </c>
      <c r="I387" s="3133" t="s">
        <v>3710</v>
      </c>
      <c r="J387" s="3133">
        <f>'[3]典型户型修正-办公'!S392</f>
        <v>67</v>
      </c>
      <c r="K387" s="3133">
        <f>'[3]典型户型修正-办公'!R392</f>
        <v>14529</v>
      </c>
    </row>
    <row r="388" spans="1:11">
      <c r="A388" s="3145"/>
      <c r="B388" s="3146">
        <v>370</v>
      </c>
      <c r="C388" s="3147">
        <v>15</v>
      </c>
      <c r="D388" s="3148" t="s">
        <v>3782</v>
      </c>
      <c r="E388" s="3147">
        <v>47.65</v>
      </c>
      <c r="F388" s="3147">
        <v>3</v>
      </c>
      <c r="G388" s="3147" t="s">
        <v>3408</v>
      </c>
      <c r="H388" s="3145" t="s">
        <v>21</v>
      </c>
      <c r="I388" s="3133" t="s">
        <v>3710</v>
      </c>
      <c r="J388" s="3133">
        <f>'[3]典型户型修正-办公'!S393</f>
        <v>69</v>
      </c>
      <c r="K388" s="3133">
        <f>'[3]典型户型修正-办公'!R393</f>
        <v>14529</v>
      </c>
    </row>
    <row r="389" spans="1:11">
      <c r="A389" s="3145"/>
      <c r="B389" s="3146">
        <v>371</v>
      </c>
      <c r="C389" s="3147">
        <v>15</v>
      </c>
      <c r="D389" s="3148" t="s">
        <v>3783</v>
      </c>
      <c r="E389" s="3147">
        <v>48.6</v>
      </c>
      <c r="F389" s="3147">
        <v>3</v>
      </c>
      <c r="G389" s="3147" t="s">
        <v>3408</v>
      </c>
      <c r="H389" s="3145" t="s">
        <v>21</v>
      </c>
      <c r="I389" s="3133" t="s">
        <v>3710</v>
      </c>
      <c r="J389" s="3133">
        <f>'[3]典型户型修正-办公'!S394</f>
        <v>71</v>
      </c>
      <c r="K389" s="3133">
        <f>'[3]典型户型修正-办公'!R394</f>
        <v>14529</v>
      </c>
    </row>
    <row r="390" spans="1:11">
      <c r="A390" s="3145"/>
      <c r="B390" s="3146">
        <v>372</v>
      </c>
      <c r="C390" s="3147">
        <v>15</v>
      </c>
      <c r="D390" s="3148" t="s">
        <v>3784</v>
      </c>
      <c r="E390" s="3147">
        <v>48.89</v>
      </c>
      <c r="F390" s="3147">
        <v>3</v>
      </c>
      <c r="G390" s="3147" t="s">
        <v>3408</v>
      </c>
      <c r="H390" s="3145" t="s">
        <v>21</v>
      </c>
      <c r="I390" s="3133" t="s">
        <v>3710</v>
      </c>
      <c r="J390" s="3133">
        <f>'[3]典型户型修正-办公'!S395</f>
        <v>71</v>
      </c>
      <c r="K390" s="3133">
        <f>'[3]典型户型修正-办公'!R395</f>
        <v>14529</v>
      </c>
    </row>
    <row r="391" spans="1:11">
      <c r="A391" s="3145"/>
      <c r="B391" s="3146">
        <v>373</v>
      </c>
      <c r="C391" s="3147">
        <v>15</v>
      </c>
      <c r="D391" s="3148" t="s">
        <v>3785</v>
      </c>
      <c r="E391" s="3147">
        <v>48.59</v>
      </c>
      <c r="F391" s="3147">
        <v>3</v>
      </c>
      <c r="G391" s="3147" t="s">
        <v>3408</v>
      </c>
      <c r="H391" s="3145" t="s">
        <v>21</v>
      </c>
      <c r="I391" s="3133" t="s">
        <v>3710</v>
      </c>
      <c r="J391" s="3133">
        <f>'[3]典型户型修正-办公'!S396</f>
        <v>71</v>
      </c>
      <c r="K391" s="3133">
        <f>'[3]典型户型修正-办公'!R396</f>
        <v>14529</v>
      </c>
    </row>
    <row r="392" spans="1:11">
      <c r="A392" s="3145"/>
      <c r="B392" s="3146">
        <v>374</v>
      </c>
      <c r="C392" s="3147">
        <v>15</v>
      </c>
      <c r="D392" s="3148" t="s">
        <v>3786</v>
      </c>
      <c r="E392" s="3147">
        <v>47.73</v>
      </c>
      <c r="F392" s="3147">
        <v>3</v>
      </c>
      <c r="G392" s="3147" t="s">
        <v>3408</v>
      </c>
      <c r="H392" s="3145" t="s">
        <v>21</v>
      </c>
      <c r="I392" s="3133" t="s">
        <v>3710</v>
      </c>
      <c r="J392" s="3133">
        <f>'[3]典型户型修正-办公'!S397</f>
        <v>69</v>
      </c>
      <c r="K392" s="3133">
        <f>'[3]典型户型修正-办公'!R397</f>
        <v>14529</v>
      </c>
    </row>
    <row r="393" spans="1:11">
      <c r="A393" s="3145"/>
      <c r="B393" s="3146">
        <v>375</v>
      </c>
      <c r="C393" s="3147">
        <v>15</v>
      </c>
      <c r="D393" s="3148" t="s">
        <v>3787</v>
      </c>
      <c r="E393" s="3147">
        <v>70.2</v>
      </c>
      <c r="F393" s="3147">
        <v>3</v>
      </c>
      <c r="G393" s="3147" t="s">
        <v>3408</v>
      </c>
      <c r="H393" s="3145" t="s">
        <v>21</v>
      </c>
      <c r="I393" s="3133" t="s">
        <v>3710</v>
      </c>
      <c r="J393" s="3133">
        <f>'[3]典型户型修正-办公'!S398</f>
        <v>103</v>
      </c>
      <c r="K393" s="3133">
        <f>'[3]典型户型修正-办公'!R398</f>
        <v>14674</v>
      </c>
    </row>
    <row r="394" spans="1:11">
      <c r="A394" s="3145"/>
      <c r="B394" s="3146">
        <v>376</v>
      </c>
      <c r="C394" s="3147">
        <v>16</v>
      </c>
      <c r="D394" s="3148" t="s">
        <v>3788</v>
      </c>
      <c r="E394" s="3147">
        <v>51.46</v>
      </c>
      <c r="F394" s="3147">
        <v>3</v>
      </c>
      <c r="G394" s="3147" t="s">
        <v>3408</v>
      </c>
      <c r="H394" s="3145" t="s">
        <v>21</v>
      </c>
      <c r="I394" s="3133" t="s">
        <v>3710</v>
      </c>
      <c r="J394" s="3133">
        <f>'[3]典型户型修正-办公'!S399</f>
        <v>75</v>
      </c>
      <c r="K394" s="3133">
        <f>'[3]典型户型修正-办公'!R399</f>
        <v>14529</v>
      </c>
    </row>
    <row r="395" spans="1:11">
      <c r="A395" s="3145"/>
      <c r="B395" s="3146">
        <v>377</v>
      </c>
      <c r="C395" s="3147">
        <v>16</v>
      </c>
      <c r="D395" s="3148" t="s">
        <v>3789</v>
      </c>
      <c r="E395" s="3147">
        <v>49.62</v>
      </c>
      <c r="F395" s="3147">
        <v>3</v>
      </c>
      <c r="G395" s="3147" t="s">
        <v>3408</v>
      </c>
      <c r="H395" s="3145" t="s">
        <v>21</v>
      </c>
      <c r="I395" s="3133" t="s">
        <v>3710</v>
      </c>
      <c r="J395" s="3133">
        <f>'[3]典型户型修正-办公'!S400</f>
        <v>72</v>
      </c>
      <c r="K395" s="3133">
        <f>'[3]典型户型修正-办公'!R400</f>
        <v>14529</v>
      </c>
    </row>
    <row r="396" spans="1:11">
      <c r="A396" s="3145"/>
      <c r="B396" s="3146">
        <v>378</v>
      </c>
      <c r="C396" s="3147">
        <v>16</v>
      </c>
      <c r="D396" s="3148" t="s">
        <v>3790</v>
      </c>
      <c r="E396" s="3147">
        <v>49.62</v>
      </c>
      <c r="F396" s="3147">
        <v>3</v>
      </c>
      <c r="G396" s="3147" t="s">
        <v>3408</v>
      </c>
      <c r="H396" s="3145" t="s">
        <v>21</v>
      </c>
      <c r="I396" s="3133" t="s">
        <v>3710</v>
      </c>
      <c r="J396" s="3133">
        <f>'[3]典型户型修正-办公'!S401</f>
        <v>72</v>
      </c>
      <c r="K396" s="3133">
        <f>'[3]典型户型修正-办公'!R401</f>
        <v>14529</v>
      </c>
    </row>
    <row r="397" spans="1:11">
      <c r="A397" s="3145"/>
      <c r="B397" s="3146">
        <v>379</v>
      </c>
      <c r="C397" s="3147">
        <v>16</v>
      </c>
      <c r="D397" s="3148" t="s">
        <v>3791</v>
      </c>
      <c r="E397" s="3147">
        <v>49.62</v>
      </c>
      <c r="F397" s="3147">
        <v>3</v>
      </c>
      <c r="G397" s="3147" t="s">
        <v>3408</v>
      </c>
      <c r="H397" s="3145" t="s">
        <v>21</v>
      </c>
      <c r="I397" s="3133" t="s">
        <v>3710</v>
      </c>
      <c r="J397" s="3133">
        <f>'[3]典型户型修正-办公'!S402</f>
        <v>72</v>
      </c>
      <c r="K397" s="3133">
        <f>'[3]典型户型修正-办公'!R402</f>
        <v>14529</v>
      </c>
    </row>
    <row r="398" spans="1:11">
      <c r="A398" s="3145"/>
      <c r="B398" s="3146">
        <v>380</v>
      </c>
      <c r="C398" s="3147">
        <v>16</v>
      </c>
      <c r="D398" s="3148" t="s">
        <v>3792</v>
      </c>
      <c r="E398" s="3147">
        <v>49.62</v>
      </c>
      <c r="F398" s="3147">
        <v>3</v>
      </c>
      <c r="G398" s="3147" t="s">
        <v>3408</v>
      </c>
      <c r="H398" s="3145" t="s">
        <v>21</v>
      </c>
      <c r="I398" s="3133" t="s">
        <v>3710</v>
      </c>
      <c r="J398" s="3133">
        <f>'[3]典型户型修正-办公'!S403</f>
        <v>72</v>
      </c>
      <c r="K398" s="3133">
        <f>'[3]典型户型修正-办公'!R403</f>
        <v>14529</v>
      </c>
    </row>
    <row r="399" spans="1:11">
      <c r="A399" s="3145"/>
      <c r="B399" s="3146">
        <v>381</v>
      </c>
      <c r="C399" s="3147">
        <v>16</v>
      </c>
      <c r="D399" s="3148" t="s">
        <v>3793</v>
      </c>
      <c r="E399" s="3147">
        <v>49.62</v>
      </c>
      <c r="F399" s="3147">
        <v>3</v>
      </c>
      <c r="G399" s="3147" t="s">
        <v>3408</v>
      </c>
      <c r="H399" s="3145" t="s">
        <v>21</v>
      </c>
      <c r="I399" s="3133" t="s">
        <v>3710</v>
      </c>
      <c r="J399" s="3133">
        <f>'[3]典型户型修正-办公'!S404</f>
        <v>72</v>
      </c>
      <c r="K399" s="3133">
        <f>'[3]典型户型修正-办公'!R404</f>
        <v>14529</v>
      </c>
    </row>
    <row r="400" spans="1:11">
      <c r="A400" s="3145"/>
      <c r="B400" s="3146">
        <v>382</v>
      </c>
      <c r="C400" s="3147">
        <v>16</v>
      </c>
      <c r="D400" s="3148" t="s">
        <v>3794</v>
      </c>
      <c r="E400" s="3147">
        <v>49.62</v>
      </c>
      <c r="F400" s="3147">
        <v>3</v>
      </c>
      <c r="G400" s="3147" t="s">
        <v>3408</v>
      </c>
      <c r="H400" s="3145" t="s">
        <v>21</v>
      </c>
      <c r="I400" s="3133" t="s">
        <v>3710</v>
      </c>
      <c r="J400" s="3133">
        <f>'[3]典型户型修正-办公'!S405</f>
        <v>72</v>
      </c>
      <c r="K400" s="3133">
        <f>'[3]典型户型修正-办公'!R405</f>
        <v>14529</v>
      </c>
    </row>
    <row r="401" spans="1:11">
      <c r="A401" s="3145"/>
      <c r="B401" s="3146">
        <v>383</v>
      </c>
      <c r="C401" s="3147">
        <v>16</v>
      </c>
      <c r="D401" s="3148" t="s">
        <v>3795</v>
      </c>
      <c r="E401" s="3147">
        <v>49.62</v>
      </c>
      <c r="F401" s="3147">
        <v>3</v>
      </c>
      <c r="G401" s="3147" t="s">
        <v>3408</v>
      </c>
      <c r="H401" s="3145" t="s">
        <v>21</v>
      </c>
      <c r="I401" s="3133" t="s">
        <v>3710</v>
      </c>
      <c r="J401" s="3133">
        <f>'[3]典型户型修正-办公'!S406</f>
        <v>72</v>
      </c>
      <c r="K401" s="3133">
        <f>'[3]典型户型修正-办公'!R406</f>
        <v>14529</v>
      </c>
    </row>
    <row r="402" spans="1:11">
      <c r="A402" s="3145"/>
      <c r="B402" s="3146">
        <v>384</v>
      </c>
      <c r="C402" s="3147">
        <v>16</v>
      </c>
      <c r="D402" s="3148" t="s">
        <v>3796</v>
      </c>
      <c r="E402" s="3147">
        <v>49.62</v>
      </c>
      <c r="F402" s="3147">
        <v>3</v>
      </c>
      <c r="G402" s="3147" t="s">
        <v>3408</v>
      </c>
      <c r="H402" s="3145" t="s">
        <v>21</v>
      </c>
      <c r="I402" s="3133" t="s">
        <v>3710</v>
      </c>
      <c r="J402" s="3133">
        <f>'[3]典型户型修正-办公'!S407</f>
        <v>72</v>
      </c>
      <c r="K402" s="3133">
        <f>'[3]典型户型修正-办公'!R407</f>
        <v>14529</v>
      </c>
    </row>
    <row r="403" spans="1:11">
      <c r="A403" s="3145"/>
      <c r="B403" s="3146">
        <v>385</v>
      </c>
      <c r="C403" s="3147">
        <v>16</v>
      </c>
      <c r="D403" s="3148" t="s">
        <v>3797</v>
      </c>
      <c r="E403" s="3147">
        <v>49.62</v>
      </c>
      <c r="F403" s="3147">
        <v>3</v>
      </c>
      <c r="G403" s="3147" t="s">
        <v>3408</v>
      </c>
      <c r="H403" s="3145" t="s">
        <v>21</v>
      </c>
      <c r="I403" s="3133" t="s">
        <v>3710</v>
      </c>
      <c r="J403" s="3133">
        <f>'[3]典型户型修正-办公'!S408</f>
        <v>72</v>
      </c>
      <c r="K403" s="3133">
        <f>'[3]典型户型修正-办公'!R408</f>
        <v>14529</v>
      </c>
    </row>
    <row r="404" spans="1:11">
      <c r="A404" s="3145"/>
      <c r="B404" s="3146">
        <v>386</v>
      </c>
      <c r="C404" s="3147">
        <v>16</v>
      </c>
      <c r="D404" s="3148" t="s">
        <v>3798</v>
      </c>
      <c r="E404" s="3147">
        <v>49.62</v>
      </c>
      <c r="F404" s="3147">
        <v>3</v>
      </c>
      <c r="G404" s="3147" t="s">
        <v>3408</v>
      </c>
      <c r="H404" s="3145" t="s">
        <v>21</v>
      </c>
      <c r="I404" s="3133" t="s">
        <v>3710</v>
      </c>
      <c r="J404" s="3133">
        <f>'[3]典型户型修正-办公'!S409</f>
        <v>72</v>
      </c>
      <c r="K404" s="3133">
        <f>'[3]典型户型修正-办公'!R409</f>
        <v>14529</v>
      </c>
    </row>
    <row r="405" spans="1:11">
      <c r="A405" s="3145"/>
      <c r="B405" s="3146">
        <v>387</v>
      </c>
      <c r="C405" s="3147">
        <v>16</v>
      </c>
      <c r="D405" s="3148" t="s">
        <v>3799</v>
      </c>
      <c r="E405" s="3147">
        <v>49.62</v>
      </c>
      <c r="F405" s="3147">
        <v>3</v>
      </c>
      <c r="G405" s="3147" t="s">
        <v>3408</v>
      </c>
      <c r="H405" s="3145" t="s">
        <v>21</v>
      </c>
      <c r="I405" s="3133" t="s">
        <v>3710</v>
      </c>
      <c r="J405" s="3133">
        <f>'[3]典型户型修正-办公'!S410</f>
        <v>72</v>
      </c>
      <c r="K405" s="3133">
        <f>'[3]典型户型修正-办公'!R410</f>
        <v>14529</v>
      </c>
    </row>
    <row r="406" spans="1:11">
      <c r="A406" s="3145"/>
      <c r="B406" s="3146">
        <v>388</v>
      </c>
      <c r="C406" s="3147">
        <v>16</v>
      </c>
      <c r="D406" s="3148" t="s">
        <v>3800</v>
      </c>
      <c r="E406" s="3147">
        <v>49.62</v>
      </c>
      <c r="F406" s="3147">
        <v>3</v>
      </c>
      <c r="G406" s="3147" t="s">
        <v>3408</v>
      </c>
      <c r="H406" s="3145" t="s">
        <v>21</v>
      </c>
      <c r="I406" s="3133" t="s">
        <v>3710</v>
      </c>
      <c r="J406" s="3133">
        <f>'[3]典型户型修正-办公'!S411</f>
        <v>72</v>
      </c>
      <c r="K406" s="3133">
        <f>'[3]典型户型修正-办公'!R411</f>
        <v>14529</v>
      </c>
    </row>
    <row r="407" spans="1:11">
      <c r="A407" s="3145"/>
      <c r="B407" s="3146">
        <v>389</v>
      </c>
      <c r="C407" s="3147">
        <v>16</v>
      </c>
      <c r="D407" s="3148" t="s">
        <v>3801</v>
      </c>
      <c r="E407" s="3147">
        <v>49.62</v>
      </c>
      <c r="F407" s="3147">
        <v>3</v>
      </c>
      <c r="G407" s="3147" t="s">
        <v>3408</v>
      </c>
      <c r="H407" s="3145" t="s">
        <v>21</v>
      </c>
      <c r="I407" s="3133" t="s">
        <v>3710</v>
      </c>
      <c r="J407" s="3133">
        <f>'[3]典型户型修正-办公'!S412</f>
        <v>72</v>
      </c>
      <c r="K407" s="3133">
        <f>'[3]典型户型修正-办公'!R412</f>
        <v>14529</v>
      </c>
    </row>
    <row r="408" spans="1:11">
      <c r="A408" s="3145"/>
      <c r="B408" s="3146">
        <v>390</v>
      </c>
      <c r="C408" s="3147">
        <v>16</v>
      </c>
      <c r="D408" s="3148" t="s">
        <v>3802</v>
      </c>
      <c r="E408" s="3147">
        <v>49.62</v>
      </c>
      <c r="F408" s="3147">
        <v>3</v>
      </c>
      <c r="G408" s="3147" t="s">
        <v>3408</v>
      </c>
      <c r="H408" s="3145" t="s">
        <v>21</v>
      </c>
      <c r="I408" s="3133" t="s">
        <v>3710</v>
      </c>
      <c r="J408" s="3133">
        <f>'[3]典型户型修正-办公'!S413</f>
        <v>72</v>
      </c>
      <c r="K408" s="3133">
        <f>'[3]典型户型修正-办公'!R413</f>
        <v>14529</v>
      </c>
    </row>
    <row r="409" spans="1:11">
      <c r="A409" s="3145"/>
      <c r="B409" s="3146">
        <v>391</v>
      </c>
      <c r="C409" s="3147">
        <v>16</v>
      </c>
      <c r="D409" s="3148" t="s">
        <v>3803</v>
      </c>
      <c r="E409" s="3147">
        <v>68.78</v>
      </c>
      <c r="F409" s="3147">
        <v>3</v>
      </c>
      <c r="G409" s="3147" t="s">
        <v>3408</v>
      </c>
      <c r="H409" s="3145" t="s">
        <v>21</v>
      </c>
      <c r="I409" s="3133" t="s">
        <v>3710</v>
      </c>
      <c r="J409" s="3133">
        <f>'[3]典型户型修正-办公'!S414</f>
        <v>101</v>
      </c>
      <c r="K409" s="3133">
        <f>'[3]典型户型修正-办公'!R414</f>
        <v>14674</v>
      </c>
    </row>
    <row r="410" spans="1:11">
      <c r="A410" s="3145"/>
      <c r="B410" s="3146">
        <v>392</v>
      </c>
      <c r="C410" s="3147">
        <v>16</v>
      </c>
      <c r="D410" s="3148" t="s">
        <v>3804</v>
      </c>
      <c r="E410" s="3147">
        <v>38.1</v>
      </c>
      <c r="F410" s="3147">
        <v>3</v>
      </c>
      <c r="G410" s="3147" t="s">
        <v>3408</v>
      </c>
      <c r="H410" s="3145" t="s">
        <v>21</v>
      </c>
      <c r="I410" s="3133" t="s">
        <v>3710</v>
      </c>
      <c r="J410" s="3133">
        <f>'[3]典型户型修正-办公'!S415</f>
        <v>55</v>
      </c>
      <c r="K410" s="3133">
        <f>'[3]典型户型修正-办公'!R415</f>
        <v>14529</v>
      </c>
    </row>
    <row r="411" spans="1:11">
      <c r="A411" s="3145"/>
      <c r="B411" s="3146">
        <v>393</v>
      </c>
      <c r="C411" s="3147">
        <v>16</v>
      </c>
      <c r="D411" s="3148" t="s">
        <v>3805</v>
      </c>
      <c r="E411" s="3147">
        <v>41.4</v>
      </c>
      <c r="F411" s="3147">
        <v>3</v>
      </c>
      <c r="G411" s="3147" t="s">
        <v>3408</v>
      </c>
      <c r="H411" s="3145" t="s">
        <v>21</v>
      </c>
      <c r="I411" s="3133" t="s">
        <v>3710</v>
      </c>
      <c r="J411" s="3133">
        <f>'[3]典型户型修正-办公'!S416</f>
        <v>60</v>
      </c>
      <c r="K411" s="3133">
        <f>'[3]典型户型修正-办公'!R416</f>
        <v>14529</v>
      </c>
    </row>
    <row r="412" spans="1:11">
      <c r="A412" s="3145"/>
      <c r="B412" s="3146">
        <v>394</v>
      </c>
      <c r="C412" s="3147">
        <v>16</v>
      </c>
      <c r="D412" s="3148" t="s">
        <v>3806</v>
      </c>
      <c r="E412" s="3147">
        <v>44.09</v>
      </c>
      <c r="F412" s="3147">
        <v>3</v>
      </c>
      <c r="G412" s="3147" t="s">
        <v>3408</v>
      </c>
      <c r="H412" s="3145" t="s">
        <v>21</v>
      </c>
      <c r="I412" s="3133" t="s">
        <v>3710</v>
      </c>
      <c r="J412" s="3133">
        <f>'[3]典型户型修正-办公'!S417</f>
        <v>64</v>
      </c>
      <c r="K412" s="3133">
        <f>'[3]典型户型修正-办公'!R417</f>
        <v>14529</v>
      </c>
    </row>
    <row r="413" spans="1:11">
      <c r="A413" s="3145"/>
      <c r="B413" s="3146">
        <v>395</v>
      </c>
      <c r="C413" s="3147">
        <v>16</v>
      </c>
      <c r="D413" s="3148" t="s">
        <v>3807</v>
      </c>
      <c r="E413" s="3147">
        <v>46.17</v>
      </c>
      <c r="F413" s="3147">
        <v>3</v>
      </c>
      <c r="G413" s="3147" t="s">
        <v>3408</v>
      </c>
      <c r="H413" s="3145" t="s">
        <v>21</v>
      </c>
      <c r="I413" s="3133" t="s">
        <v>3710</v>
      </c>
      <c r="J413" s="3133">
        <f>'[3]典型户型修正-办公'!S418</f>
        <v>67</v>
      </c>
      <c r="K413" s="3133">
        <f>'[3]典型户型修正-办公'!R418</f>
        <v>14529</v>
      </c>
    </row>
    <row r="414" spans="1:11">
      <c r="A414" s="3145"/>
      <c r="B414" s="3146">
        <v>396</v>
      </c>
      <c r="C414" s="3147">
        <v>16</v>
      </c>
      <c r="D414" s="3148" t="s">
        <v>3808</v>
      </c>
      <c r="E414" s="3147">
        <v>47.65</v>
      </c>
      <c r="F414" s="3147">
        <v>3</v>
      </c>
      <c r="G414" s="3147" t="s">
        <v>3408</v>
      </c>
      <c r="H414" s="3145" t="s">
        <v>21</v>
      </c>
      <c r="I414" s="3133" t="s">
        <v>3710</v>
      </c>
      <c r="J414" s="3133">
        <f>'[3]典型户型修正-办公'!S419</f>
        <v>69</v>
      </c>
      <c r="K414" s="3133">
        <f>'[3]典型户型修正-办公'!R419</f>
        <v>14529</v>
      </c>
    </row>
    <row r="415" spans="1:11">
      <c r="A415" s="3145"/>
      <c r="B415" s="3146">
        <v>397</v>
      </c>
      <c r="C415" s="3147">
        <v>16</v>
      </c>
      <c r="D415" s="3148" t="s">
        <v>3809</v>
      </c>
      <c r="E415" s="3147">
        <v>48.6</v>
      </c>
      <c r="F415" s="3147">
        <v>3</v>
      </c>
      <c r="G415" s="3147" t="s">
        <v>3408</v>
      </c>
      <c r="H415" s="3145" t="s">
        <v>21</v>
      </c>
      <c r="I415" s="3133" t="s">
        <v>3710</v>
      </c>
      <c r="J415" s="3133">
        <f>'[3]典型户型修正-办公'!S420</f>
        <v>71</v>
      </c>
      <c r="K415" s="3133">
        <f>'[3]典型户型修正-办公'!R420</f>
        <v>14529</v>
      </c>
    </row>
    <row r="416" spans="1:11">
      <c r="A416" s="3145"/>
      <c r="B416" s="3146">
        <v>398</v>
      </c>
      <c r="C416" s="3147">
        <v>16</v>
      </c>
      <c r="D416" s="3148" t="s">
        <v>3810</v>
      </c>
      <c r="E416" s="3147">
        <v>48.89</v>
      </c>
      <c r="F416" s="3147">
        <v>3</v>
      </c>
      <c r="G416" s="3147" t="s">
        <v>3408</v>
      </c>
      <c r="H416" s="3145" t="s">
        <v>21</v>
      </c>
      <c r="I416" s="3133" t="s">
        <v>3710</v>
      </c>
      <c r="J416" s="3133">
        <f>'[3]典型户型修正-办公'!S421</f>
        <v>71</v>
      </c>
      <c r="K416" s="3133">
        <f>'[3]典型户型修正-办公'!R421</f>
        <v>14529</v>
      </c>
    </row>
    <row r="417" spans="1:11">
      <c r="A417" s="3145"/>
      <c r="B417" s="3146">
        <v>399</v>
      </c>
      <c r="C417" s="3147">
        <v>16</v>
      </c>
      <c r="D417" s="3148" t="s">
        <v>3811</v>
      </c>
      <c r="E417" s="3147">
        <v>48.59</v>
      </c>
      <c r="F417" s="3147">
        <v>3</v>
      </c>
      <c r="G417" s="3147" t="s">
        <v>3408</v>
      </c>
      <c r="H417" s="3145" t="s">
        <v>21</v>
      </c>
      <c r="I417" s="3133" t="s">
        <v>3710</v>
      </c>
      <c r="J417" s="3133">
        <f>'[3]典型户型修正-办公'!S422</f>
        <v>71</v>
      </c>
      <c r="K417" s="3133">
        <f>'[3]典型户型修正-办公'!R422</f>
        <v>14529</v>
      </c>
    </row>
    <row r="418" spans="1:11">
      <c r="A418" s="3145"/>
      <c r="B418" s="3146">
        <v>400</v>
      </c>
      <c r="C418" s="3147">
        <v>16</v>
      </c>
      <c r="D418" s="3148" t="s">
        <v>3812</v>
      </c>
      <c r="E418" s="3147">
        <v>47.73</v>
      </c>
      <c r="F418" s="3147">
        <v>3</v>
      </c>
      <c r="G418" s="3147" t="s">
        <v>3408</v>
      </c>
      <c r="H418" s="3145" t="s">
        <v>21</v>
      </c>
      <c r="I418" s="3133" t="s">
        <v>3710</v>
      </c>
      <c r="J418" s="3133">
        <f>'[3]典型户型修正-办公'!S423</f>
        <v>69</v>
      </c>
      <c r="K418" s="3133">
        <f>'[3]典型户型修正-办公'!R423</f>
        <v>14529</v>
      </c>
    </row>
    <row r="419" spans="1:11">
      <c r="A419" s="3145"/>
      <c r="B419" s="3146">
        <v>401</v>
      </c>
      <c r="C419" s="3147">
        <v>16</v>
      </c>
      <c r="D419" s="3148" t="s">
        <v>3813</v>
      </c>
      <c r="E419" s="3147">
        <v>70.2</v>
      </c>
      <c r="F419" s="3147">
        <v>3</v>
      </c>
      <c r="G419" s="3147" t="s">
        <v>3408</v>
      </c>
      <c r="H419" s="3145" t="s">
        <v>21</v>
      </c>
      <c r="I419" s="3133" t="s">
        <v>3710</v>
      </c>
      <c r="J419" s="3133">
        <f>'[3]典型户型修正-办公'!S424</f>
        <v>103</v>
      </c>
      <c r="K419" s="3133">
        <f>'[3]典型户型修正-办公'!R424</f>
        <v>14674</v>
      </c>
    </row>
    <row r="420" spans="1:11">
      <c r="A420" s="3145" t="s">
        <v>3814</v>
      </c>
      <c r="B420" s="3146">
        <v>402</v>
      </c>
      <c r="C420" s="3146">
        <v>2</v>
      </c>
      <c r="D420" s="3149">
        <v>215</v>
      </c>
      <c r="E420" s="3150">
        <v>68.94</v>
      </c>
      <c r="F420" s="3146">
        <v>5.3</v>
      </c>
      <c r="G420" s="3146" t="s">
        <v>3394</v>
      </c>
      <c r="H420" s="3145" t="s">
        <v>3815</v>
      </c>
      <c r="I420" s="3133" t="s">
        <v>3409</v>
      </c>
      <c r="J420" s="3133">
        <f>'[3]典型户型修正-办公'!S465</f>
        <v>110</v>
      </c>
      <c r="K420" s="3133">
        <f>'[3]典型户型修正-办公'!R465</f>
        <v>15985</v>
      </c>
    </row>
    <row r="421" spans="1:11">
      <c r="A421" s="3145" t="s">
        <v>3815</v>
      </c>
      <c r="B421" s="3146">
        <v>403</v>
      </c>
      <c r="C421" s="3146">
        <v>2</v>
      </c>
      <c r="D421" s="3149">
        <v>218</v>
      </c>
      <c r="E421" s="3150">
        <v>45.57</v>
      </c>
      <c r="F421" s="3146">
        <v>5.3</v>
      </c>
      <c r="G421" s="3146" t="s">
        <v>3394</v>
      </c>
      <c r="H421" s="3145" t="s">
        <v>3815</v>
      </c>
      <c r="I421" s="3133" t="s">
        <v>3409</v>
      </c>
      <c r="J421" s="3133">
        <f>'[3]典型户型修正-办公'!S468</f>
        <v>72</v>
      </c>
      <c r="K421" s="3133">
        <f>'[3]典型户型修正-办公'!R468</f>
        <v>15827</v>
      </c>
    </row>
    <row r="422" spans="1:11">
      <c r="A422" s="3145" t="s">
        <v>3816</v>
      </c>
      <c r="B422" s="3146">
        <v>404</v>
      </c>
      <c r="C422" s="3146">
        <v>6</v>
      </c>
      <c r="D422" s="3149">
        <v>609</v>
      </c>
      <c r="E422" s="3150">
        <v>49.74</v>
      </c>
      <c r="F422" s="3146">
        <v>3</v>
      </c>
      <c r="G422" s="3146" t="s">
        <v>3408</v>
      </c>
      <c r="H422" s="3145" t="s">
        <v>3815</v>
      </c>
      <c r="I422" s="3133" t="s">
        <v>3553</v>
      </c>
      <c r="J422" s="3133">
        <f>'[3]典型户型修正-办公'!S555</f>
        <v>73</v>
      </c>
      <c r="K422" s="3133">
        <f>'[3]典型户型修正-办公'!R555</f>
        <v>14604</v>
      </c>
    </row>
    <row r="423" spans="1:11">
      <c r="A423" s="3151"/>
      <c r="B423" s="3146">
        <v>405</v>
      </c>
      <c r="C423" s="3146">
        <v>9</v>
      </c>
      <c r="D423" s="3152">
        <v>914</v>
      </c>
      <c r="E423" s="3150">
        <v>49.74</v>
      </c>
      <c r="F423" s="3146">
        <v>3</v>
      </c>
      <c r="G423" s="3146" t="s">
        <v>3408</v>
      </c>
      <c r="H423" s="3145" t="s">
        <v>3815</v>
      </c>
      <c r="I423" s="3133" t="s">
        <v>3553</v>
      </c>
      <c r="J423" s="3133">
        <f>'[3]典型户型修正-办公'!S632</f>
        <v>73</v>
      </c>
      <c r="K423" s="3133">
        <f>'[3]典型户型修正-办公'!R632</f>
        <v>14604</v>
      </c>
    </row>
    <row r="424" spans="1:11">
      <c r="A424" s="3151"/>
      <c r="B424" s="3146">
        <v>406</v>
      </c>
      <c r="C424" s="3146">
        <v>12</v>
      </c>
      <c r="D424" s="3149">
        <v>1204</v>
      </c>
      <c r="E424" s="3150">
        <v>49.74</v>
      </c>
      <c r="F424" s="3146">
        <v>3</v>
      </c>
      <c r="G424" s="3146" t="s">
        <v>3408</v>
      </c>
      <c r="H424" s="3145" t="s">
        <v>3815</v>
      </c>
      <c r="I424" s="3133" t="s">
        <v>3710</v>
      </c>
      <c r="J424" s="3133">
        <f>'[3]典型户型修正-办公'!S694</f>
        <v>74</v>
      </c>
      <c r="K424" s="3133">
        <f>'[3]典型户型修正-办公'!R694</f>
        <v>14820</v>
      </c>
    </row>
    <row r="425" spans="1:11">
      <c r="A425" s="3151"/>
      <c r="B425" s="3146">
        <v>407</v>
      </c>
      <c r="C425" s="3146">
        <v>12</v>
      </c>
      <c r="D425" s="3149">
        <v>1205</v>
      </c>
      <c r="E425" s="3150">
        <v>49.74</v>
      </c>
      <c r="F425" s="3146">
        <v>3</v>
      </c>
      <c r="G425" s="3146" t="s">
        <v>3408</v>
      </c>
      <c r="H425" s="3145" t="s">
        <v>3815</v>
      </c>
      <c r="I425" s="3133" t="s">
        <v>3710</v>
      </c>
      <c r="J425" s="3133">
        <f>'[3]典型户型修正-办公'!S695</f>
        <v>74</v>
      </c>
      <c r="K425" s="3133">
        <f>'[3]典型户型修正-办公'!R695</f>
        <v>14820</v>
      </c>
    </row>
    <row r="426" spans="1:11">
      <c r="A426" s="3151"/>
      <c r="B426" s="3146">
        <v>408</v>
      </c>
      <c r="C426" s="3146">
        <v>12</v>
      </c>
      <c r="D426" s="3149">
        <v>1206</v>
      </c>
      <c r="E426" s="3150">
        <v>49.74</v>
      </c>
      <c r="F426" s="3146">
        <v>3</v>
      </c>
      <c r="G426" s="3146" t="s">
        <v>3408</v>
      </c>
      <c r="H426" s="3145" t="s">
        <v>3815</v>
      </c>
      <c r="I426" s="3133" t="s">
        <v>3710</v>
      </c>
      <c r="J426" s="3133">
        <f>'[3]典型户型修正-办公'!S696</f>
        <v>74</v>
      </c>
      <c r="K426" s="3133">
        <f>'[3]典型户型修正-办公'!R696</f>
        <v>14820</v>
      </c>
    </row>
    <row r="427" spans="1:11">
      <c r="A427" s="3151"/>
      <c r="B427" s="3146">
        <v>409</v>
      </c>
      <c r="C427" s="3146">
        <v>12</v>
      </c>
      <c r="D427" s="3149">
        <v>1207</v>
      </c>
      <c r="E427" s="3150">
        <v>49.74</v>
      </c>
      <c r="F427" s="3146">
        <v>3</v>
      </c>
      <c r="G427" s="3146" t="s">
        <v>3408</v>
      </c>
      <c r="H427" s="3145" t="s">
        <v>3815</v>
      </c>
      <c r="I427" s="3133" t="s">
        <v>3710</v>
      </c>
      <c r="J427" s="3133">
        <f>'[3]典型户型修正-办公'!S697</f>
        <v>74</v>
      </c>
      <c r="K427" s="3133">
        <f>'[3]典型户型修正-办公'!R697</f>
        <v>14820</v>
      </c>
    </row>
    <row r="428" spans="1:11">
      <c r="A428" s="3151"/>
      <c r="B428" s="3146">
        <v>410</v>
      </c>
      <c r="C428" s="3146">
        <v>12</v>
      </c>
      <c r="D428" s="3149">
        <v>1208</v>
      </c>
      <c r="E428" s="3150">
        <v>49.74</v>
      </c>
      <c r="F428" s="3146">
        <v>3</v>
      </c>
      <c r="G428" s="3146" t="s">
        <v>3408</v>
      </c>
      <c r="H428" s="3145" t="s">
        <v>3815</v>
      </c>
      <c r="I428" s="3133" t="s">
        <v>3710</v>
      </c>
      <c r="J428" s="3133">
        <f>'[3]典型户型修正-办公'!S698</f>
        <v>74</v>
      </c>
      <c r="K428" s="3133">
        <f>'[3]典型户型修正-办公'!R698</f>
        <v>14820</v>
      </c>
    </row>
    <row r="429" spans="1:11">
      <c r="A429" s="3151"/>
      <c r="B429" s="3146">
        <v>411</v>
      </c>
      <c r="C429" s="3146">
        <v>12</v>
      </c>
      <c r="D429" s="3149">
        <v>1209</v>
      </c>
      <c r="E429" s="3150">
        <v>49.74</v>
      </c>
      <c r="F429" s="3146">
        <v>3</v>
      </c>
      <c r="G429" s="3146" t="s">
        <v>3408</v>
      </c>
      <c r="H429" s="3145" t="s">
        <v>3815</v>
      </c>
      <c r="I429" s="3133" t="s">
        <v>3710</v>
      </c>
      <c r="J429" s="3133">
        <f>'[3]典型户型修正-办公'!S699</f>
        <v>74</v>
      </c>
      <c r="K429" s="3133">
        <f>'[3]典型户型修正-办公'!R699</f>
        <v>14820</v>
      </c>
    </row>
    <row r="430" spans="1:11">
      <c r="A430" s="3151"/>
      <c r="B430" s="3146">
        <v>412</v>
      </c>
      <c r="C430" s="3146">
        <v>12</v>
      </c>
      <c r="D430" s="3149">
        <v>1210</v>
      </c>
      <c r="E430" s="3150">
        <v>49.74</v>
      </c>
      <c r="F430" s="3146">
        <v>3</v>
      </c>
      <c r="G430" s="3146" t="s">
        <v>3408</v>
      </c>
      <c r="H430" s="3145" t="s">
        <v>3815</v>
      </c>
      <c r="I430" s="3133" t="s">
        <v>3710</v>
      </c>
      <c r="J430" s="3133">
        <f>'[3]典型户型修正-办公'!S700</f>
        <v>74</v>
      </c>
      <c r="K430" s="3133">
        <f>'[3]典型户型修正-办公'!R700</f>
        <v>14820</v>
      </c>
    </row>
    <row r="431" spans="1:11">
      <c r="A431" s="3151"/>
      <c r="B431" s="3146">
        <v>413</v>
      </c>
      <c r="C431" s="3146">
        <v>12</v>
      </c>
      <c r="D431" s="3149">
        <v>1211</v>
      </c>
      <c r="E431" s="3150">
        <v>49.74</v>
      </c>
      <c r="F431" s="3146">
        <v>3</v>
      </c>
      <c r="G431" s="3146" t="s">
        <v>3408</v>
      </c>
      <c r="H431" s="3145" t="s">
        <v>3815</v>
      </c>
      <c r="I431" s="3133" t="s">
        <v>3710</v>
      </c>
      <c r="J431" s="3133">
        <f>'[3]典型户型修正-办公'!S701</f>
        <v>74</v>
      </c>
      <c r="K431" s="3133">
        <f>'[3]典型户型修正-办公'!R701</f>
        <v>14820</v>
      </c>
    </row>
    <row r="432" spans="1:11">
      <c r="A432" s="3151"/>
      <c r="B432" s="3146">
        <v>414</v>
      </c>
      <c r="C432" s="3146">
        <v>12</v>
      </c>
      <c r="D432" s="3149">
        <v>1219</v>
      </c>
      <c r="E432" s="3150">
        <v>46.28</v>
      </c>
      <c r="F432" s="3146">
        <v>3</v>
      </c>
      <c r="G432" s="3146" t="s">
        <v>3408</v>
      </c>
      <c r="H432" s="3145" t="s">
        <v>3815</v>
      </c>
      <c r="I432" s="3133" t="s">
        <v>3710</v>
      </c>
      <c r="J432" s="3133">
        <f>'[3]典型户型修正-办公'!S709</f>
        <v>69</v>
      </c>
      <c r="K432" s="3133">
        <f>'[3]典型户型修正-办公'!R709</f>
        <v>14820</v>
      </c>
    </row>
    <row r="433" spans="1:11">
      <c r="A433" s="3151"/>
      <c r="B433" s="3146">
        <v>415</v>
      </c>
      <c r="C433" s="3146">
        <v>12</v>
      </c>
      <c r="D433" s="3149">
        <v>1221</v>
      </c>
      <c r="E433" s="3150">
        <v>48.71</v>
      </c>
      <c r="F433" s="3146">
        <v>3</v>
      </c>
      <c r="G433" s="3146" t="s">
        <v>3408</v>
      </c>
      <c r="H433" s="3145" t="s">
        <v>3815</v>
      </c>
      <c r="I433" s="3133" t="s">
        <v>3710</v>
      </c>
      <c r="J433" s="3133">
        <f>'[3]典型户型修正-办公'!S711</f>
        <v>72</v>
      </c>
      <c r="K433" s="3133">
        <f>'[3]典型户型修正-办公'!R711</f>
        <v>14820</v>
      </c>
    </row>
    <row r="434" spans="1:11">
      <c r="A434" s="3151"/>
      <c r="B434" s="3146">
        <v>416</v>
      </c>
      <c r="C434" s="3146">
        <v>13</v>
      </c>
      <c r="D434" s="3149">
        <v>1302</v>
      </c>
      <c r="E434" s="3150">
        <v>49.74</v>
      </c>
      <c r="F434" s="3146">
        <v>3</v>
      </c>
      <c r="G434" s="3146" t="s">
        <v>3408</v>
      </c>
      <c r="H434" s="3145" t="s">
        <v>3815</v>
      </c>
      <c r="I434" s="3133" t="s">
        <v>3710</v>
      </c>
      <c r="J434" s="3133">
        <f>'[3]典型户型修正-办公'!S716</f>
        <v>74</v>
      </c>
      <c r="K434" s="3133">
        <f>'[3]典型户型修正-办公'!R716</f>
        <v>14820</v>
      </c>
    </row>
    <row r="435" spans="1:11">
      <c r="A435" s="3151"/>
      <c r="B435" s="3146">
        <v>417</v>
      </c>
      <c r="C435" s="3146">
        <v>13</v>
      </c>
      <c r="D435" s="3149">
        <v>1303</v>
      </c>
      <c r="E435" s="3150">
        <v>49.74</v>
      </c>
      <c r="F435" s="3146">
        <v>3</v>
      </c>
      <c r="G435" s="3146" t="s">
        <v>3408</v>
      </c>
      <c r="H435" s="3145" t="s">
        <v>3815</v>
      </c>
      <c r="I435" s="3133" t="s">
        <v>3710</v>
      </c>
      <c r="J435" s="3133">
        <f>'[3]典型户型修正-办公'!S717</f>
        <v>74</v>
      </c>
      <c r="K435" s="3133">
        <f>'[3]典型户型修正-办公'!R717</f>
        <v>14820</v>
      </c>
    </row>
    <row r="436" spans="1:11">
      <c r="A436" s="3151"/>
      <c r="B436" s="3146">
        <v>418</v>
      </c>
      <c r="C436" s="3146">
        <v>13</v>
      </c>
      <c r="D436" s="3149">
        <v>1304</v>
      </c>
      <c r="E436" s="3150">
        <v>49.74</v>
      </c>
      <c r="F436" s="3146">
        <v>3</v>
      </c>
      <c r="G436" s="3146" t="s">
        <v>3408</v>
      </c>
      <c r="H436" s="3145" t="s">
        <v>3815</v>
      </c>
      <c r="I436" s="3133" t="s">
        <v>3710</v>
      </c>
      <c r="J436" s="3133">
        <f>'[3]典型户型修正-办公'!S718</f>
        <v>74</v>
      </c>
      <c r="K436" s="3133">
        <f>'[3]典型户型修正-办公'!R718</f>
        <v>14820</v>
      </c>
    </row>
    <row r="437" spans="1:11">
      <c r="A437" s="3151"/>
      <c r="B437" s="3146">
        <v>419</v>
      </c>
      <c r="C437" s="3146">
        <v>13</v>
      </c>
      <c r="D437" s="3149">
        <v>1305</v>
      </c>
      <c r="E437" s="3150">
        <v>49.74</v>
      </c>
      <c r="F437" s="3146">
        <v>3</v>
      </c>
      <c r="G437" s="3146" t="s">
        <v>3408</v>
      </c>
      <c r="H437" s="3145" t="s">
        <v>3815</v>
      </c>
      <c r="I437" s="3133" t="s">
        <v>3710</v>
      </c>
      <c r="J437" s="3133">
        <f>'[3]典型户型修正-办公'!S719</f>
        <v>74</v>
      </c>
      <c r="K437" s="3133">
        <f>'[3]典型户型修正-办公'!R719</f>
        <v>14820</v>
      </c>
    </row>
    <row r="438" spans="1:11">
      <c r="A438" s="3151"/>
      <c r="B438" s="3146">
        <v>420</v>
      </c>
      <c r="C438" s="3146">
        <v>13</v>
      </c>
      <c r="D438" s="3149">
        <v>1306</v>
      </c>
      <c r="E438" s="3150">
        <v>49.74</v>
      </c>
      <c r="F438" s="3146">
        <v>3</v>
      </c>
      <c r="G438" s="3146" t="s">
        <v>3408</v>
      </c>
      <c r="H438" s="3145" t="s">
        <v>3815</v>
      </c>
      <c r="I438" s="3133" t="s">
        <v>3710</v>
      </c>
      <c r="J438" s="3133">
        <f>'[3]典型户型修正-办公'!S720</f>
        <v>74</v>
      </c>
      <c r="K438" s="3133">
        <f>'[3]典型户型修正-办公'!R720</f>
        <v>14820</v>
      </c>
    </row>
    <row r="439" spans="1:11">
      <c r="A439" s="3151"/>
      <c r="B439" s="3146">
        <v>421</v>
      </c>
      <c r="C439" s="3146">
        <v>13</v>
      </c>
      <c r="D439" s="3149">
        <v>1307</v>
      </c>
      <c r="E439" s="3150">
        <v>49.74</v>
      </c>
      <c r="F439" s="3146">
        <v>3</v>
      </c>
      <c r="G439" s="3146" t="s">
        <v>3408</v>
      </c>
      <c r="H439" s="3145" t="s">
        <v>3815</v>
      </c>
      <c r="I439" s="3133" t="s">
        <v>3710</v>
      </c>
      <c r="J439" s="3133">
        <f>'[3]典型户型修正-办公'!S721</f>
        <v>74</v>
      </c>
      <c r="K439" s="3133">
        <f>'[3]典型户型修正-办公'!R721</f>
        <v>14820</v>
      </c>
    </row>
    <row r="440" spans="1:11">
      <c r="A440" s="3151"/>
      <c r="B440" s="3146">
        <v>422</v>
      </c>
      <c r="C440" s="3146">
        <v>13</v>
      </c>
      <c r="D440" s="3149">
        <v>1308</v>
      </c>
      <c r="E440" s="3150">
        <v>49.74</v>
      </c>
      <c r="F440" s="3146">
        <v>3</v>
      </c>
      <c r="G440" s="3146" t="s">
        <v>3408</v>
      </c>
      <c r="H440" s="3145" t="s">
        <v>3815</v>
      </c>
      <c r="I440" s="3133" t="s">
        <v>3710</v>
      </c>
      <c r="J440" s="3133">
        <f>'[3]典型户型修正-办公'!S722</f>
        <v>74</v>
      </c>
      <c r="K440" s="3133">
        <f>'[3]典型户型修正-办公'!R722</f>
        <v>14820</v>
      </c>
    </row>
    <row r="441" spans="1:11">
      <c r="A441" s="3151"/>
      <c r="B441" s="3146">
        <v>423</v>
      </c>
      <c r="C441" s="3146">
        <v>13</v>
      </c>
      <c r="D441" s="3149">
        <v>1309</v>
      </c>
      <c r="E441" s="3150">
        <v>49.74</v>
      </c>
      <c r="F441" s="3146">
        <v>3</v>
      </c>
      <c r="G441" s="3146" t="s">
        <v>3408</v>
      </c>
      <c r="H441" s="3145" t="s">
        <v>3815</v>
      </c>
      <c r="I441" s="3133" t="s">
        <v>3710</v>
      </c>
      <c r="J441" s="3133">
        <f>'[3]典型户型修正-办公'!S723</f>
        <v>74</v>
      </c>
      <c r="K441" s="3133">
        <f>'[3]典型户型修正-办公'!R723</f>
        <v>14820</v>
      </c>
    </row>
    <row r="442" spans="1:11">
      <c r="A442" s="3151"/>
      <c r="B442" s="3146">
        <v>424</v>
      </c>
      <c r="C442" s="3146">
        <v>13</v>
      </c>
      <c r="D442" s="3149">
        <v>1310</v>
      </c>
      <c r="E442" s="3150">
        <v>49.74</v>
      </c>
      <c r="F442" s="3146">
        <v>3</v>
      </c>
      <c r="G442" s="3146" t="s">
        <v>3408</v>
      </c>
      <c r="H442" s="3145" t="s">
        <v>3815</v>
      </c>
      <c r="I442" s="3133" t="s">
        <v>3710</v>
      </c>
      <c r="J442" s="3133">
        <f>'[3]典型户型修正-办公'!S724</f>
        <v>74</v>
      </c>
      <c r="K442" s="3133">
        <f>'[3]典型户型修正-办公'!R724</f>
        <v>14820</v>
      </c>
    </row>
    <row r="443" spans="1:11">
      <c r="A443" s="3151"/>
      <c r="B443" s="3146">
        <v>425</v>
      </c>
      <c r="C443" s="3146">
        <v>13</v>
      </c>
      <c r="D443" s="3149">
        <v>1311</v>
      </c>
      <c r="E443" s="3150">
        <v>49.74</v>
      </c>
      <c r="F443" s="3146">
        <v>3</v>
      </c>
      <c r="G443" s="3146" t="s">
        <v>3408</v>
      </c>
      <c r="H443" s="3145" t="s">
        <v>3815</v>
      </c>
      <c r="I443" s="3133" t="s">
        <v>3710</v>
      </c>
      <c r="J443" s="3133">
        <f>'[3]典型户型修正-办公'!S725</f>
        <v>74</v>
      </c>
      <c r="K443" s="3133">
        <f>'[3]典型户型修正-办公'!R725</f>
        <v>14820</v>
      </c>
    </row>
    <row r="444" spans="1:11">
      <c r="A444" s="3151"/>
      <c r="B444" s="3146">
        <v>426</v>
      </c>
      <c r="C444" s="3146">
        <v>13</v>
      </c>
      <c r="D444" s="3149">
        <v>1312</v>
      </c>
      <c r="E444" s="3150">
        <v>49.74</v>
      </c>
      <c r="F444" s="3146">
        <v>3</v>
      </c>
      <c r="G444" s="3146" t="s">
        <v>3408</v>
      </c>
      <c r="H444" s="3145" t="s">
        <v>3815</v>
      </c>
      <c r="I444" s="3133" t="s">
        <v>3710</v>
      </c>
      <c r="J444" s="3133">
        <f>'[3]典型户型修正-办公'!S726</f>
        <v>74</v>
      </c>
      <c r="K444" s="3133">
        <f>'[3]典型户型修正-办公'!R726</f>
        <v>14820</v>
      </c>
    </row>
    <row r="445" spans="1:11">
      <c r="A445" s="3151"/>
      <c r="B445" s="3146">
        <v>427</v>
      </c>
      <c r="C445" s="3146">
        <v>13</v>
      </c>
      <c r="D445" s="3149">
        <v>1313</v>
      </c>
      <c r="E445" s="3150">
        <v>49.74</v>
      </c>
      <c r="F445" s="3146">
        <v>3</v>
      </c>
      <c r="G445" s="3146" t="s">
        <v>3408</v>
      </c>
      <c r="H445" s="3145" t="s">
        <v>3815</v>
      </c>
      <c r="I445" s="3133" t="s">
        <v>3710</v>
      </c>
      <c r="J445" s="3133">
        <f>'[3]典型户型修正-办公'!S727</f>
        <v>74</v>
      </c>
      <c r="K445" s="3133">
        <f>'[3]典型户型修正-办公'!R727</f>
        <v>14820</v>
      </c>
    </row>
    <row r="446" spans="1:11">
      <c r="A446" s="3151"/>
      <c r="B446" s="3146">
        <v>428</v>
      </c>
      <c r="C446" s="3146">
        <v>13</v>
      </c>
      <c r="D446" s="3149">
        <v>1314</v>
      </c>
      <c r="E446" s="3150">
        <v>49.74</v>
      </c>
      <c r="F446" s="3146">
        <v>3</v>
      </c>
      <c r="G446" s="3146" t="s">
        <v>3408</v>
      </c>
      <c r="H446" s="3145" t="s">
        <v>3815</v>
      </c>
      <c r="I446" s="3133" t="s">
        <v>3710</v>
      </c>
      <c r="J446" s="3133">
        <f>'[3]典型户型修正-办公'!S728</f>
        <v>74</v>
      </c>
      <c r="K446" s="3133">
        <f>'[3]典型户型修正-办公'!R728</f>
        <v>14820</v>
      </c>
    </row>
    <row r="447" spans="1:11">
      <c r="A447" s="3151"/>
      <c r="B447" s="3146">
        <v>429</v>
      </c>
      <c r="C447" s="3146">
        <v>13</v>
      </c>
      <c r="D447" s="3149">
        <v>1315</v>
      </c>
      <c r="E447" s="3150">
        <v>68.94</v>
      </c>
      <c r="F447" s="3146">
        <v>3</v>
      </c>
      <c r="G447" s="3146" t="s">
        <v>3408</v>
      </c>
      <c r="H447" s="3145" t="s">
        <v>3815</v>
      </c>
      <c r="I447" s="3133" t="s">
        <v>3710</v>
      </c>
      <c r="J447" s="3133">
        <f>'[3]典型户型修正-办公'!S729</f>
        <v>103</v>
      </c>
      <c r="K447" s="3133">
        <f>'[3]典型户型修正-办公'!R729</f>
        <v>14968</v>
      </c>
    </row>
    <row r="448" spans="1:11">
      <c r="A448" s="3151"/>
      <c r="B448" s="3146">
        <v>430</v>
      </c>
      <c r="C448" s="3146">
        <v>13</v>
      </c>
      <c r="D448" s="3149">
        <v>1318</v>
      </c>
      <c r="E448" s="3150">
        <v>44.19</v>
      </c>
      <c r="F448" s="3146">
        <v>3</v>
      </c>
      <c r="G448" s="3146" t="s">
        <v>3408</v>
      </c>
      <c r="H448" s="3145" t="s">
        <v>3815</v>
      </c>
      <c r="I448" s="3133" t="s">
        <v>3710</v>
      </c>
      <c r="J448" s="3133">
        <f>'[3]典型户型修正-办公'!S732</f>
        <v>65</v>
      </c>
      <c r="K448" s="3133">
        <f>'[3]典型户型修正-办公'!R732</f>
        <v>14820</v>
      </c>
    </row>
    <row r="449" spans="1:11">
      <c r="A449" s="3151"/>
      <c r="B449" s="3146">
        <v>431</v>
      </c>
      <c r="C449" s="3146">
        <v>13</v>
      </c>
      <c r="D449" s="3149">
        <v>1319</v>
      </c>
      <c r="E449" s="3150">
        <v>46.28</v>
      </c>
      <c r="F449" s="3146">
        <v>3</v>
      </c>
      <c r="G449" s="3146" t="s">
        <v>3408</v>
      </c>
      <c r="H449" s="3145" t="s">
        <v>3815</v>
      </c>
      <c r="I449" s="3133" t="s">
        <v>3710</v>
      </c>
      <c r="J449" s="3133">
        <f>'[3]典型户型修正-办公'!S733</f>
        <v>69</v>
      </c>
      <c r="K449" s="3133">
        <f>'[3]典型户型修正-办公'!R733</f>
        <v>14820</v>
      </c>
    </row>
    <row r="450" spans="1:11">
      <c r="A450" s="3151"/>
      <c r="B450" s="3146">
        <v>432</v>
      </c>
      <c r="C450" s="3146">
        <v>13</v>
      </c>
      <c r="D450" s="3149">
        <v>1322</v>
      </c>
      <c r="E450" s="3150">
        <v>49</v>
      </c>
      <c r="F450" s="3146">
        <v>3</v>
      </c>
      <c r="G450" s="3146" t="s">
        <v>3408</v>
      </c>
      <c r="H450" s="3145" t="s">
        <v>3815</v>
      </c>
      <c r="I450" s="3133" t="s">
        <v>3710</v>
      </c>
      <c r="J450" s="3133">
        <f>'[3]典型户型修正-办公'!S736</f>
        <v>73</v>
      </c>
      <c r="K450" s="3133">
        <f>'[3]典型户型修正-办公'!R736</f>
        <v>14820</v>
      </c>
    </row>
    <row r="451" spans="1:11">
      <c r="A451" s="3151"/>
      <c r="B451" s="3146">
        <v>433</v>
      </c>
      <c r="C451" s="3146">
        <v>13</v>
      </c>
      <c r="D451" s="3149">
        <v>1323</v>
      </c>
      <c r="E451" s="3150">
        <v>48.7</v>
      </c>
      <c r="F451" s="3146">
        <v>3</v>
      </c>
      <c r="G451" s="3146" t="s">
        <v>3408</v>
      </c>
      <c r="H451" s="3145" t="s">
        <v>3815</v>
      </c>
      <c r="I451" s="3133" t="s">
        <v>3710</v>
      </c>
      <c r="J451" s="3133">
        <f>'[3]典型户型修正-办公'!S737</f>
        <v>72</v>
      </c>
      <c r="K451" s="3133">
        <f>'[3]典型户型修正-办公'!R737</f>
        <v>14820</v>
      </c>
    </row>
    <row r="452" spans="1:11">
      <c r="A452" s="3151"/>
      <c r="B452" s="3146">
        <v>434</v>
      </c>
      <c r="C452" s="3147">
        <v>1</v>
      </c>
      <c r="D452" s="3147" t="s">
        <v>3411</v>
      </c>
      <c r="E452" s="3147">
        <v>100.67</v>
      </c>
      <c r="F452" s="3147">
        <v>5.3</v>
      </c>
      <c r="G452" s="3147" t="s">
        <v>3394</v>
      </c>
      <c r="H452" s="3145" t="s">
        <v>21</v>
      </c>
      <c r="I452" s="3133" t="s">
        <v>3409</v>
      </c>
      <c r="J452" s="3133">
        <f>'[3]典型户型修正-办公'!S752</f>
        <v>158</v>
      </c>
      <c r="K452" s="3133">
        <f>'[3]典型户型修正-办公'!R752</f>
        <v>15672</v>
      </c>
    </row>
    <row r="453" spans="1:11">
      <c r="A453" s="3151"/>
      <c r="B453" s="3146">
        <v>435</v>
      </c>
      <c r="C453" s="3147">
        <v>1</v>
      </c>
      <c r="D453" s="3147" t="s">
        <v>3414</v>
      </c>
      <c r="E453" s="3147">
        <v>100.67</v>
      </c>
      <c r="F453" s="3147">
        <v>5.3</v>
      </c>
      <c r="G453" s="3147" t="s">
        <v>3394</v>
      </c>
      <c r="H453" s="3145" t="s">
        <v>21</v>
      </c>
      <c r="I453" s="3133" t="s">
        <v>3409</v>
      </c>
      <c r="J453" s="3133">
        <f>'[3]典型户型修正-办公'!S754</f>
        <v>158</v>
      </c>
      <c r="K453" s="3133">
        <f>'[3]典型户型修正-办公'!R754</f>
        <v>15672</v>
      </c>
    </row>
    <row r="454" spans="1:11">
      <c r="A454" s="3151"/>
      <c r="B454" s="3146">
        <v>436</v>
      </c>
      <c r="C454" s="3147">
        <v>1</v>
      </c>
      <c r="D454" s="3147" t="s">
        <v>3415</v>
      </c>
      <c r="E454" s="3147">
        <v>100.67</v>
      </c>
      <c r="F454" s="3147">
        <v>5.3</v>
      </c>
      <c r="G454" s="3147" t="s">
        <v>3394</v>
      </c>
      <c r="H454" s="3145" t="s">
        <v>21</v>
      </c>
      <c r="I454" s="3133" t="s">
        <v>3409</v>
      </c>
      <c r="J454" s="3133">
        <f>'[3]典型户型修正-办公'!S755</f>
        <v>158</v>
      </c>
      <c r="K454" s="3133">
        <f>'[3]典型户型修正-办公'!R755</f>
        <v>15672</v>
      </c>
    </row>
    <row r="455" spans="1:11">
      <c r="A455" s="3151"/>
      <c r="B455" s="3146">
        <v>437</v>
      </c>
      <c r="C455" s="3147">
        <v>1</v>
      </c>
      <c r="D455" s="3147" t="s">
        <v>3416</v>
      </c>
      <c r="E455" s="3147">
        <v>100.67</v>
      </c>
      <c r="F455" s="3147">
        <v>5.3</v>
      </c>
      <c r="G455" s="3147" t="s">
        <v>3394</v>
      </c>
      <c r="H455" s="3145" t="s">
        <v>21</v>
      </c>
      <c r="I455" s="3133" t="s">
        <v>3409</v>
      </c>
      <c r="J455" s="3133">
        <f>'[3]典型户型修正-办公'!S756</f>
        <v>158</v>
      </c>
      <c r="K455" s="3133">
        <f>'[3]典型户型修正-办公'!R756</f>
        <v>15672</v>
      </c>
    </row>
    <row r="456" spans="1:11">
      <c r="A456" s="3151"/>
      <c r="B456" s="3146">
        <v>438</v>
      </c>
      <c r="C456" s="3147">
        <v>1</v>
      </c>
      <c r="D456" s="3147" t="s">
        <v>3417</v>
      </c>
      <c r="E456" s="3147">
        <v>100.67</v>
      </c>
      <c r="F456" s="3147">
        <v>5.3</v>
      </c>
      <c r="G456" s="3147" t="s">
        <v>3394</v>
      </c>
      <c r="H456" s="3145" t="s">
        <v>21</v>
      </c>
      <c r="I456" s="3133" t="s">
        <v>3409</v>
      </c>
      <c r="J456" s="3133">
        <f>'[3]典型户型修正-办公'!S757</f>
        <v>158</v>
      </c>
      <c r="K456" s="3133">
        <f>'[3]典型户型修正-办公'!R757</f>
        <v>15672</v>
      </c>
    </row>
    <row r="457" spans="1:11">
      <c r="A457" s="3151"/>
      <c r="B457" s="3146">
        <v>439</v>
      </c>
      <c r="C457" s="3147">
        <v>1</v>
      </c>
      <c r="D457" s="3147" t="s">
        <v>3418</v>
      </c>
      <c r="E457" s="3147">
        <v>100.67</v>
      </c>
      <c r="F457" s="3147">
        <v>5.3</v>
      </c>
      <c r="G457" s="3147" t="s">
        <v>3394</v>
      </c>
      <c r="H457" s="3145" t="s">
        <v>21</v>
      </c>
      <c r="I457" s="3133" t="s">
        <v>3409</v>
      </c>
      <c r="J457" s="3133">
        <f>'[3]典型户型修正-办公'!S758</f>
        <v>158</v>
      </c>
      <c r="K457" s="3133">
        <f>'[3]典型户型修正-办公'!R758</f>
        <v>15672</v>
      </c>
    </row>
    <row r="458" spans="1:11">
      <c r="A458" s="3151"/>
      <c r="B458" s="3146">
        <v>440</v>
      </c>
      <c r="C458" s="3147">
        <v>1</v>
      </c>
      <c r="D458" s="3147" t="s">
        <v>3419</v>
      </c>
      <c r="E458" s="3147">
        <v>69.77</v>
      </c>
      <c r="F458" s="3147">
        <v>5.3</v>
      </c>
      <c r="G458" s="3147" t="s">
        <v>3394</v>
      </c>
      <c r="H458" s="3145" t="s">
        <v>21</v>
      </c>
      <c r="I458" s="3133" t="s">
        <v>3409</v>
      </c>
      <c r="J458" s="3133">
        <f>'[3]典型户型修正-办公'!S759</f>
        <v>109</v>
      </c>
      <c r="K458" s="3133">
        <f>'[3]典型户型修正-办公'!R759</f>
        <v>15672</v>
      </c>
    </row>
    <row r="459" spans="1:11">
      <c r="A459" s="3151"/>
      <c r="B459" s="3146">
        <v>441</v>
      </c>
      <c r="C459" s="3147">
        <v>1</v>
      </c>
      <c r="D459" s="3147" t="s">
        <v>3421</v>
      </c>
      <c r="E459" s="3147">
        <v>97.94</v>
      </c>
      <c r="F459" s="3147">
        <v>5.3</v>
      </c>
      <c r="G459" s="3147" t="s">
        <v>3394</v>
      </c>
      <c r="H459" s="3145" t="s">
        <v>21</v>
      </c>
      <c r="I459" s="3133" t="s">
        <v>3409</v>
      </c>
      <c r="J459" s="3133">
        <f>'[3]典型户型修正-办公'!S761</f>
        <v>153</v>
      </c>
      <c r="K459" s="3133">
        <f>'[3]典型户型修正-办公'!R761</f>
        <v>15672</v>
      </c>
    </row>
    <row r="460" spans="1:11">
      <c r="A460" s="3151"/>
      <c r="B460" s="3146">
        <v>442</v>
      </c>
      <c r="C460" s="3147">
        <v>1</v>
      </c>
      <c r="D460" s="3147" t="s">
        <v>3422</v>
      </c>
      <c r="E460" s="3147">
        <v>101.65</v>
      </c>
      <c r="F460" s="3147">
        <v>5.3</v>
      </c>
      <c r="G460" s="3147" t="s">
        <v>3394</v>
      </c>
      <c r="H460" s="3145" t="s">
        <v>21</v>
      </c>
      <c r="I460" s="3133" t="s">
        <v>3409</v>
      </c>
      <c r="J460" s="3133">
        <f>'[3]典型户型修正-办公'!S762</f>
        <v>159</v>
      </c>
      <c r="K460" s="3133">
        <f>'[3]典型户型修正-办公'!R762</f>
        <v>15672</v>
      </c>
    </row>
    <row r="461" spans="1:11">
      <c r="A461" s="3151"/>
      <c r="B461" s="3146">
        <v>443</v>
      </c>
      <c r="C461" s="3147">
        <v>1</v>
      </c>
      <c r="D461" s="3147" t="s">
        <v>3817</v>
      </c>
      <c r="E461" s="3147">
        <v>100.43</v>
      </c>
      <c r="F461" s="3147">
        <v>5.3</v>
      </c>
      <c r="G461" s="3147" t="s">
        <v>3394</v>
      </c>
      <c r="H461" s="3145" t="s">
        <v>21</v>
      </c>
      <c r="I461" s="3133" t="s">
        <v>3409</v>
      </c>
      <c r="J461" s="3133">
        <f>'[3]典型户型修正-办公'!S763</f>
        <v>157</v>
      </c>
      <c r="K461" s="3133">
        <f>'[3]典型户型修正-办公'!R763</f>
        <v>15672</v>
      </c>
    </row>
    <row r="462" spans="1:11">
      <c r="A462" s="3151"/>
      <c r="B462" s="3146">
        <v>444</v>
      </c>
      <c r="C462" s="3147">
        <v>2</v>
      </c>
      <c r="D462" s="3147" t="s">
        <v>3423</v>
      </c>
      <c r="E462" s="3147">
        <v>57.43</v>
      </c>
      <c r="F462" s="3147">
        <v>4.2</v>
      </c>
      <c r="G462" s="3147" t="s">
        <v>3394</v>
      </c>
      <c r="H462" s="3145" t="s">
        <v>21</v>
      </c>
      <c r="I462" s="3133" t="s">
        <v>3409</v>
      </c>
      <c r="J462" s="3133">
        <f>'[3]典型户型修正-办公'!S764</f>
        <v>85</v>
      </c>
      <c r="K462" s="3133">
        <f>'[3]典型户型修正-办公'!R764</f>
        <v>14811</v>
      </c>
    </row>
    <row r="463" spans="1:11">
      <c r="A463" s="3151"/>
      <c r="B463" s="3146">
        <v>445</v>
      </c>
      <c r="C463" s="3147">
        <v>2</v>
      </c>
      <c r="D463" s="3147">
        <v>202</v>
      </c>
      <c r="E463" s="3147">
        <v>50.33</v>
      </c>
      <c r="F463" s="3147">
        <v>4.2</v>
      </c>
      <c r="G463" s="3147" t="s">
        <v>3394</v>
      </c>
      <c r="H463" s="3145" t="s">
        <v>21</v>
      </c>
      <c r="I463" s="3133" t="s">
        <v>3409</v>
      </c>
      <c r="J463" s="3133">
        <f>'[3]典型户型修正-办公'!S765</f>
        <v>75</v>
      </c>
      <c r="K463" s="3133">
        <f>'[3]典型户型修正-办公'!R765</f>
        <v>14811</v>
      </c>
    </row>
    <row r="464" spans="1:11">
      <c r="A464" s="3151"/>
      <c r="B464" s="3146">
        <v>446</v>
      </c>
      <c r="C464" s="3147">
        <v>2</v>
      </c>
      <c r="D464" s="3147" t="s">
        <v>3426</v>
      </c>
      <c r="E464" s="3147">
        <v>50.33</v>
      </c>
      <c r="F464" s="3147">
        <v>4.2</v>
      </c>
      <c r="G464" s="3147" t="s">
        <v>3394</v>
      </c>
      <c r="H464" s="3145" t="s">
        <v>21</v>
      </c>
      <c r="I464" s="3133" t="s">
        <v>3409</v>
      </c>
      <c r="J464" s="3133">
        <f>'[3]典型户型修正-办公'!S767</f>
        <v>75</v>
      </c>
      <c r="K464" s="3133">
        <f>'[3]典型户型修正-办公'!R767</f>
        <v>14811</v>
      </c>
    </row>
    <row r="465" spans="1:11">
      <c r="A465" s="3151"/>
      <c r="B465" s="3146">
        <v>447</v>
      </c>
      <c r="C465" s="3147">
        <v>2</v>
      </c>
      <c r="D465" s="3147" t="s">
        <v>3428</v>
      </c>
      <c r="E465" s="3147">
        <v>50.33</v>
      </c>
      <c r="F465" s="3147">
        <v>4.2</v>
      </c>
      <c r="G465" s="3147" t="s">
        <v>3394</v>
      </c>
      <c r="H465" s="3145" t="s">
        <v>21</v>
      </c>
      <c r="I465" s="3133" t="s">
        <v>3409</v>
      </c>
      <c r="J465" s="3133">
        <f>'[3]典型户型修正-办公'!S769</f>
        <v>75</v>
      </c>
      <c r="K465" s="3133">
        <f>'[3]典型户型修正-办公'!R769</f>
        <v>14811</v>
      </c>
    </row>
    <row r="466" spans="1:11">
      <c r="A466" s="3151"/>
      <c r="B466" s="3146">
        <v>448</v>
      </c>
      <c r="C466" s="3147">
        <v>2</v>
      </c>
      <c r="D466" s="3147" t="s">
        <v>3431</v>
      </c>
      <c r="E466" s="3147">
        <v>50.33</v>
      </c>
      <c r="F466" s="3147">
        <v>4.2</v>
      </c>
      <c r="G466" s="3147" t="s">
        <v>3394</v>
      </c>
      <c r="H466" s="3145" t="s">
        <v>21</v>
      </c>
      <c r="I466" s="3133" t="s">
        <v>3409</v>
      </c>
      <c r="J466" s="3133">
        <f>'[3]典型户型修正-办公'!S772</f>
        <v>75</v>
      </c>
      <c r="K466" s="3133">
        <f>'[3]典型户型修正-办公'!R772</f>
        <v>14811</v>
      </c>
    </row>
    <row r="467" spans="1:11">
      <c r="A467" s="3151"/>
      <c r="B467" s="3146">
        <v>449</v>
      </c>
      <c r="C467" s="3147">
        <v>2</v>
      </c>
      <c r="D467" s="3147" t="s">
        <v>3433</v>
      </c>
      <c r="E467" s="3147">
        <v>50.33</v>
      </c>
      <c r="F467" s="3147">
        <v>4.2</v>
      </c>
      <c r="G467" s="3147" t="s">
        <v>3394</v>
      </c>
      <c r="H467" s="3145" t="s">
        <v>21</v>
      </c>
      <c r="I467" s="3133" t="s">
        <v>3409</v>
      </c>
      <c r="J467" s="3133">
        <f>'[3]典型户型修正-办公'!S774</f>
        <v>75</v>
      </c>
      <c r="K467" s="3133">
        <f>'[3]典型户型修正-办公'!R774</f>
        <v>14811</v>
      </c>
    </row>
    <row r="468" spans="1:11">
      <c r="A468" s="3151"/>
      <c r="B468" s="3146">
        <v>450</v>
      </c>
      <c r="C468" s="3147">
        <v>2</v>
      </c>
      <c r="D468" s="3147" t="s">
        <v>3434</v>
      </c>
      <c r="E468" s="3147">
        <v>50.33</v>
      </c>
      <c r="F468" s="3147">
        <v>4.2</v>
      </c>
      <c r="G468" s="3147" t="s">
        <v>3394</v>
      </c>
      <c r="H468" s="3145" t="s">
        <v>21</v>
      </c>
      <c r="I468" s="3133" t="s">
        <v>3409</v>
      </c>
      <c r="J468" s="3133">
        <f>'[3]典型户型修正-办公'!S775</f>
        <v>75</v>
      </c>
      <c r="K468" s="3133">
        <f>'[3]典型户型修正-办公'!R775</f>
        <v>14811</v>
      </c>
    </row>
    <row r="469" spans="1:11">
      <c r="A469" s="3151"/>
      <c r="B469" s="3146">
        <v>451</v>
      </c>
      <c r="C469" s="3147">
        <v>2</v>
      </c>
      <c r="D469" s="3147" t="s">
        <v>3435</v>
      </c>
      <c r="E469" s="3147">
        <v>50.33</v>
      </c>
      <c r="F469" s="3147">
        <v>4.2</v>
      </c>
      <c r="G469" s="3147" t="s">
        <v>3394</v>
      </c>
      <c r="H469" s="3145" t="s">
        <v>21</v>
      </c>
      <c r="I469" s="3133" t="s">
        <v>3409</v>
      </c>
      <c r="J469" s="3133">
        <f>'[3]典型户型修正-办公'!S776</f>
        <v>75</v>
      </c>
      <c r="K469" s="3133">
        <f>'[3]典型户型修正-办公'!R776</f>
        <v>14811</v>
      </c>
    </row>
    <row r="470" spans="1:11">
      <c r="A470" s="3151"/>
      <c r="B470" s="3146">
        <v>452</v>
      </c>
      <c r="C470" s="3147">
        <v>2</v>
      </c>
      <c r="D470" s="3147" t="s">
        <v>3436</v>
      </c>
      <c r="E470" s="3147">
        <v>50.33</v>
      </c>
      <c r="F470" s="3147">
        <v>4.2</v>
      </c>
      <c r="G470" s="3147" t="s">
        <v>3394</v>
      </c>
      <c r="H470" s="3145" t="s">
        <v>21</v>
      </c>
      <c r="I470" s="3133" t="s">
        <v>3409</v>
      </c>
      <c r="J470" s="3133">
        <f>'[3]典型户型修正-办公'!S777</f>
        <v>75</v>
      </c>
      <c r="K470" s="3133">
        <f>'[3]典型户型修正-办公'!R777</f>
        <v>14811</v>
      </c>
    </row>
    <row r="471" spans="1:11">
      <c r="A471" s="3151"/>
      <c r="B471" s="3146">
        <v>453</v>
      </c>
      <c r="C471" s="3147">
        <v>2</v>
      </c>
      <c r="D471" s="3147" t="s">
        <v>3437</v>
      </c>
      <c r="E471" s="3147">
        <v>50.33</v>
      </c>
      <c r="F471" s="3147">
        <v>4.2</v>
      </c>
      <c r="G471" s="3147" t="s">
        <v>3394</v>
      </c>
      <c r="H471" s="3145" t="s">
        <v>21</v>
      </c>
      <c r="I471" s="3133" t="s">
        <v>3409</v>
      </c>
      <c r="J471" s="3133">
        <f>'[3]典型户型修正-办公'!S778</f>
        <v>75</v>
      </c>
      <c r="K471" s="3133">
        <f>'[3]典型户型修正-办公'!R778</f>
        <v>14811</v>
      </c>
    </row>
    <row r="472" spans="1:11">
      <c r="A472" s="3151"/>
      <c r="B472" s="3146">
        <v>454</v>
      </c>
      <c r="C472" s="3147">
        <v>2</v>
      </c>
      <c r="D472" s="3147" t="s">
        <v>3438</v>
      </c>
      <c r="E472" s="3147">
        <v>69.77</v>
      </c>
      <c r="F472" s="3147">
        <v>4.2</v>
      </c>
      <c r="G472" s="3147" t="s">
        <v>3394</v>
      </c>
      <c r="H472" s="3145" t="s">
        <v>21</v>
      </c>
      <c r="I472" s="3133" t="s">
        <v>3409</v>
      </c>
      <c r="J472" s="3133">
        <f>'[3]典型户型修正-办公'!S779</f>
        <v>104</v>
      </c>
      <c r="K472" s="3133">
        <f>'[3]典型户型修正-办公'!R779</f>
        <v>14959</v>
      </c>
    </row>
    <row r="473" spans="1:11">
      <c r="A473" s="3151"/>
      <c r="B473" s="3146">
        <v>455</v>
      </c>
      <c r="C473" s="3147">
        <v>2</v>
      </c>
      <c r="D473" s="3147" t="s">
        <v>3440</v>
      </c>
      <c r="E473" s="3147">
        <v>43.39</v>
      </c>
      <c r="F473" s="3147">
        <v>4.2</v>
      </c>
      <c r="G473" s="3147" t="s">
        <v>3394</v>
      </c>
      <c r="H473" s="3145" t="s">
        <v>21</v>
      </c>
      <c r="I473" s="3133" t="s">
        <v>3409</v>
      </c>
      <c r="J473" s="3133">
        <f>'[3]典型户型修正-办公'!S781</f>
        <v>64</v>
      </c>
      <c r="K473" s="3133">
        <f>'[3]典型户型修正-办公'!R781</f>
        <v>14811</v>
      </c>
    </row>
    <row r="474" spans="1:11">
      <c r="B474" s="3146">
        <v>456</v>
      </c>
      <c r="C474" s="3147">
        <v>2</v>
      </c>
      <c r="D474" s="3147" t="s">
        <v>3441</v>
      </c>
      <c r="E474" s="3147">
        <v>46.11</v>
      </c>
      <c r="F474" s="3147">
        <v>4.2</v>
      </c>
      <c r="G474" s="3147" t="s">
        <v>3394</v>
      </c>
      <c r="H474" s="3145" t="s">
        <v>21</v>
      </c>
      <c r="I474" s="3133" t="s">
        <v>3409</v>
      </c>
      <c r="J474" s="3133">
        <f>'[3]典型户型修正-办公'!S782</f>
        <v>68</v>
      </c>
      <c r="K474" s="3133">
        <f>'[3]典型户型修正-办公'!R782</f>
        <v>14811</v>
      </c>
    </row>
    <row r="475" spans="1:11">
      <c r="A475" s="3145"/>
      <c r="B475" s="3146">
        <v>457</v>
      </c>
      <c r="C475" s="3147">
        <v>2</v>
      </c>
      <c r="D475" s="3147" t="s">
        <v>3442</v>
      </c>
      <c r="E475" s="3147">
        <v>48.24</v>
      </c>
      <c r="F475" s="3147">
        <v>4.2</v>
      </c>
      <c r="G475" s="3147" t="s">
        <v>3394</v>
      </c>
      <c r="H475" s="3145" t="s">
        <v>21</v>
      </c>
      <c r="I475" s="3133" t="s">
        <v>3409</v>
      </c>
      <c r="J475" s="3133">
        <f>'[3]典型户型修正-办公'!S783</f>
        <v>71</v>
      </c>
      <c r="K475" s="3133">
        <f>'[3]典型户型修正-办公'!R783</f>
        <v>14811</v>
      </c>
    </row>
    <row r="476" spans="1:11">
      <c r="A476" s="3145"/>
      <c r="B476" s="3146">
        <v>458</v>
      </c>
      <c r="C476" s="3147">
        <v>2</v>
      </c>
      <c r="D476" s="3147" t="s">
        <v>3443</v>
      </c>
      <c r="E476" s="3147">
        <v>49.7</v>
      </c>
      <c r="F476" s="3147">
        <v>4.2</v>
      </c>
      <c r="G476" s="3147" t="s">
        <v>3394</v>
      </c>
      <c r="H476" s="3145" t="s">
        <v>21</v>
      </c>
      <c r="I476" s="3133" t="s">
        <v>3409</v>
      </c>
      <c r="J476" s="3133">
        <f>'[3]典型户型修正-办公'!S784</f>
        <v>74</v>
      </c>
      <c r="K476" s="3133">
        <f>'[3]典型户型修正-办公'!R784</f>
        <v>14811</v>
      </c>
    </row>
    <row r="477" spans="1:11">
      <c r="A477" s="3145"/>
      <c r="B477" s="3146">
        <v>459</v>
      </c>
      <c r="C477" s="3147">
        <v>2</v>
      </c>
      <c r="D477" s="3147" t="s">
        <v>3444</v>
      </c>
      <c r="E477" s="3147">
        <v>50.69</v>
      </c>
      <c r="F477" s="3147">
        <v>4.2</v>
      </c>
      <c r="G477" s="3147" t="s">
        <v>3394</v>
      </c>
      <c r="H477" s="3145" t="s">
        <v>21</v>
      </c>
      <c r="I477" s="3133" t="s">
        <v>3409</v>
      </c>
      <c r="J477" s="3133">
        <f>'[3]典型户型修正-办公'!S785</f>
        <v>75</v>
      </c>
      <c r="K477" s="3133">
        <f>'[3]典型户型修正-办公'!R785</f>
        <v>14811</v>
      </c>
    </row>
    <row r="478" spans="1:11">
      <c r="A478" s="3151"/>
      <c r="B478" s="3146">
        <v>460</v>
      </c>
      <c r="C478" s="3147">
        <v>2</v>
      </c>
      <c r="D478" s="3147" t="s">
        <v>3445</v>
      </c>
      <c r="E478" s="3147">
        <v>50.96</v>
      </c>
      <c r="F478" s="3147">
        <v>4.2</v>
      </c>
      <c r="G478" s="3147" t="s">
        <v>3394</v>
      </c>
      <c r="H478" s="3145" t="s">
        <v>21</v>
      </c>
      <c r="I478" s="3133" t="s">
        <v>3409</v>
      </c>
      <c r="J478" s="3133">
        <f>'[3]典型户型修正-办公'!S786</f>
        <v>75</v>
      </c>
      <c r="K478" s="3133">
        <f>'[3]典型户型修正-办公'!R786</f>
        <v>14811</v>
      </c>
    </row>
    <row r="479" spans="1:11">
      <c r="A479" s="3151"/>
      <c r="B479" s="3146">
        <v>461</v>
      </c>
      <c r="C479" s="3147">
        <v>2</v>
      </c>
      <c r="D479" s="3147" t="s">
        <v>3446</v>
      </c>
      <c r="E479" s="3147">
        <v>50.66</v>
      </c>
      <c r="F479" s="3147">
        <v>4.2</v>
      </c>
      <c r="G479" s="3147" t="s">
        <v>3394</v>
      </c>
      <c r="H479" s="3145" t="s">
        <v>21</v>
      </c>
      <c r="I479" s="3133" t="s">
        <v>3409</v>
      </c>
      <c r="J479" s="3133">
        <f>'[3]典型户型修正-办公'!S787</f>
        <v>75</v>
      </c>
      <c r="K479" s="3133">
        <f>'[3]典型户型修正-办公'!R787</f>
        <v>14811</v>
      </c>
    </row>
    <row r="480" spans="1:11">
      <c r="A480" s="3151"/>
      <c r="B480" s="3146">
        <v>462</v>
      </c>
      <c r="C480" s="3147">
        <v>2</v>
      </c>
      <c r="D480" s="3147" t="s">
        <v>3447</v>
      </c>
      <c r="E480" s="3147">
        <v>49.77</v>
      </c>
      <c r="F480" s="3147">
        <v>4.2</v>
      </c>
      <c r="G480" s="3147" t="s">
        <v>3394</v>
      </c>
      <c r="H480" s="3145" t="s">
        <v>21</v>
      </c>
      <c r="I480" s="3133" t="s">
        <v>3409</v>
      </c>
      <c r="J480" s="3133">
        <f>'[3]典型户型修正-办公'!S788</f>
        <v>74</v>
      </c>
      <c r="K480" s="3133">
        <f>'[3]典型户型修正-办公'!R788</f>
        <v>14811</v>
      </c>
    </row>
    <row r="481" spans="1:11">
      <c r="A481" s="3151"/>
      <c r="B481" s="3146">
        <v>463</v>
      </c>
      <c r="C481" s="3147">
        <v>2</v>
      </c>
      <c r="D481" s="3147" t="s">
        <v>3448</v>
      </c>
      <c r="E481" s="3147">
        <v>48.83</v>
      </c>
      <c r="F481" s="3147">
        <v>4.2</v>
      </c>
      <c r="G481" s="3147" t="s">
        <v>3394</v>
      </c>
      <c r="H481" s="3145" t="s">
        <v>21</v>
      </c>
      <c r="I481" s="3133" t="s">
        <v>3409</v>
      </c>
      <c r="J481" s="3133">
        <f>'[3]典型户型修正-办公'!S789</f>
        <v>72</v>
      </c>
      <c r="K481" s="3133">
        <f>'[3]典型户型修正-办公'!R789</f>
        <v>14811</v>
      </c>
    </row>
    <row r="482" spans="1:11">
      <c r="A482" s="3151"/>
      <c r="B482" s="3146">
        <v>464</v>
      </c>
      <c r="C482" s="3147">
        <v>3</v>
      </c>
      <c r="D482" s="3147" t="s">
        <v>3450</v>
      </c>
      <c r="E482" s="3147">
        <v>50.33</v>
      </c>
      <c r="F482" s="3147">
        <v>3</v>
      </c>
      <c r="G482" s="3147" t="s">
        <v>3408</v>
      </c>
      <c r="H482" s="3145" t="s">
        <v>21</v>
      </c>
      <c r="I482" s="3133" t="s">
        <v>3409</v>
      </c>
      <c r="J482" s="3133">
        <f>'[3]典型户型修正-办公'!S792</f>
        <v>71</v>
      </c>
      <c r="K482" s="3133">
        <f>'[3]典型户型修正-办公'!R792</f>
        <v>14106</v>
      </c>
    </row>
    <row r="483" spans="1:11">
      <c r="A483" s="3151"/>
      <c r="B483" s="3146">
        <v>465</v>
      </c>
      <c r="C483" s="3147">
        <v>3</v>
      </c>
      <c r="D483" s="3147" t="s">
        <v>3454</v>
      </c>
      <c r="E483" s="3147">
        <v>50.33</v>
      </c>
      <c r="F483" s="3147">
        <v>3</v>
      </c>
      <c r="G483" s="3147" t="s">
        <v>3408</v>
      </c>
      <c r="H483" s="3145" t="s">
        <v>21</v>
      </c>
      <c r="I483" s="3133" t="s">
        <v>3409</v>
      </c>
      <c r="J483" s="3133">
        <f>'[3]典型户型修正-办公'!S796</f>
        <v>71</v>
      </c>
      <c r="K483" s="3133">
        <f>'[3]典型户型修正-办公'!R796</f>
        <v>14106</v>
      </c>
    </row>
    <row r="484" spans="1:11">
      <c r="A484" s="3151"/>
      <c r="B484" s="3146">
        <v>466</v>
      </c>
      <c r="C484" s="3147">
        <v>3</v>
      </c>
      <c r="D484" s="3147" t="s">
        <v>3456</v>
      </c>
      <c r="E484" s="3147">
        <v>50.33</v>
      </c>
      <c r="F484" s="3147">
        <v>3</v>
      </c>
      <c r="G484" s="3147" t="s">
        <v>3408</v>
      </c>
      <c r="H484" s="3145" t="s">
        <v>21</v>
      </c>
      <c r="I484" s="3133" t="s">
        <v>3409</v>
      </c>
      <c r="J484" s="3133">
        <f>'[3]典型户型修正-办公'!S798</f>
        <v>71</v>
      </c>
      <c r="K484" s="3133">
        <f>'[3]典型户型修正-办公'!R798</f>
        <v>14106</v>
      </c>
    </row>
    <row r="485" spans="1:11">
      <c r="A485" s="3151"/>
      <c r="B485" s="3146">
        <v>467</v>
      </c>
      <c r="C485" s="3147">
        <v>3</v>
      </c>
      <c r="D485" s="3147" t="s">
        <v>3457</v>
      </c>
      <c r="E485" s="3147">
        <v>50.33</v>
      </c>
      <c r="F485" s="3147">
        <v>3</v>
      </c>
      <c r="G485" s="3147" t="s">
        <v>3408</v>
      </c>
      <c r="H485" s="3145" t="s">
        <v>21</v>
      </c>
      <c r="I485" s="3133" t="s">
        <v>3409</v>
      </c>
      <c r="J485" s="3133">
        <f>'[3]典型户型修正-办公'!S799</f>
        <v>71</v>
      </c>
      <c r="K485" s="3133">
        <f>'[3]典型户型修正-办公'!R799</f>
        <v>14106</v>
      </c>
    </row>
    <row r="486" spans="1:11">
      <c r="A486" s="3151"/>
      <c r="B486" s="3146">
        <v>468</v>
      </c>
      <c r="C486" s="3147">
        <v>3</v>
      </c>
      <c r="D486" s="3147" t="s">
        <v>3458</v>
      </c>
      <c r="E486" s="3147">
        <v>50.33</v>
      </c>
      <c r="F486" s="3147">
        <v>3</v>
      </c>
      <c r="G486" s="3147" t="s">
        <v>3408</v>
      </c>
      <c r="H486" s="3145" t="s">
        <v>21</v>
      </c>
      <c r="I486" s="3133" t="s">
        <v>3409</v>
      </c>
      <c r="J486" s="3133">
        <f>'[3]典型户型修正-办公'!S800</f>
        <v>71</v>
      </c>
      <c r="K486" s="3133">
        <f>'[3]典型户型修正-办公'!R800</f>
        <v>14106</v>
      </c>
    </row>
    <row r="487" spans="1:11">
      <c r="A487" s="3151"/>
      <c r="B487" s="3146">
        <v>469</v>
      </c>
      <c r="C487" s="3147">
        <v>3</v>
      </c>
      <c r="D487" s="3147" t="s">
        <v>3459</v>
      </c>
      <c r="E487" s="3147">
        <v>50.33</v>
      </c>
      <c r="F487" s="3147">
        <v>3</v>
      </c>
      <c r="G487" s="3147" t="s">
        <v>3408</v>
      </c>
      <c r="H487" s="3145" t="s">
        <v>21</v>
      </c>
      <c r="I487" s="3133" t="s">
        <v>3409</v>
      </c>
      <c r="J487" s="3133">
        <f>'[3]典型户型修正-办公'!S801</f>
        <v>71</v>
      </c>
      <c r="K487" s="3133">
        <f>'[3]典型户型修正-办公'!R801</f>
        <v>14106</v>
      </c>
    </row>
    <row r="488" spans="1:11">
      <c r="A488" s="3151"/>
      <c r="B488" s="3146">
        <v>470</v>
      </c>
      <c r="C488" s="3147">
        <v>3</v>
      </c>
      <c r="D488" s="3147" t="s">
        <v>3460</v>
      </c>
      <c r="E488" s="3147">
        <v>50.33</v>
      </c>
      <c r="F488" s="3147">
        <v>3</v>
      </c>
      <c r="G488" s="3147" t="s">
        <v>3408</v>
      </c>
      <c r="H488" s="3145" t="s">
        <v>21</v>
      </c>
      <c r="I488" s="3133" t="s">
        <v>3409</v>
      </c>
      <c r="J488" s="3133">
        <f>'[3]典型户型修正-办公'!S802</f>
        <v>71</v>
      </c>
      <c r="K488" s="3133">
        <f>'[3]典型户型修正-办公'!R802</f>
        <v>14106</v>
      </c>
    </row>
    <row r="489" spans="1:11">
      <c r="A489" s="3151"/>
      <c r="B489" s="3146">
        <v>471</v>
      </c>
      <c r="C489" s="3147">
        <v>3</v>
      </c>
      <c r="D489" s="3147" t="s">
        <v>3461</v>
      </c>
      <c r="E489" s="3147">
        <v>50.33</v>
      </c>
      <c r="F489" s="3147">
        <v>3</v>
      </c>
      <c r="G489" s="3147" t="s">
        <v>3408</v>
      </c>
      <c r="H489" s="3145" t="s">
        <v>21</v>
      </c>
      <c r="I489" s="3133" t="s">
        <v>3409</v>
      </c>
      <c r="J489" s="3133">
        <f>'[3]典型户型修正-办公'!S803</f>
        <v>71</v>
      </c>
      <c r="K489" s="3133">
        <f>'[3]典型户型修正-办公'!R803</f>
        <v>14106</v>
      </c>
    </row>
    <row r="490" spans="1:11">
      <c r="A490" s="3151"/>
      <c r="B490" s="3146">
        <v>472</v>
      </c>
      <c r="C490" s="3147">
        <v>3</v>
      </c>
      <c r="D490" s="3147" t="s">
        <v>3462</v>
      </c>
      <c r="E490" s="3147">
        <v>50.33</v>
      </c>
      <c r="F490" s="3147">
        <v>3</v>
      </c>
      <c r="G490" s="3147" t="s">
        <v>3408</v>
      </c>
      <c r="H490" s="3145" t="s">
        <v>21</v>
      </c>
      <c r="I490" s="3133" t="s">
        <v>3409</v>
      </c>
      <c r="J490" s="3133">
        <f>'[3]典型户型修正-办公'!S804</f>
        <v>71</v>
      </c>
      <c r="K490" s="3133">
        <f>'[3]典型户型修正-办公'!R804</f>
        <v>14106</v>
      </c>
    </row>
    <row r="491" spans="1:11">
      <c r="A491" s="3151"/>
      <c r="B491" s="3146">
        <v>473</v>
      </c>
      <c r="C491" s="3147">
        <v>3</v>
      </c>
      <c r="D491" s="3147">
        <v>321</v>
      </c>
      <c r="E491" s="3147">
        <v>48.33</v>
      </c>
      <c r="F491" s="3147">
        <v>3</v>
      </c>
      <c r="G491" s="3147" t="s">
        <v>3408</v>
      </c>
      <c r="H491" s="3145" t="s">
        <v>21</v>
      </c>
      <c r="I491" s="3133" t="s">
        <v>3409</v>
      </c>
      <c r="J491" s="3133">
        <f>'[3]典型户型修正-办公'!S805</f>
        <v>99</v>
      </c>
    </row>
    <row r="492" spans="1:11">
      <c r="A492" s="3151"/>
      <c r="B492" s="3146">
        <v>474</v>
      </c>
      <c r="C492" s="3147">
        <v>3</v>
      </c>
      <c r="D492" s="3147" t="s">
        <v>3469</v>
      </c>
      <c r="E492" s="3147">
        <v>49.3</v>
      </c>
      <c r="F492" s="3147">
        <v>3</v>
      </c>
      <c r="G492" s="3147" t="s">
        <v>3408</v>
      </c>
      <c r="H492" s="3145" t="s">
        <v>21</v>
      </c>
      <c r="I492" s="3133" t="s">
        <v>3409</v>
      </c>
      <c r="J492" s="3133">
        <f>'[3]典型户型修正-办公'!S811</f>
        <v>70</v>
      </c>
      <c r="K492" s="3133">
        <f>'[3]典型户型修正-办公'!R811</f>
        <v>14106</v>
      </c>
    </row>
    <row r="493" spans="1:11">
      <c r="A493" s="3151"/>
      <c r="B493" s="3146">
        <v>475</v>
      </c>
      <c r="C493" s="3147">
        <v>3</v>
      </c>
      <c r="D493" s="3147" t="s">
        <v>3470</v>
      </c>
      <c r="E493" s="3147">
        <v>49.59</v>
      </c>
      <c r="F493" s="3147">
        <v>3</v>
      </c>
      <c r="G493" s="3147" t="s">
        <v>3408</v>
      </c>
      <c r="H493" s="3145" t="s">
        <v>21</v>
      </c>
      <c r="I493" s="3133" t="s">
        <v>3409</v>
      </c>
      <c r="J493" s="3133">
        <f>'[3]典型户型修正-办公'!S812</f>
        <v>70</v>
      </c>
      <c r="K493" s="3133">
        <f>'[3]典型户型修正-办公'!R812</f>
        <v>14106</v>
      </c>
    </row>
    <row r="494" spans="1:11">
      <c r="A494" s="3151"/>
      <c r="B494" s="3146">
        <v>476</v>
      </c>
      <c r="C494" s="3147">
        <v>3</v>
      </c>
      <c r="D494" s="3147" t="s">
        <v>3471</v>
      </c>
      <c r="E494" s="3147">
        <v>49.28</v>
      </c>
      <c r="F494" s="3147">
        <v>3</v>
      </c>
      <c r="G494" s="3147" t="s">
        <v>3408</v>
      </c>
      <c r="H494" s="3145" t="s">
        <v>21</v>
      </c>
      <c r="I494" s="3133" t="s">
        <v>3409</v>
      </c>
      <c r="J494" s="3133">
        <f>'[3]典型户型修正-办公'!S813</f>
        <v>70</v>
      </c>
      <c r="K494" s="3133">
        <f>'[3]典型户型修正-办公'!R813</f>
        <v>14106</v>
      </c>
    </row>
    <row r="495" spans="1:11">
      <c r="A495" s="3151"/>
      <c r="B495" s="3146">
        <v>477</v>
      </c>
      <c r="C495" s="3147">
        <v>3</v>
      </c>
      <c r="D495" s="3147" t="s">
        <v>3472</v>
      </c>
      <c r="E495" s="3147">
        <v>48.41</v>
      </c>
      <c r="F495" s="3147">
        <v>3</v>
      </c>
      <c r="G495" s="3147" t="s">
        <v>3408</v>
      </c>
      <c r="H495" s="3145" t="s">
        <v>21</v>
      </c>
      <c r="I495" s="3133" t="s">
        <v>3409</v>
      </c>
      <c r="J495" s="3133">
        <f>'[3]典型户型修正-办公'!S814</f>
        <v>68</v>
      </c>
      <c r="K495" s="3133">
        <f>'[3]典型户型修正-办公'!R814</f>
        <v>14106</v>
      </c>
    </row>
    <row r="496" spans="1:11">
      <c r="A496" s="3151"/>
      <c r="B496" s="3146">
        <v>478</v>
      </c>
      <c r="C496" s="3147">
        <v>3</v>
      </c>
      <c r="D496" s="3147" t="s">
        <v>3473</v>
      </c>
      <c r="E496" s="3147">
        <v>47.44</v>
      </c>
      <c r="F496" s="3147">
        <v>3</v>
      </c>
      <c r="G496" s="3147" t="s">
        <v>3408</v>
      </c>
      <c r="H496" s="3145" t="s">
        <v>21</v>
      </c>
      <c r="I496" s="3133" t="s">
        <v>3409</v>
      </c>
      <c r="J496" s="3133">
        <f>'[3]典型户型修正-办公'!S815</f>
        <v>67</v>
      </c>
      <c r="K496" s="3133">
        <f>'[3]典型户型修正-办公'!R815</f>
        <v>14106</v>
      </c>
    </row>
    <row r="497" spans="1:11">
      <c r="A497" s="3151"/>
      <c r="B497" s="3146">
        <v>479</v>
      </c>
      <c r="C497" s="3147">
        <v>4</v>
      </c>
      <c r="D497" s="3147" t="s">
        <v>3476</v>
      </c>
      <c r="E497" s="3147">
        <v>50.33</v>
      </c>
      <c r="F497" s="3147">
        <v>3</v>
      </c>
      <c r="G497" s="3147" t="s">
        <v>3408</v>
      </c>
      <c r="H497" s="3145" t="s">
        <v>21</v>
      </c>
      <c r="I497" s="3133" t="s">
        <v>3409</v>
      </c>
      <c r="J497" s="3133">
        <f>'[3]典型户型修正-办公'!S818</f>
        <v>71</v>
      </c>
      <c r="K497" s="3133">
        <f>'[3]典型户型修正-办公'!R818</f>
        <v>14106</v>
      </c>
    </row>
    <row r="498" spans="1:11">
      <c r="A498" s="3151"/>
      <c r="B498" s="3146">
        <v>480</v>
      </c>
      <c r="C498" s="3147">
        <v>4</v>
      </c>
      <c r="D498" s="3147" t="s">
        <v>3477</v>
      </c>
      <c r="E498" s="3147">
        <v>50.33</v>
      </c>
      <c r="F498" s="3147">
        <v>3</v>
      </c>
      <c r="G498" s="3147" t="s">
        <v>3408</v>
      </c>
      <c r="H498" s="3145" t="s">
        <v>21</v>
      </c>
      <c r="I498" s="3133" t="s">
        <v>3409</v>
      </c>
      <c r="J498" s="3133">
        <f>'[3]典型户型修正-办公'!S819</f>
        <v>71</v>
      </c>
      <c r="K498" s="3133">
        <f>'[3]典型户型修正-办公'!R819</f>
        <v>14106</v>
      </c>
    </row>
    <row r="499" spans="1:11">
      <c r="A499" s="3151"/>
      <c r="B499" s="3146">
        <v>481</v>
      </c>
      <c r="C499" s="3147">
        <v>4</v>
      </c>
      <c r="D499" s="3147" t="s">
        <v>3480</v>
      </c>
      <c r="E499" s="3147">
        <v>50.33</v>
      </c>
      <c r="F499" s="3147">
        <v>3</v>
      </c>
      <c r="G499" s="3147" t="s">
        <v>3408</v>
      </c>
      <c r="H499" s="3145" t="s">
        <v>21</v>
      </c>
      <c r="I499" s="3133" t="s">
        <v>3409</v>
      </c>
      <c r="J499" s="3133">
        <f>'[3]典型户型修正-办公'!S822</f>
        <v>71</v>
      </c>
      <c r="K499" s="3133">
        <f>'[3]典型户型修正-办公'!R822</f>
        <v>14106</v>
      </c>
    </row>
    <row r="500" spans="1:11">
      <c r="A500" s="3151"/>
      <c r="B500" s="3146">
        <v>482</v>
      </c>
      <c r="C500" s="3147">
        <v>4</v>
      </c>
      <c r="D500" s="3147" t="s">
        <v>3481</v>
      </c>
      <c r="E500" s="3147">
        <v>50.33</v>
      </c>
      <c r="F500" s="3147">
        <v>3</v>
      </c>
      <c r="G500" s="3147" t="s">
        <v>3408</v>
      </c>
      <c r="H500" s="3145" t="s">
        <v>21</v>
      </c>
      <c r="I500" s="3133" t="s">
        <v>3409</v>
      </c>
      <c r="J500" s="3133">
        <f>'[3]典型户型修正-办公'!S823</f>
        <v>71</v>
      </c>
      <c r="K500" s="3133">
        <f>'[3]典型户型修正-办公'!R823</f>
        <v>14106</v>
      </c>
    </row>
    <row r="501" spans="1:11">
      <c r="A501" s="3151"/>
      <c r="B501" s="3146">
        <v>483</v>
      </c>
      <c r="C501" s="3147">
        <v>4</v>
      </c>
      <c r="D501" s="3147" t="s">
        <v>3482</v>
      </c>
      <c r="E501" s="3147">
        <v>50.33</v>
      </c>
      <c r="F501" s="3147">
        <v>3</v>
      </c>
      <c r="G501" s="3147" t="s">
        <v>3408</v>
      </c>
      <c r="H501" s="3145" t="s">
        <v>21</v>
      </c>
      <c r="I501" s="3133" t="s">
        <v>3409</v>
      </c>
      <c r="J501" s="3133">
        <f>'[3]典型户型修正-办公'!S824</f>
        <v>71</v>
      </c>
      <c r="K501" s="3133">
        <f>'[3]典型户型修正-办公'!R824</f>
        <v>14106</v>
      </c>
    </row>
    <row r="502" spans="1:11">
      <c r="A502" s="3151"/>
      <c r="B502" s="3146">
        <v>484</v>
      </c>
      <c r="C502" s="3147">
        <v>4</v>
      </c>
      <c r="D502" s="3147" t="s">
        <v>3483</v>
      </c>
      <c r="E502" s="3147">
        <v>50.33</v>
      </c>
      <c r="F502" s="3147">
        <v>3</v>
      </c>
      <c r="G502" s="3147" t="s">
        <v>3408</v>
      </c>
      <c r="H502" s="3145" t="s">
        <v>21</v>
      </c>
      <c r="I502" s="3133" t="s">
        <v>3409</v>
      </c>
      <c r="J502" s="3133">
        <f>'[3]典型户型修正-办公'!S825</f>
        <v>71</v>
      </c>
      <c r="K502" s="3133">
        <f>'[3]典型户型修正-办公'!R825</f>
        <v>14106</v>
      </c>
    </row>
    <row r="503" spans="1:11">
      <c r="A503" s="3151"/>
      <c r="B503" s="3146">
        <v>485</v>
      </c>
      <c r="C503" s="3147">
        <v>4</v>
      </c>
      <c r="D503" s="3147" t="s">
        <v>3484</v>
      </c>
      <c r="E503" s="3147">
        <v>50.33</v>
      </c>
      <c r="F503" s="3147">
        <v>3</v>
      </c>
      <c r="G503" s="3147" t="s">
        <v>3408</v>
      </c>
      <c r="H503" s="3145" t="s">
        <v>21</v>
      </c>
      <c r="I503" s="3133" t="s">
        <v>3409</v>
      </c>
      <c r="J503" s="3133">
        <f>'[3]典型户型修正-办公'!S826</f>
        <v>71</v>
      </c>
      <c r="K503" s="3133">
        <f>'[3]典型户型修正-办公'!R826</f>
        <v>14106</v>
      </c>
    </row>
    <row r="504" spans="1:11">
      <c r="A504" s="3151"/>
      <c r="B504" s="3146">
        <v>486</v>
      </c>
      <c r="C504" s="3147">
        <v>4</v>
      </c>
      <c r="D504" s="3147" t="s">
        <v>3485</v>
      </c>
      <c r="E504" s="3147">
        <v>50.33</v>
      </c>
      <c r="F504" s="3147">
        <v>3</v>
      </c>
      <c r="G504" s="3147" t="s">
        <v>3408</v>
      </c>
      <c r="H504" s="3145" t="s">
        <v>21</v>
      </c>
      <c r="I504" s="3133" t="s">
        <v>3409</v>
      </c>
      <c r="J504" s="3133">
        <f>'[3]典型户型修正-办公'!S827</f>
        <v>71</v>
      </c>
      <c r="K504" s="3133">
        <f>'[3]典型户型修正-办公'!R827</f>
        <v>14106</v>
      </c>
    </row>
    <row r="505" spans="1:11">
      <c r="A505" s="3151"/>
      <c r="B505" s="3146">
        <v>487</v>
      </c>
      <c r="C505" s="3147">
        <v>4</v>
      </c>
      <c r="D505" s="3147" t="s">
        <v>3486</v>
      </c>
      <c r="E505" s="3147">
        <v>50.33</v>
      </c>
      <c r="F505" s="3147">
        <v>3</v>
      </c>
      <c r="G505" s="3147" t="s">
        <v>3408</v>
      </c>
      <c r="H505" s="3145" t="s">
        <v>21</v>
      </c>
      <c r="I505" s="3133" t="s">
        <v>3409</v>
      </c>
      <c r="J505" s="3133">
        <f>'[3]典型户型修正-办公'!S828</f>
        <v>71</v>
      </c>
      <c r="K505" s="3133">
        <f>'[3]典型户型修正-办公'!R828</f>
        <v>14106</v>
      </c>
    </row>
    <row r="506" spans="1:11">
      <c r="A506" s="3151"/>
      <c r="B506" s="3146">
        <v>488</v>
      </c>
      <c r="C506" s="3147">
        <v>4</v>
      </c>
      <c r="D506" s="3147" t="s">
        <v>3487</v>
      </c>
      <c r="E506" s="3147">
        <v>50.33</v>
      </c>
      <c r="F506" s="3147">
        <v>3</v>
      </c>
      <c r="G506" s="3147" t="s">
        <v>3408</v>
      </c>
      <c r="H506" s="3145" t="s">
        <v>21</v>
      </c>
      <c r="I506" s="3133" t="s">
        <v>3409</v>
      </c>
      <c r="J506" s="3133">
        <f>'[3]典型户型修正-办公'!S829</f>
        <v>71</v>
      </c>
      <c r="K506" s="3133">
        <f>'[3]典型户型修正-办公'!R829</f>
        <v>14106</v>
      </c>
    </row>
    <row r="507" spans="1:11">
      <c r="A507" s="3151"/>
      <c r="B507" s="3146">
        <v>489</v>
      </c>
      <c r="C507" s="3147">
        <v>4</v>
      </c>
      <c r="D507" s="3147" t="s">
        <v>3495</v>
      </c>
      <c r="E507" s="3147">
        <v>49.3</v>
      </c>
      <c r="F507" s="3147">
        <v>3</v>
      </c>
      <c r="G507" s="3147" t="s">
        <v>3408</v>
      </c>
      <c r="H507" s="3145" t="s">
        <v>21</v>
      </c>
      <c r="I507" s="3133" t="s">
        <v>3409</v>
      </c>
      <c r="J507" s="3133">
        <f>'[3]典型户型修正-办公'!S837</f>
        <v>70</v>
      </c>
      <c r="K507" s="3133">
        <f>'[3]典型户型修正-办公'!R837</f>
        <v>14106</v>
      </c>
    </row>
    <row r="508" spans="1:11">
      <c r="A508" s="3151"/>
      <c r="B508" s="3146">
        <v>490</v>
      </c>
      <c r="C508" s="3147">
        <v>4</v>
      </c>
      <c r="D508" s="3147" t="s">
        <v>3496</v>
      </c>
      <c r="E508" s="3147">
        <v>49.59</v>
      </c>
      <c r="F508" s="3147">
        <v>3</v>
      </c>
      <c r="G508" s="3147" t="s">
        <v>3408</v>
      </c>
      <c r="H508" s="3145" t="s">
        <v>21</v>
      </c>
      <c r="I508" s="3133" t="s">
        <v>3409</v>
      </c>
      <c r="J508" s="3133">
        <f>'[3]典型户型修正-办公'!S838</f>
        <v>70</v>
      </c>
      <c r="K508" s="3133">
        <f>'[3]典型户型修正-办公'!R838</f>
        <v>14106</v>
      </c>
    </row>
    <row r="509" spans="1:11">
      <c r="A509" s="3151"/>
      <c r="B509" s="3146">
        <v>491</v>
      </c>
      <c r="C509" s="3147">
        <v>4</v>
      </c>
      <c r="D509" s="3147" t="s">
        <v>3497</v>
      </c>
      <c r="E509" s="3147">
        <v>49.28</v>
      </c>
      <c r="F509" s="3147">
        <v>3</v>
      </c>
      <c r="G509" s="3147" t="s">
        <v>3408</v>
      </c>
      <c r="H509" s="3145" t="s">
        <v>21</v>
      </c>
      <c r="I509" s="3133" t="s">
        <v>3409</v>
      </c>
      <c r="J509" s="3133">
        <f>'[3]典型户型修正-办公'!S839</f>
        <v>70</v>
      </c>
      <c r="K509" s="3133">
        <f>'[3]典型户型修正-办公'!R839</f>
        <v>14106</v>
      </c>
    </row>
    <row r="510" spans="1:11">
      <c r="A510" s="3151"/>
      <c r="B510" s="3146">
        <v>492</v>
      </c>
      <c r="C510" s="3147">
        <v>4</v>
      </c>
      <c r="D510" s="3147" t="s">
        <v>3498</v>
      </c>
      <c r="E510" s="3147">
        <v>48.41</v>
      </c>
      <c r="F510" s="3147">
        <v>3</v>
      </c>
      <c r="G510" s="3147" t="s">
        <v>3408</v>
      </c>
      <c r="H510" s="3145" t="s">
        <v>21</v>
      </c>
      <c r="I510" s="3133" t="s">
        <v>3409</v>
      </c>
      <c r="J510" s="3133">
        <f>'[3]典型户型修正-办公'!S840</f>
        <v>68</v>
      </c>
      <c r="K510" s="3133">
        <f>'[3]典型户型修正-办公'!R840</f>
        <v>14106</v>
      </c>
    </row>
    <row r="511" spans="1:11">
      <c r="A511" s="3151"/>
      <c r="B511" s="3146">
        <v>493</v>
      </c>
      <c r="C511" s="3147">
        <v>4</v>
      </c>
      <c r="D511" s="3147" t="s">
        <v>3499</v>
      </c>
      <c r="E511" s="3147">
        <v>47.44</v>
      </c>
      <c r="F511" s="3147">
        <v>3</v>
      </c>
      <c r="G511" s="3147" t="s">
        <v>3408</v>
      </c>
      <c r="H511" s="3145" t="s">
        <v>21</v>
      </c>
      <c r="I511" s="3133" t="s">
        <v>3409</v>
      </c>
      <c r="J511" s="3133">
        <f>'[3]典型户型修正-办公'!S841</f>
        <v>67</v>
      </c>
      <c r="K511" s="3133">
        <f>'[3]典型户型修正-办公'!R841</f>
        <v>14106</v>
      </c>
    </row>
    <row r="512" spans="1:11">
      <c r="A512" s="3151"/>
      <c r="B512" s="3146">
        <v>494</v>
      </c>
      <c r="C512" s="3147">
        <v>5</v>
      </c>
      <c r="D512" s="3147" t="s">
        <v>3500</v>
      </c>
      <c r="E512" s="3147">
        <v>52.2</v>
      </c>
      <c r="F512" s="3147">
        <v>3</v>
      </c>
      <c r="G512" s="3147" t="s">
        <v>3408</v>
      </c>
      <c r="H512" s="3145" t="s">
        <v>21</v>
      </c>
      <c r="I512" s="3133" t="s">
        <v>3409</v>
      </c>
      <c r="J512" s="3133">
        <f>'[3]典型户型修正-办公'!S842</f>
        <v>74</v>
      </c>
      <c r="K512" s="3133">
        <f>'[3]典型户型修正-办公'!R842</f>
        <v>14106</v>
      </c>
    </row>
    <row r="513" spans="1:11">
      <c r="A513" s="3151"/>
      <c r="B513" s="3146">
        <v>495</v>
      </c>
      <c r="C513" s="3147">
        <v>5</v>
      </c>
      <c r="D513" s="3147" t="s">
        <v>3501</v>
      </c>
      <c r="E513" s="3147">
        <v>50.33</v>
      </c>
      <c r="F513" s="3147">
        <v>3</v>
      </c>
      <c r="G513" s="3147" t="s">
        <v>3408</v>
      </c>
      <c r="H513" s="3145" t="s">
        <v>21</v>
      </c>
      <c r="I513" s="3133" t="s">
        <v>3409</v>
      </c>
      <c r="J513" s="3133">
        <f>'[3]典型户型修正-办公'!S843</f>
        <v>71</v>
      </c>
      <c r="K513" s="3133">
        <f>'[3]典型户型修正-办公'!R843</f>
        <v>14106</v>
      </c>
    </row>
    <row r="514" spans="1:11">
      <c r="A514" s="3151"/>
      <c r="B514" s="3146">
        <v>496</v>
      </c>
      <c r="C514" s="3147">
        <v>5</v>
      </c>
      <c r="D514" s="3147" t="s">
        <v>3502</v>
      </c>
      <c r="E514" s="3147">
        <v>50.33</v>
      </c>
      <c r="F514" s="3147">
        <v>3</v>
      </c>
      <c r="G514" s="3147" t="s">
        <v>3408</v>
      </c>
      <c r="H514" s="3145" t="s">
        <v>21</v>
      </c>
      <c r="I514" s="3133" t="s">
        <v>3409</v>
      </c>
      <c r="J514" s="3133">
        <f>'[3]典型户型修正-办公'!S844</f>
        <v>71</v>
      </c>
      <c r="K514" s="3133">
        <f>'[3]典型户型修正-办公'!R844</f>
        <v>14106</v>
      </c>
    </row>
    <row r="515" spans="1:11">
      <c r="A515" s="3151"/>
      <c r="B515" s="3146">
        <v>497</v>
      </c>
      <c r="C515" s="3147">
        <v>5</v>
      </c>
      <c r="D515" s="3147" t="s">
        <v>3503</v>
      </c>
      <c r="E515" s="3147">
        <v>50.33</v>
      </c>
      <c r="F515" s="3147">
        <v>3</v>
      </c>
      <c r="G515" s="3147" t="s">
        <v>3408</v>
      </c>
      <c r="H515" s="3145" t="s">
        <v>21</v>
      </c>
      <c r="I515" s="3133" t="s">
        <v>3409</v>
      </c>
      <c r="J515" s="3133">
        <f>'[3]典型户型修正-办公'!S845</f>
        <v>71</v>
      </c>
      <c r="K515" s="3133">
        <f>'[3]典型户型修正-办公'!R845</f>
        <v>14106</v>
      </c>
    </row>
    <row r="516" spans="1:11">
      <c r="A516" s="3151"/>
      <c r="B516" s="3146">
        <v>498</v>
      </c>
      <c r="C516" s="3147">
        <v>5</v>
      </c>
      <c r="D516" s="3147" t="s">
        <v>3504</v>
      </c>
      <c r="E516" s="3147">
        <v>50.33</v>
      </c>
      <c r="F516" s="3147">
        <v>3</v>
      </c>
      <c r="G516" s="3147" t="s">
        <v>3408</v>
      </c>
      <c r="H516" s="3145" t="s">
        <v>21</v>
      </c>
      <c r="I516" s="3133" t="s">
        <v>3409</v>
      </c>
      <c r="J516" s="3133">
        <f>'[3]典型户型修正-办公'!S846</f>
        <v>71</v>
      </c>
      <c r="K516" s="3133">
        <f>'[3]典型户型修正-办公'!R846</f>
        <v>14106</v>
      </c>
    </row>
    <row r="517" spans="1:11">
      <c r="A517" s="3151"/>
      <c r="B517" s="3146">
        <v>499</v>
      </c>
      <c r="C517" s="3147">
        <v>5</v>
      </c>
      <c r="D517" s="3147" t="s">
        <v>3505</v>
      </c>
      <c r="E517" s="3147">
        <v>50.33</v>
      </c>
      <c r="F517" s="3147">
        <v>3</v>
      </c>
      <c r="G517" s="3147" t="s">
        <v>3408</v>
      </c>
      <c r="H517" s="3145" t="s">
        <v>21</v>
      </c>
      <c r="I517" s="3133" t="s">
        <v>3409</v>
      </c>
      <c r="J517" s="3133">
        <f>'[3]典型户型修正-办公'!S847</f>
        <v>71</v>
      </c>
      <c r="K517" s="3133">
        <f>'[3]典型户型修正-办公'!R847</f>
        <v>14106</v>
      </c>
    </row>
    <row r="518" spans="1:11">
      <c r="A518" s="3151"/>
      <c r="B518" s="3146">
        <v>500</v>
      </c>
      <c r="C518" s="3147">
        <v>5</v>
      </c>
      <c r="D518" s="3147" t="s">
        <v>3506</v>
      </c>
      <c r="E518" s="3147">
        <v>50.33</v>
      </c>
      <c r="F518" s="3147">
        <v>3</v>
      </c>
      <c r="G518" s="3147" t="s">
        <v>3408</v>
      </c>
      <c r="H518" s="3145" t="s">
        <v>21</v>
      </c>
      <c r="I518" s="3133" t="s">
        <v>3409</v>
      </c>
      <c r="J518" s="3133">
        <f>'[3]典型户型修正-办公'!S848</f>
        <v>71</v>
      </c>
      <c r="K518" s="3133">
        <f>'[3]典型户型修正-办公'!R848</f>
        <v>14106</v>
      </c>
    </row>
    <row r="519" spans="1:11">
      <c r="A519" s="3151"/>
      <c r="B519" s="3146">
        <v>501</v>
      </c>
      <c r="C519" s="3147">
        <v>5</v>
      </c>
      <c r="D519" s="3147" t="s">
        <v>3507</v>
      </c>
      <c r="E519" s="3147">
        <v>50.33</v>
      </c>
      <c r="F519" s="3147">
        <v>3</v>
      </c>
      <c r="G519" s="3147" t="s">
        <v>3408</v>
      </c>
      <c r="H519" s="3145" t="s">
        <v>21</v>
      </c>
      <c r="I519" s="3133" t="s">
        <v>3409</v>
      </c>
      <c r="J519" s="3133">
        <f>'[3]典型户型修正-办公'!S849</f>
        <v>71</v>
      </c>
      <c r="K519" s="3133">
        <f>'[3]典型户型修正-办公'!R849</f>
        <v>14106</v>
      </c>
    </row>
    <row r="520" spans="1:11">
      <c r="A520" s="3151"/>
      <c r="B520" s="3146">
        <v>502</v>
      </c>
      <c r="C520" s="3147">
        <v>5</v>
      </c>
      <c r="D520" s="3147" t="s">
        <v>3508</v>
      </c>
      <c r="E520" s="3147">
        <v>50.33</v>
      </c>
      <c r="F520" s="3147">
        <v>3</v>
      </c>
      <c r="G520" s="3147" t="s">
        <v>3408</v>
      </c>
      <c r="H520" s="3145" t="s">
        <v>21</v>
      </c>
      <c r="I520" s="3133" t="s">
        <v>3409</v>
      </c>
      <c r="J520" s="3133">
        <f>'[3]典型户型修正-办公'!S850</f>
        <v>71</v>
      </c>
      <c r="K520" s="3133">
        <f>'[3]典型户型修正-办公'!R850</f>
        <v>14106</v>
      </c>
    </row>
    <row r="521" spans="1:11">
      <c r="A521" s="3151"/>
      <c r="B521" s="3146">
        <v>503</v>
      </c>
      <c r="C521" s="3147">
        <v>5</v>
      </c>
      <c r="D521" s="3147" t="s">
        <v>3509</v>
      </c>
      <c r="E521" s="3147">
        <v>50.33</v>
      </c>
      <c r="F521" s="3147">
        <v>3</v>
      </c>
      <c r="G521" s="3147" t="s">
        <v>3408</v>
      </c>
      <c r="H521" s="3145" t="s">
        <v>21</v>
      </c>
      <c r="I521" s="3133" t="s">
        <v>3409</v>
      </c>
      <c r="J521" s="3133">
        <f>'[3]典型户型修正-办公'!S851</f>
        <v>71</v>
      </c>
      <c r="K521" s="3133">
        <f>'[3]典型户型修正-办公'!R851</f>
        <v>14106</v>
      </c>
    </row>
    <row r="522" spans="1:11">
      <c r="A522" s="3151"/>
      <c r="B522" s="3146">
        <v>504</v>
      </c>
      <c r="C522" s="3147">
        <v>5</v>
      </c>
      <c r="D522" s="3147" t="s">
        <v>3510</v>
      </c>
      <c r="E522" s="3147">
        <v>50.33</v>
      </c>
      <c r="F522" s="3147">
        <v>3</v>
      </c>
      <c r="G522" s="3147" t="s">
        <v>3408</v>
      </c>
      <c r="H522" s="3145" t="s">
        <v>21</v>
      </c>
      <c r="I522" s="3133" t="s">
        <v>3409</v>
      </c>
      <c r="J522" s="3133">
        <f>'[3]典型户型修正-办公'!S852</f>
        <v>71</v>
      </c>
      <c r="K522" s="3133">
        <f>'[3]典型户型修正-办公'!R852</f>
        <v>14106</v>
      </c>
    </row>
    <row r="523" spans="1:11">
      <c r="A523" s="3151"/>
      <c r="B523" s="3146">
        <v>505</v>
      </c>
      <c r="C523" s="3147">
        <v>5</v>
      </c>
      <c r="D523" s="3147" t="s">
        <v>3511</v>
      </c>
      <c r="E523" s="3147">
        <v>50.33</v>
      </c>
      <c r="F523" s="3147">
        <v>3</v>
      </c>
      <c r="G523" s="3147" t="s">
        <v>3408</v>
      </c>
      <c r="H523" s="3145" t="s">
        <v>21</v>
      </c>
      <c r="I523" s="3133" t="s">
        <v>3409</v>
      </c>
      <c r="J523" s="3133">
        <f>'[3]典型户型修正-办公'!S853</f>
        <v>71</v>
      </c>
      <c r="K523" s="3133">
        <f>'[3]典型户型修正-办公'!R853</f>
        <v>14106</v>
      </c>
    </row>
    <row r="524" spans="1:11">
      <c r="A524" s="3151"/>
      <c r="B524" s="3146">
        <v>506</v>
      </c>
      <c r="C524" s="3147">
        <v>5</v>
      </c>
      <c r="D524" s="3147" t="s">
        <v>3512</v>
      </c>
      <c r="E524" s="3147">
        <v>50.33</v>
      </c>
      <c r="F524" s="3147">
        <v>3</v>
      </c>
      <c r="G524" s="3147" t="s">
        <v>3408</v>
      </c>
      <c r="H524" s="3145" t="s">
        <v>21</v>
      </c>
      <c r="I524" s="3133" t="s">
        <v>3409</v>
      </c>
      <c r="J524" s="3133">
        <f>'[3]典型户型修正-办公'!S854</f>
        <v>71</v>
      </c>
      <c r="K524" s="3133">
        <f>'[3]典型户型修正-办公'!R854</f>
        <v>14106</v>
      </c>
    </row>
    <row r="525" spans="1:11">
      <c r="A525" s="3151"/>
      <c r="B525" s="3146">
        <v>507</v>
      </c>
      <c r="C525" s="3147">
        <v>5</v>
      </c>
      <c r="D525" s="3147" t="s">
        <v>3513</v>
      </c>
      <c r="E525" s="3147">
        <v>50.33</v>
      </c>
      <c r="F525" s="3147">
        <v>3</v>
      </c>
      <c r="G525" s="3147" t="s">
        <v>3408</v>
      </c>
      <c r="H525" s="3145" t="s">
        <v>21</v>
      </c>
      <c r="I525" s="3133" t="s">
        <v>3409</v>
      </c>
      <c r="J525" s="3133">
        <f>'[3]典型户型修正-办公'!S855</f>
        <v>71</v>
      </c>
      <c r="K525" s="3133">
        <f>'[3]典型户型修正-办公'!R855</f>
        <v>14106</v>
      </c>
    </row>
    <row r="526" spans="1:11">
      <c r="A526" s="3151"/>
      <c r="B526" s="3146">
        <v>508</v>
      </c>
      <c r="C526" s="3147">
        <v>5</v>
      </c>
      <c r="D526" s="3147" t="s">
        <v>3514</v>
      </c>
      <c r="E526" s="3147">
        <v>50.33</v>
      </c>
      <c r="F526" s="3147">
        <v>3</v>
      </c>
      <c r="G526" s="3147" t="s">
        <v>3408</v>
      </c>
      <c r="H526" s="3145" t="s">
        <v>21</v>
      </c>
      <c r="I526" s="3133" t="s">
        <v>3409</v>
      </c>
      <c r="J526" s="3133">
        <f>'[3]典型户型修正-办公'!S856</f>
        <v>71</v>
      </c>
      <c r="K526" s="3133">
        <f>'[3]典型户型修正-办公'!R856</f>
        <v>14106</v>
      </c>
    </row>
    <row r="527" spans="1:11">
      <c r="B527" s="3146">
        <v>509</v>
      </c>
      <c r="C527" s="3147">
        <v>5</v>
      </c>
      <c r="D527" s="3147" t="s">
        <v>3517</v>
      </c>
      <c r="E527" s="3147">
        <v>41.99</v>
      </c>
      <c r="F527" s="3147">
        <v>3</v>
      </c>
      <c r="G527" s="3147" t="s">
        <v>3408</v>
      </c>
      <c r="H527" s="3145" t="s">
        <v>21</v>
      </c>
      <c r="I527" s="3133" t="s">
        <v>3409</v>
      </c>
      <c r="J527" s="3133">
        <f>'[3]典型户型修正-办公'!S859</f>
        <v>59</v>
      </c>
      <c r="K527" s="3133">
        <f>'[3]典型户型修正-办公'!R859</f>
        <v>14106</v>
      </c>
    </row>
    <row r="528" spans="1:11">
      <c r="B528" s="3146">
        <v>510</v>
      </c>
      <c r="C528" s="3147">
        <v>5</v>
      </c>
      <c r="D528" s="3147" t="s">
        <v>3518</v>
      </c>
      <c r="E528" s="3147">
        <v>44.72</v>
      </c>
      <c r="F528" s="3147">
        <v>3</v>
      </c>
      <c r="G528" s="3147" t="s">
        <v>3408</v>
      </c>
      <c r="H528" s="3145" t="s">
        <v>21</v>
      </c>
      <c r="I528" s="3133" t="s">
        <v>3409</v>
      </c>
      <c r="J528" s="3133">
        <f>'[3]典型户型修正-办公'!S860</f>
        <v>63</v>
      </c>
      <c r="K528" s="3133">
        <f>'[3]典型户型修正-办公'!R860</f>
        <v>14106</v>
      </c>
    </row>
    <row r="529" spans="2:11">
      <c r="B529" s="3146">
        <v>511</v>
      </c>
      <c r="C529" s="3147">
        <v>5</v>
      </c>
      <c r="D529" s="3147" t="s">
        <v>3519</v>
      </c>
      <c r="E529" s="3147">
        <v>46.83</v>
      </c>
      <c r="F529" s="3147">
        <v>3</v>
      </c>
      <c r="G529" s="3147" t="s">
        <v>3408</v>
      </c>
      <c r="H529" s="3145" t="s">
        <v>21</v>
      </c>
      <c r="I529" s="3133" t="s">
        <v>3409</v>
      </c>
      <c r="J529" s="3133">
        <f>'[3]典型户型修正-办公'!S861</f>
        <v>66</v>
      </c>
      <c r="K529" s="3133">
        <f>'[3]典型户型修正-办公'!R861</f>
        <v>14106</v>
      </c>
    </row>
    <row r="530" spans="2:11">
      <c r="B530" s="3146">
        <v>512</v>
      </c>
      <c r="C530" s="3147">
        <v>5</v>
      </c>
      <c r="D530" s="3147" t="s">
        <v>3520</v>
      </c>
      <c r="E530" s="3147">
        <v>48.33</v>
      </c>
      <c r="F530" s="3147">
        <v>3</v>
      </c>
      <c r="G530" s="3147" t="s">
        <v>3408</v>
      </c>
      <c r="H530" s="3145" t="s">
        <v>21</v>
      </c>
      <c r="I530" s="3133" t="s">
        <v>3409</v>
      </c>
      <c r="J530" s="3133">
        <f>'[3]典型户型修正-办公'!S862</f>
        <v>68</v>
      </c>
      <c r="K530" s="3133">
        <f>'[3]典型户型修正-办公'!R862</f>
        <v>14106</v>
      </c>
    </row>
    <row r="531" spans="2:11">
      <c r="B531" s="3146">
        <v>513</v>
      </c>
      <c r="C531" s="3147">
        <v>5</v>
      </c>
      <c r="D531" s="3147" t="s">
        <v>3521</v>
      </c>
      <c r="E531" s="3147">
        <v>49.3</v>
      </c>
      <c r="F531" s="3147">
        <v>3</v>
      </c>
      <c r="G531" s="3147" t="s">
        <v>3408</v>
      </c>
      <c r="H531" s="3145" t="s">
        <v>21</v>
      </c>
      <c r="I531" s="3133" t="s">
        <v>3409</v>
      </c>
      <c r="J531" s="3133">
        <f>'[3]典型户型修正-办公'!S863</f>
        <v>70</v>
      </c>
      <c r="K531" s="3133">
        <f>'[3]典型户型修正-办公'!R863</f>
        <v>14106</v>
      </c>
    </row>
    <row r="532" spans="2:11">
      <c r="B532" s="3146">
        <v>514</v>
      </c>
      <c r="C532" s="3147">
        <v>5</v>
      </c>
      <c r="D532" s="3147" t="s">
        <v>3522</v>
      </c>
      <c r="E532" s="3147">
        <v>49.59</v>
      </c>
      <c r="F532" s="3147">
        <v>3</v>
      </c>
      <c r="G532" s="3147" t="s">
        <v>3408</v>
      </c>
      <c r="H532" s="3145" t="s">
        <v>21</v>
      </c>
      <c r="I532" s="3133" t="s">
        <v>3409</v>
      </c>
      <c r="J532" s="3133">
        <f>'[3]典型户型修正-办公'!S864</f>
        <v>70</v>
      </c>
      <c r="K532" s="3133">
        <f>'[3]典型户型修正-办公'!R864</f>
        <v>14106</v>
      </c>
    </row>
    <row r="533" spans="2:11">
      <c r="B533" s="3146">
        <v>515</v>
      </c>
      <c r="C533" s="3147">
        <v>5</v>
      </c>
      <c r="D533" s="3147" t="s">
        <v>3523</v>
      </c>
      <c r="E533" s="3147">
        <v>49.28</v>
      </c>
      <c r="F533" s="3147">
        <v>3</v>
      </c>
      <c r="G533" s="3147" t="s">
        <v>3408</v>
      </c>
      <c r="H533" s="3145" t="s">
        <v>21</v>
      </c>
      <c r="I533" s="3133" t="s">
        <v>3409</v>
      </c>
      <c r="J533" s="3133">
        <f>'[3]典型户型修正-办公'!S865</f>
        <v>70</v>
      </c>
      <c r="K533" s="3133">
        <f>'[3]典型户型修正-办公'!R865</f>
        <v>14106</v>
      </c>
    </row>
    <row r="534" spans="2:11">
      <c r="B534" s="3146">
        <v>516</v>
      </c>
      <c r="C534" s="3147">
        <v>5</v>
      </c>
      <c r="D534" s="3147" t="s">
        <v>3524</v>
      </c>
      <c r="E534" s="3147">
        <v>48.41</v>
      </c>
      <c r="F534" s="3147">
        <v>3</v>
      </c>
      <c r="G534" s="3147" t="s">
        <v>3408</v>
      </c>
      <c r="H534" s="3145" t="s">
        <v>21</v>
      </c>
      <c r="I534" s="3133" t="s">
        <v>3409</v>
      </c>
      <c r="J534" s="3133">
        <f>'[3]典型户型修正-办公'!S866</f>
        <v>68</v>
      </c>
      <c r="K534" s="3133">
        <f>'[3]典型户型修正-办公'!R866</f>
        <v>14106</v>
      </c>
    </row>
    <row r="535" spans="2:11">
      <c r="B535" s="3146">
        <v>517</v>
      </c>
      <c r="C535" s="3147">
        <v>5</v>
      </c>
      <c r="D535" s="3147" t="s">
        <v>3525</v>
      </c>
      <c r="E535" s="3147">
        <v>47.44</v>
      </c>
      <c r="F535" s="3147">
        <v>3</v>
      </c>
      <c r="G535" s="3147" t="s">
        <v>3408</v>
      </c>
      <c r="H535" s="3145" t="s">
        <v>21</v>
      </c>
      <c r="I535" s="3133" t="s">
        <v>3409</v>
      </c>
      <c r="J535" s="3133">
        <f>'[3]典型户型修正-办公'!S867</f>
        <v>67</v>
      </c>
      <c r="K535" s="3133">
        <f>'[3]典型户型修正-办公'!R867</f>
        <v>14106</v>
      </c>
    </row>
    <row r="536" spans="2:11">
      <c r="B536" s="3146">
        <v>518</v>
      </c>
      <c r="C536" s="3147">
        <v>6</v>
      </c>
      <c r="D536" s="3147" t="s">
        <v>3526</v>
      </c>
      <c r="E536" s="3147">
        <v>52.2</v>
      </c>
      <c r="F536" s="3147">
        <v>3</v>
      </c>
      <c r="G536" s="3147" t="s">
        <v>3408</v>
      </c>
      <c r="H536" s="3145" t="s">
        <v>21</v>
      </c>
      <c r="I536" s="3133" t="s">
        <v>3409</v>
      </c>
      <c r="J536" s="3133">
        <f>'[3]典型户型修正-办公'!S868</f>
        <v>74</v>
      </c>
      <c r="K536" s="3133">
        <f>'[3]典型户型修正-办公'!R868</f>
        <v>14106</v>
      </c>
    </row>
    <row r="537" spans="2:11">
      <c r="B537" s="3146">
        <v>519</v>
      </c>
      <c r="C537" s="3147">
        <v>6</v>
      </c>
      <c r="D537" s="3147" t="s">
        <v>3527</v>
      </c>
      <c r="E537" s="3147">
        <v>50.33</v>
      </c>
      <c r="F537" s="3147">
        <v>3</v>
      </c>
      <c r="G537" s="3147" t="s">
        <v>3408</v>
      </c>
      <c r="H537" s="3145" t="s">
        <v>21</v>
      </c>
      <c r="I537" s="3133" t="s">
        <v>3409</v>
      </c>
      <c r="J537" s="3133">
        <f>'[3]典型户型修正-办公'!S869</f>
        <v>71</v>
      </c>
      <c r="K537" s="3133">
        <f>'[3]典型户型修正-办公'!R869</f>
        <v>14106</v>
      </c>
    </row>
    <row r="538" spans="2:11">
      <c r="B538" s="3146">
        <v>520</v>
      </c>
      <c r="C538" s="3147">
        <v>6</v>
      </c>
      <c r="D538" s="3147" t="s">
        <v>3528</v>
      </c>
      <c r="E538" s="3147">
        <v>50.33</v>
      </c>
      <c r="F538" s="3147">
        <v>3</v>
      </c>
      <c r="G538" s="3147" t="s">
        <v>3408</v>
      </c>
      <c r="H538" s="3145" t="s">
        <v>21</v>
      </c>
      <c r="I538" s="3133" t="s">
        <v>3409</v>
      </c>
      <c r="J538" s="3133">
        <f>'[3]典型户型修正-办公'!S870</f>
        <v>71</v>
      </c>
      <c r="K538" s="3133">
        <f>'[3]典型户型修正-办公'!R870</f>
        <v>14106</v>
      </c>
    </row>
    <row r="539" spans="2:11">
      <c r="B539" s="3146">
        <v>521</v>
      </c>
      <c r="C539" s="3147">
        <v>6</v>
      </c>
      <c r="D539" s="3147" t="s">
        <v>3529</v>
      </c>
      <c r="E539" s="3147">
        <v>50.33</v>
      </c>
      <c r="F539" s="3147">
        <v>3</v>
      </c>
      <c r="G539" s="3147" t="s">
        <v>3408</v>
      </c>
      <c r="H539" s="3145" t="s">
        <v>21</v>
      </c>
      <c r="I539" s="3133" t="s">
        <v>3409</v>
      </c>
      <c r="J539" s="3133">
        <f>'[3]典型户型修正-办公'!S871</f>
        <v>71</v>
      </c>
      <c r="K539" s="3133">
        <f>'[3]典型户型修正-办公'!R871</f>
        <v>14106</v>
      </c>
    </row>
    <row r="540" spans="2:11">
      <c r="B540" s="3146">
        <v>522</v>
      </c>
      <c r="C540" s="3147">
        <v>6</v>
      </c>
      <c r="D540" s="3147" t="s">
        <v>3530</v>
      </c>
      <c r="E540" s="3147">
        <v>50.33</v>
      </c>
      <c r="F540" s="3147">
        <v>3</v>
      </c>
      <c r="G540" s="3147" t="s">
        <v>3408</v>
      </c>
      <c r="H540" s="3145" t="s">
        <v>21</v>
      </c>
      <c r="I540" s="3133" t="s">
        <v>3409</v>
      </c>
      <c r="J540" s="3133">
        <f>'[3]典型户型修正-办公'!S872</f>
        <v>71</v>
      </c>
      <c r="K540" s="3133">
        <f>'[3]典型户型修正-办公'!R872</f>
        <v>14106</v>
      </c>
    </row>
    <row r="541" spans="2:11">
      <c r="B541" s="3146">
        <v>523</v>
      </c>
      <c r="C541" s="3147">
        <v>6</v>
      </c>
      <c r="D541" s="3147" t="s">
        <v>3531</v>
      </c>
      <c r="E541" s="3147">
        <v>50.33</v>
      </c>
      <c r="F541" s="3147">
        <v>3</v>
      </c>
      <c r="G541" s="3147" t="s">
        <v>3408</v>
      </c>
      <c r="H541" s="3145" t="s">
        <v>21</v>
      </c>
      <c r="I541" s="3133" t="s">
        <v>3409</v>
      </c>
      <c r="J541" s="3133">
        <f>'[3]典型户型修正-办公'!S873</f>
        <v>71</v>
      </c>
      <c r="K541" s="3133">
        <f>'[3]典型户型修正-办公'!R873</f>
        <v>14106</v>
      </c>
    </row>
    <row r="542" spans="2:11">
      <c r="B542" s="3146">
        <v>524</v>
      </c>
      <c r="C542" s="3147">
        <v>6</v>
      </c>
      <c r="D542" s="3147" t="s">
        <v>3532</v>
      </c>
      <c r="E542" s="3147">
        <v>50.33</v>
      </c>
      <c r="F542" s="3147">
        <v>3</v>
      </c>
      <c r="G542" s="3147" t="s">
        <v>3408</v>
      </c>
      <c r="H542" s="3145" t="s">
        <v>21</v>
      </c>
      <c r="I542" s="3133" t="s">
        <v>3409</v>
      </c>
      <c r="J542" s="3133">
        <f>'[3]典型户型修正-办公'!S874</f>
        <v>71</v>
      </c>
      <c r="K542" s="3133">
        <f>'[3]典型户型修正-办公'!R874</f>
        <v>14106</v>
      </c>
    </row>
    <row r="543" spans="2:11">
      <c r="B543" s="3146">
        <v>525</v>
      </c>
      <c r="C543" s="3147">
        <v>6</v>
      </c>
      <c r="D543" s="3147" t="s">
        <v>3533</v>
      </c>
      <c r="E543" s="3147">
        <v>50.33</v>
      </c>
      <c r="F543" s="3147">
        <v>3</v>
      </c>
      <c r="G543" s="3147" t="s">
        <v>3408</v>
      </c>
      <c r="H543" s="3145" t="s">
        <v>21</v>
      </c>
      <c r="I543" s="3133" t="s">
        <v>3409</v>
      </c>
      <c r="J543" s="3133">
        <f>'[3]典型户型修正-办公'!S875</f>
        <v>71</v>
      </c>
      <c r="K543" s="3133">
        <f>'[3]典型户型修正-办公'!R875</f>
        <v>14106</v>
      </c>
    </row>
    <row r="544" spans="2:11">
      <c r="B544" s="3146">
        <v>526</v>
      </c>
      <c r="C544" s="3147">
        <v>6</v>
      </c>
      <c r="D544" s="3147" t="s">
        <v>3534</v>
      </c>
      <c r="E544" s="3147">
        <v>50.33</v>
      </c>
      <c r="F544" s="3147">
        <v>3</v>
      </c>
      <c r="G544" s="3147" t="s">
        <v>3408</v>
      </c>
      <c r="H544" s="3145" t="s">
        <v>21</v>
      </c>
      <c r="I544" s="3133" t="s">
        <v>3409</v>
      </c>
      <c r="J544" s="3133">
        <f>'[3]典型户型修正-办公'!S876</f>
        <v>71</v>
      </c>
      <c r="K544" s="3133">
        <f>'[3]典型户型修正-办公'!R876</f>
        <v>14106</v>
      </c>
    </row>
    <row r="545" spans="2:11">
      <c r="B545" s="3146">
        <v>527</v>
      </c>
      <c r="C545" s="3147">
        <v>6</v>
      </c>
      <c r="D545" s="3147" t="s">
        <v>3535</v>
      </c>
      <c r="E545" s="3147">
        <v>50.33</v>
      </c>
      <c r="F545" s="3147">
        <v>3</v>
      </c>
      <c r="G545" s="3147" t="s">
        <v>3408</v>
      </c>
      <c r="H545" s="3145" t="s">
        <v>21</v>
      </c>
      <c r="I545" s="3133" t="s">
        <v>3409</v>
      </c>
      <c r="J545" s="3133">
        <f>'[3]典型户型修正-办公'!S877</f>
        <v>71</v>
      </c>
      <c r="K545" s="3133">
        <f>'[3]典型户型修正-办公'!R877</f>
        <v>14106</v>
      </c>
    </row>
    <row r="546" spans="2:11">
      <c r="B546" s="3146">
        <v>528</v>
      </c>
      <c r="C546" s="3147">
        <v>6</v>
      </c>
      <c r="D546" s="3147" t="s">
        <v>3536</v>
      </c>
      <c r="E546" s="3147">
        <v>50.33</v>
      </c>
      <c r="F546" s="3147">
        <v>3</v>
      </c>
      <c r="G546" s="3147" t="s">
        <v>3408</v>
      </c>
      <c r="H546" s="3145" t="s">
        <v>21</v>
      </c>
      <c r="I546" s="3133" t="s">
        <v>3409</v>
      </c>
      <c r="J546" s="3133">
        <f>'[3]典型户型修正-办公'!S878</f>
        <v>71</v>
      </c>
      <c r="K546" s="3133">
        <f>'[3]典型户型修正-办公'!R878</f>
        <v>14106</v>
      </c>
    </row>
    <row r="547" spans="2:11">
      <c r="B547" s="3146">
        <v>529</v>
      </c>
      <c r="C547" s="3147">
        <v>6</v>
      </c>
      <c r="D547" s="3147" t="s">
        <v>3537</v>
      </c>
      <c r="E547" s="3147">
        <v>50.33</v>
      </c>
      <c r="F547" s="3147">
        <v>3</v>
      </c>
      <c r="G547" s="3147" t="s">
        <v>3408</v>
      </c>
      <c r="H547" s="3145" t="s">
        <v>21</v>
      </c>
      <c r="I547" s="3133" t="s">
        <v>3409</v>
      </c>
      <c r="J547" s="3133">
        <f>'[3]典型户型修正-办公'!S879</f>
        <v>71</v>
      </c>
      <c r="K547" s="3133">
        <f>'[3]典型户型修正-办公'!R879</f>
        <v>14106</v>
      </c>
    </row>
    <row r="548" spans="2:11">
      <c r="B548" s="3146">
        <v>530</v>
      </c>
      <c r="C548" s="3147">
        <v>6</v>
      </c>
      <c r="D548" s="3147" t="s">
        <v>3538</v>
      </c>
      <c r="E548" s="3147">
        <v>50.33</v>
      </c>
      <c r="F548" s="3147">
        <v>3</v>
      </c>
      <c r="G548" s="3147" t="s">
        <v>3408</v>
      </c>
      <c r="H548" s="3145" t="s">
        <v>21</v>
      </c>
      <c r="I548" s="3133" t="s">
        <v>3409</v>
      </c>
      <c r="J548" s="3133">
        <f>'[3]典型户型修正-办公'!S880</f>
        <v>71</v>
      </c>
      <c r="K548" s="3133">
        <f>'[3]典型户型修正-办公'!R880</f>
        <v>14106</v>
      </c>
    </row>
    <row r="549" spans="2:11">
      <c r="B549" s="3146">
        <v>531</v>
      </c>
      <c r="C549" s="3147">
        <v>6</v>
      </c>
      <c r="D549" s="3147" t="s">
        <v>3539</v>
      </c>
      <c r="E549" s="3147">
        <v>50.33</v>
      </c>
      <c r="F549" s="3147">
        <v>3</v>
      </c>
      <c r="G549" s="3147" t="s">
        <v>3408</v>
      </c>
      <c r="H549" s="3145" t="s">
        <v>21</v>
      </c>
      <c r="I549" s="3133" t="s">
        <v>3409</v>
      </c>
      <c r="J549" s="3133">
        <f>'[3]典型户型修正-办公'!S881</f>
        <v>71</v>
      </c>
      <c r="K549" s="3133">
        <f>'[3]典型户型修正-办公'!R881</f>
        <v>14106</v>
      </c>
    </row>
    <row r="550" spans="2:11">
      <c r="B550" s="3146">
        <v>532</v>
      </c>
      <c r="C550" s="3147">
        <v>6</v>
      </c>
      <c r="D550" s="3147" t="s">
        <v>3540</v>
      </c>
      <c r="E550" s="3147">
        <v>50.33</v>
      </c>
      <c r="F550" s="3147">
        <v>3</v>
      </c>
      <c r="G550" s="3147" t="s">
        <v>3408</v>
      </c>
      <c r="H550" s="3145" t="s">
        <v>21</v>
      </c>
      <c r="I550" s="3133" t="s">
        <v>3409</v>
      </c>
      <c r="J550" s="3133">
        <f>'[3]典型户型修正-办公'!S882</f>
        <v>71</v>
      </c>
      <c r="K550" s="3133">
        <f>'[3]典型户型修正-办公'!R882</f>
        <v>14106</v>
      </c>
    </row>
    <row r="551" spans="2:11">
      <c r="B551" s="3146">
        <v>533</v>
      </c>
      <c r="C551" s="3147">
        <v>6</v>
      </c>
      <c r="D551" s="3147" t="s">
        <v>3541</v>
      </c>
      <c r="E551" s="3147">
        <v>69.77</v>
      </c>
      <c r="F551" s="3147">
        <v>3</v>
      </c>
      <c r="G551" s="3147" t="s">
        <v>3408</v>
      </c>
      <c r="H551" s="3145" t="s">
        <v>21</v>
      </c>
      <c r="I551" s="3133" t="s">
        <v>3409</v>
      </c>
      <c r="J551" s="3133">
        <f>'[3]典型户型修正-办公'!S883</f>
        <v>99</v>
      </c>
      <c r="K551" s="3133">
        <f>'[3]典型户型修正-办公'!R883</f>
        <v>14247</v>
      </c>
    </row>
    <row r="552" spans="2:11">
      <c r="B552" s="3146">
        <v>534</v>
      </c>
      <c r="C552" s="3147">
        <v>6</v>
      </c>
      <c r="D552" s="3147" t="s">
        <v>3542</v>
      </c>
      <c r="E552" s="3147">
        <v>38.65</v>
      </c>
      <c r="F552" s="3147">
        <v>3</v>
      </c>
      <c r="G552" s="3147" t="s">
        <v>3408</v>
      </c>
      <c r="H552" s="3145" t="s">
        <v>21</v>
      </c>
      <c r="I552" s="3133" t="s">
        <v>3409</v>
      </c>
      <c r="J552" s="3133">
        <f>'[3]典型户型修正-办公'!S884</f>
        <v>55</v>
      </c>
      <c r="K552" s="3133">
        <f>'[3]典型户型修正-办公'!R884</f>
        <v>14106</v>
      </c>
    </row>
    <row r="553" spans="2:11">
      <c r="B553" s="3146">
        <v>535</v>
      </c>
      <c r="C553" s="3147">
        <v>6</v>
      </c>
      <c r="D553" s="3147" t="s">
        <v>3543</v>
      </c>
      <c r="E553" s="3147">
        <v>41.99</v>
      </c>
      <c r="F553" s="3147">
        <v>3</v>
      </c>
      <c r="G553" s="3147" t="s">
        <v>3408</v>
      </c>
      <c r="H553" s="3145" t="s">
        <v>21</v>
      </c>
      <c r="I553" s="3133" t="s">
        <v>3409</v>
      </c>
      <c r="J553" s="3133">
        <f>'[3]典型户型修正-办公'!S885</f>
        <v>59</v>
      </c>
      <c r="K553" s="3133">
        <f>'[3]典型户型修正-办公'!R885</f>
        <v>14106</v>
      </c>
    </row>
    <row r="554" spans="2:11">
      <c r="B554" s="3146">
        <v>536</v>
      </c>
      <c r="C554" s="3147">
        <v>6</v>
      </c>
      <c r="D554" s="3147" t="s">
        <v>3544</v>
      </c>
      <c r="E554" s="3147">
        <v>44.72</v>
      </c>
      <c r="F554" s="3147">
        <v>3</v>
      </c>
      <c r="G554" s="3147" t="s">
        <v>3408</v>
      </c>
      <c r="H554" s="3145" t="s">
        <v>21</v>
      </c>
      <c r="I554" s="3133" t="s">
        <v>3409</v>
      </c>
      <c r="J554" s="3133">
        <f>'[3]典型户型修正-办公'!S886</f>
        <v>63</v>
      </c>
      <c r="K554" s="3133">
        <f>'[3]典型户型修正-办公'!R886</f>
        <v>14106</v>
      </c>
    </row>
    <row r="555" spans="2:11">
      <c r="B555" s="3146">
        <v>537</v>
      </c>
      <c r="C555" s="3147">
        <v>6</v>
      </c>
      <c r="D555" s="3147" t="s">
        <v>3545</v>
      </c>
      <c r="E555" s="3147">
        <v>46.83</v>
      </c>
      <c r="F555" s="3147">
        <v>3</v>
      </c>
      <c r="G555" s="3147" t="s">
        <v>3408</v>
      </c>
      <c r="H555" s="3145" t="s">
        <v>21</v>
      </c>
      <c r="I555" s="3133" t="s">
        <v>3409</v>
      </c>
      <c r="J555" s="3133">
        <f>'[3]典型户型修正-办公'!S887</f>
        <v>66</v>
      </c>
      <c r="K555" s="3133">
        <f>'[3]典型户型修正-办公'!R887</f>
        <v>14106</v>
      </c>
    </row>
    <row r="556" spans="2:11">
      <c r="B556" s="3146">
        <v>538</v>
      </c>
      <c r="C556" s="3147">
        <v>6</v>
      </c>
      <c r="D556" s="3147" t="s">
        <v>3546</v>
      </c>
      <c r="E556" s="3147">
        <v>48.33</v>
      </c>
      <c r="F556" s="3147">
        <v>3</v>
      </c>
      <c r="G556" s="3147" t="s">
        <v>3408</v>
      </c>
      <c r="H556" s="3145" t="s">
        <v>21</v>
      </c>
      <c r="I556" s="3133" t="s">
        <v>3409</v>
      </c>
      <c r="J556" s="3133">
        <f>'[3]典型户型修正-办公'!S888</f>
        <v>68</v>
      </c>
      <c r="K556" s="3133">
        <f>'[3]典型户型修正-办公'!R888</f>
        <v>14106</v>
      </c>
    </row>
    <row r="557" spans="2:11">
      <c r="B557" s="3146">
        <v>539</v>
      </c>
      <c r="C557" s="3147">
        <v>6</v>
      </c>
      <c r="D557" s="3147" t="s">
        <v>3547</v>
      </c>
      <c r="E557" s="3147">
        <v>49.3</v>
      </c>
      <c r="F557" s="3147">
        <v>3</v>
      </c>
      <c r="G557" s="3147" t="s">
        <v>3408</v>
      </c>
      <c r="H557" s="3145" t="s">
        <v>21</v>
      </c>
      <c r="I557" s="3133" t="s">
        <v>3409</v>
      </c>
      <c r="J557" s="3133">
        <f>'[3]典型户型修正-办公'!S889</f>
        <v>70</v>
      </c>
      <c r="K557" s="3133">
        <f>'[3]典型户型修正-办公'!R889</f>
        <v>14106</v>
      </c>
    </row>
    <row r="558" spans="2:11">
      <c r="B558" s="3146">
        <v>540</v>
      </c>
      <c r="C558" s="3147">
        <v>6</v>
      </c>
      <c r="D558" s="3147" t="s">
        <v>3548</v>
      </c>
      <c r="E558" s="3147">
        <v>49.59</v>
      </c>
      <c r="F558" s="3147">
        <v>3</v>
      </c>
      <c r="G558" s="3147" t="s">
        <v>3408</v>
      </c>
      <c r="H558" s="3145" t="s">
        <v>21</v>
      </c>
      <c r="I558" s="3133" t="s">
        <v>3409</v>
      </c>
      <c r="J558" s="3133">
        <f>'[3]典型户型修正-办公'!S890</f>
        <v>70</v>
      </c>
      <c r="K558" s="3133">
        <f>'[3]典型户型修正-办公'!R890</f>
        <v>14106</v>
      </c>
    </row>
    <row r="559" spans="2:11">
      <c r="B559" s="3146">
        <v>541</v>
      </c>
      <c r="C559" s="3147">
        <v>6</v>
      </c>
      <c r="D559" s="3147" t="s">
        <v>3549</v>
      </c>
      <c r="E559" s="3147">
        <v>49.28</v>
      </c>
      <c r="F559" s="3147">
        <v>3</v>
      </c>
      <c r="G559" s="3147" t="s">
        <v>3408</v>
      </c>
      <c r="H559" s="3145" t="s">
        <v>21</v>
      </c>
      <c r="I559" s="3133" t="s">
        <v>3409</v>
      </c>
      <c r="J559" s="3133">
        <f>'[3]典型户型修正-办公'!S891</f>
        <v>70</v>
      </c>
      <c r="K559" s="3133">
        <f>'[3]典型户型修正-办公'!R891</f>
        <v>14106</v>
      </c>
    </row>
    <row r="560" spans="2:11">
      <c r="B560" s="3146">
        <v>542</v>
      </c>
      <c r="C560" s="3147">
        <v>6</v>
      </c>
      <c r="D560" s="3147" t="s">
        <v>3550</v>
      </c>
      <c r="E560" s="3147">
        <v>48.41</v>
      </c>
      <c r="F560" s="3147">
        <v>3</v>
      </c>
      <c r="G560" s="3147" t="s">
        <v>3408</v>
      </c>
      <c r="H560" s="3145" t="s">
        <v>21</v>
      </c>
      <c r="I560" s="3133" t="s">
        <v>3409</v>
      </c>
      <c r="J560" s="3133">
        <f>'[3]典型户型修正-办公'!S892</f>
        <v>68</v>
      </c>
      <c r="K560" s="3133">
        <f>'[3]典型户型修正-办公'!R892</f>
        <v>14106</v>
      </c>
    </row>
    <row r="561" spans="1:11">
      <c r="B561" s="3146">
        <v>543</v>
      </c>
      <c r="C561" s="3147">
        <v>6</v>
      </c>
      <c r="D561" s="3147" t="s">
        <v>3551</v>
      </c>
      <c r="E561" s="3147">
        <v>47.44</v>
      </c>
      <c r="F561" s="3147">
        <v>3</v>
      </c>
      <c r="G561" s="3147" t="s">
        <v>3408</v>
      </c>
      <c r="H561" s="3145" t="s">
        <v>21</v>
      </c>
      <c r="I561" s="3133" t="s">
        <v>3409</v>
      </c>
      <c r="J561" s="3133">
        <f>'[3]典型户型修正-办公'!S893</f>
        <v>67</v>
      </c>
      <c r="K561" s="3133">
        <f>'[3]典型户型修正-办公'!R893</f>
        <v>14106</v>
      </c>
    </row>
    <row r="562" spans="1:11">
      <c r="B562" s="3146">
        <v>544</v>
      </c>
      <c r="C562" s="3147">
        <v>7</v>
      </c>
      <c r="D562" s="3147" t="s">
        <v>3552</v>
      </c>
      <c r="E562" s="3147">
        <v>52.2</v>
      </c>
      <c r="F562" s="3147">
        <v>3</v>
      </c>
      <c r="G562" s="3147" t="s">
        <v>3408</v>
      </c>
      <c r="H562" s="3145" t="s">
        <v>21</v>
      </c>
      <c r="I562" s="3133" t="s">
        <v>3409</v>
      </c>
      <c r="J562" s="3133">
        <f>'[3]典型户型修正-办公'!S894</f>
        <v>74</v>
      </c>
      <c r="K562" s="3133">
        <f>'[3]典型户型修正-办公'!R894</f>
        <v>14106</v>
      </c>
    </row>
    <row r="563" spans="1:11">
      <c r="B563" s="3146">
        <v>545</v>
      </c>
      <c r="C563" s="3147">
        <v>7</v>
      </c>
      <c r="D563" s="3147" t="s">
        <v>3554</v>
      </c>
      <c r="E563" s="3147">
        <v>50.33</v>
      </c>
      <c r="F563" s="3147">
        <v>3</v>
      </c>
      <c r="G563" s="3147" t="s">
        <v>3408</v>
      </c>
      <c r="H563" s="3145" t="s">
        <v>21</v>
      </c>
      <c r="I563" s="3133" t="s">
        <v>3409</v>
      </c>
      <c r="J563" s="3133">
        <f>'[3]典型户型修正-办公'!S895</f>
        <v>71</v>
      </c>
      <c r="K563" s="3133">
        <f>'[3]典型户型修正-办公'!R895</f>
        <v>14106</v>
      </c>
    </row>
    <row r="564" spans="1:11">
      <c r="B564" s="3146">
        <v>546</v>
      </c>
      <c r="C564" s="3147">
        <v>7</v>
      </c>
      <c r="D564" s="3147" t="s">
        <v>3555</v>
      </c>
      <c r="E564" s="3147">
        <v>50.33</v>
      </c>
      <c r="F564" s="3147">
        <v>3</v>
      </c>
      <c r="G564" s="3147" t="s">
        <v>3408</v>
      </c>
      <c r="H564" s="3145" t="s">
        <v>21</v>
      </c>
      <c r="I564" s="3133" t="s">
        <v>3409</v>
      </c>
      <c r="J564" s="3133">
        <f>'[3]典型户型修正-办公'!S896</f>
        <v>71</v>
      </c>
      <c r="K564" s="3133">
        <f>'[3]典型户型修正-办公'!R896</f>
        <v>14106</v>
      </c>
    </row>
    <row r="565" spans="1:11">
      <c r="B565" s="3146">
        <v>547</v>
      </c>
      <c r="C565" s="3147">
        <v>7</v>
      </c>
      <c r="D565" s="3147" t="s">
        <v>3556</v>
      </c>
      <c r="E565" s="3147">
        <v>50.33</v>
      </c>
      <c r="F565" s="3147">
        <v>3</v>
      </c>
      <c r="G565" s="3147" t="s">
        <v>3408</v>
      </c>
      <c r="H565" s="3145" t="s">
        <v>21</v>
      </c>
      <c r="I565" s="3133" t="s">
        <v>3409</v>
      </c>
      <c r="J565" s="3133">
        <f>'[3]典型户型修正-办公'!S897</f>
        <v>71</v>
      </c>
      <c r="K565" s="3133">
        <f>'[3]典型户型修正-办公'!R897</f>
        <v>14106</v>
      </c>
    </row>
    <row r="566" spans="1:11">
      <c r="B566" s="3146">
        <v>548</v>
      </c>
      <c r="C566" s="3147">
        <v>7</v>
      </c>
      <c r="D566" s="3147" t="s">
        <v>3557</v>
      </c>
      <c r="E566" s="3147">
        <v>50.33</v>
      </c>
      <c r="F566" s="3147">
        <v>3</v>
      </c>
      <c r="G566" s="3147" t="s">
        <v>3408</v>
      </c>
      <c r="H566" s="3145" t="s">
        <v>21</v>
      </c>
      <c r="I566" s="3133" t="s">
        <v>3409</v>
      </c>
      <c r="J566" s="3133">
        <f>'[3]典型户型修正-办公'!S898</f>
        <v>71</v>
      </c>
      <c r="K566" s="3133">
        <f>'[3]典型户型修正-办公'!R898</f>
        <v>14106</v>
      </c>
    </row>
    <row r="567" spans="1:11">
      <c r="B567" s="3146">
        <v>549</v>
      </c>
      <c r="C567" s="3147">
        <v>7</v>
      </c>
      <c r="D567" s="3147" t="s">
        <v>3558</v>
      </c>
      <c r="E567" s="3147">
        <v>50.33</v>
      </c>
      <c r="F567" s="3147">
        <v>3</v>
      </c>
      <c r="G567" s="3147" t="s">
        <v>3408</v>
      </c>
      <c r="H567" s="3145" t="s">
        <v>21</v>
      </c>
      <c r="I567" s="3133" t="s">
        <v>3409</v>
      </c>
      <c r="J567" s="3133">
        <f>'[3]典型户型修正-办公'!S899</f>
        <v>71</v>
      </c>
      <c r="K567" s="3133">
        <f>'[3]典型户型修正-办公'!R899</f>
        <v>14106</v>
      </c>
    </row>
    <row r="568" spans="1:11">
      <c r="B568" s="3146">
        <v>550</v>
      </c>
      <c r="C568" s="3147">
        <v>7</v>
      </c>
      <c r="D568" s="3147" t="s">
        <v>3559</v>
      </c>
      <c r="E568" s="3147">
        <v>50.33</v>
      </c>
      <c r="F568" s="3147">
        <v>3</v>
      </c>
      <c r="G568" s="3147" t="s">
        <v>3408</v>
      </c>
      <c r="H568" s="3145" t="s">
        <v>21</v>
      </c>
      <c r="I568" s="3133" t="s">
        <v>3409</v>
      </c>
      <c r="J568" s="3133">
        <f>'[3]典型户型修正-办公'!S900</f>
        <v>71</v>
      </c>
      <c r="K568" s="3133">
        <f>'[3]典型户型修正-办公'!R900</f>
        <v>14106</v>
      </c>
    </row>
    <row r="569" spans="1:11">
      <c r="B569" s="3146">
        <v>551</v>
      </c>
      <c r="C569" s="3147">
        <v>7</v>
      </c>
      <c r="D569" s="3147" t="s">
        <v>3560</v>
      </c>
      <c r="E569" s="3147">
        <v>50.33</v>
      </c>
      <c r="F569" s="3147">
        <v>3</v>
      </c>
      <c r="G569" s="3147" t="s">
        <v>3408</v>
      </c>
      <c r="H569" s="3145" t="s">
        <v>21</v>
      </c>
      <c r="I569" s="3133" t="s">
        <v>3409</v>
      </c>
      <c r="J569" s="3133">
        <f>'[3]典型户型修正-办公'!S901</f>
        <v>71</v>
      </c>
      <c r="K569" s="3133">
        <f>'[3]典型户型修正-办公'!R901</f>
        <v>14106</v>
      </c>
    </row>
    <row r="570" spans="1:11">
      <c r="B570" s="3146">
        <v>552</v>
      </c>
      <c r="C570" s="3147">
        <v>7</v>
      </c>
      <c r="D570" s="3147" t="s">
        <v>3561</v>
      </c>
      <c r="E570" s="3147">
        <v>50.33</v>
      </c>
      <c r="F570" s="3147">
        <v>3</v>
      </c>
      <c r="G570" s="3147" t="s">
        <v>3408</v>
      </c>
      <c r="H570" s="3145" t="s">
        <v>21</v>
      </c>
      <c r="I570" s="3133" t="s">
        <v>3409</v>
      </c>
      <c r="J570" s="3133">
        <f>'[3]典型户型修正-办公'!S902</f>
        <v>71</v>
      </c>
      <c r="K570" s="3133">
        <f>'[3]典型户型修正-办公'!R902</f>
        <v>14106</v>
      </c>
    </row>
    <row r="571" spans="1:11">
      <c r="B571" s="3146">
        <v>553</v>
      </c>
      <c r="C571" s="3147">
        <v>7</v>
      </c>
      <c r="D571" s="3147" t="s">
        <v>3562</v>
      </c>
      <c r="E571" s="3147">
        <v>50.33</v>
      </c>
      <c r="F571" s="3147">
        <v>3</v>
      </c>
      <c r="G571" s="3147" t="s">
        <v>3408</v>
      </c>
      <c r="H571" s="3145" t="s">
        <v>21</v>
      </c>
      <c r="I571" s="3133" t="s">
        <v>3409</v>
      </c>
      <c r="J571" s="3133">
        <f>'[3]典型户型修正-办公'!S903</f>
        <v>71</v>
      </c>
      <c r="K571" s="3133">
        <f>'[3]典型户型修正-办公'!R903</f>
        <v>14106</v>
      </c>
    </row>
    <row r="572" spans="1:11">
      <c r="A572" s="3145"/>
      <c r="B572" s="3146">
        <v>554</v>
      </c>
      <c r="C572" s="3147">
        <v>7</v>
      </c>
      <c r="D572" s="3147" t="s">
        <v>3563</v>
      </c>
      <c r="E572" s="3147">
        <v>50.33</v>
      </c>
      <c r="F572" s="3147">
        <v>3</v>
      </c>
      <c r="G572" s="3147" t="s">
        <v>3408</v>
      </c>
      <c r="H572" s="3145" t="s">
        <v>21</v>
      </c>
      <c r="I572" s="3133" t="s">
        <v>3409</v>
      </c>
      <c r="J572" s="3133">
        <f>'[3]典型户型修正-办公'!S904</f>
        <v>71</v>
      </c>
      <c r="K572" s="3133">
        <f>'[3]典型户型修正-办公'!R904</f>
        <v>14106</v>
      </c>
    </row>
    <row r="573" spans="1:11">
      <c r="A573" s="3145"/>
      <c r="B573" s="3146">
        <v>555</v>
      </c>
      <c r="C573" s="3147">
        <v>7</v>
      </c>
      <c r="D573" s="3147" t="s">
        <v>3564</v>
      </c>
      <c r="E573" s="3147">
        <v>50.33</v>
      </c>
      <c r="F573" s="3147">
        <v>3</v>
      </c>
      <c r="G573" s="3147" t="s">
        <v>3408</v>
      </c>
      <c r="H573" s="3145" t="s">
        <v>21</v>
      </c>
      <c r="I573" s="3133" t="s">
        <v>3409</v>
      </c>
      <c r="J573" s="3133">
        <f>'[3]典型户型修正-办公'!S905</f>
        <v>71</v>
      </c>
      <c r="K573" s="3133">
        <f>'[3]典型户型修正-办公'!R905</f>
        <v>14106</v>
      </c>
    </row>
    <row r="574" spans="1:11">
      <c r="A574" s="3145"/>
      <c r="B574" s="3146">
        <v>556</v>
      </c>
      <c r="C574" s="3147">
        <v>7</v>
      </c>
      <c r="D574" s="3147" t="s">
        <v>3565</v>
      </c>
      <c r="E574" s="3147">
        <v>50.33</v>
      </c>
      <c r="F574" s="3147">
        <v>3</v>
      </c>
      <c r="G574" s="3147" t="s">
        <v>3408</v>
      </c>
      <c r="H574" s="3145" t="s">
        <v>21</v>
      </c>
      <c r="I574" s="3133" t="s">
        <v>3409</v>
      </c>
      <c r="J574" s="3133">
        <f>'[3]典型户型修正-办公'!S906</f>
        <v>71</v>
      </c>
      <c r="K574" s="3133">
        <f>'[3]典型户型修正-办公'!R906</f>
        <v>14106</v>
      </c>
    </row>
    <row r="575" spans="1:11">
      <c r="A575" s="3145"/>
      <c r="B575" s="3146">
        <v>557</v>
      </c>
      <c r="C575" s="3147">
        <v>7</v>
      </c>
      <c r="D575" s="3147" t="s">
        <v>3566</v>
      </c>
      <c r="E575" s="3147">
        <v>50.33</v>
      </c>
      <c r="F575" s="3147">
        <v>3</v>
      </c>
      <c r="G575" s="3147" t="s">
        <v>3408</v>
      </c>
      <c r="H575" s="3145" t="s">
        <v>21</v>
      </c>
      <c r="I575" s="3133" t="s">
        <v>3409</v>
      </c>
      <c r="J575" s="3133">
        <f>'[3]典型户型修正-办公'!S907</f>
        <v>71</v>
      </c>
      <c r="K575" s="3133">
        <f>'[3]典型户型修正-办公'!R907</f>
        <v>14106</v>
      </c>
    </row>
    <row r="576" spans="1:11">
      <c r="A576" s="3145"/>
      <c r="B576" s="3146">
        <v>558</v>
      </c>
      <c r="C576" s="3147">
        <v>7</v>
      </c>
      <c r="D576" s="3147" t="s">
        <v>3567</v>
      </c>
      <c r="E576" s="3147">
        <v>50.33</v>
      </c>
      <c r="F576" s="3147">
        <v>3</v>
      </c>
      <c r="G576" s="3147" t="s">
        <v>3408</v>
      </c>
      <c r="H576" s="3145" t="s">
        <v>21</v>
      </c>
      <c r="I576" s="3133" t="s">
        <v>3409</v>
      </c>
      <c r="J576" s="3133">
        <f>'[3]典型户型修正-办公'!S908</f>
        <v>71</v>
      </c>
      <c r="K576" s="3133">
        <f>'[3]典型户型修正-办公'!R908</f>
        <v>14106</v>
      </c>
    </row>
    <row r="577" spans="1:11">
      <c r="A577" s="3145"/>
      <c r="B577" s="3146">
        <v>559</v>
      </c>
      <c r="C577" s="3147">
        <v>7</v>
      </c>
      <c r="D577" s="3147" t="s">
        <v>3568</v>
      </c>
      <c r="E577" s="3147">
        <v>69.77</v>
      </c>
      <c r="F577" s="3147">
        <v>3</v>
      </c>
      <c r="G577" s="3147" t="s">
        <v>3408</v>
      </c>
      <c r="H577" s="3145" t="s">
        <v>21</v>
      </c>
      <c r="I577" s="3133" t="s">
        <v>3409</v>
      </c>
      <c r="J577" s="3133">
        <f>'[3]典型户型修正-办公'!S909</f>
        <v>99</v>
      </c>
      <c r="K577" s="3133">
        <f>'[3]典型户型修正-办公'!R909</f>
        <v>14247</v>
      </c>
    </row>
    <row r="578" spans="1:11">
      <c r="A578" s="3145"/>
      <c r="B578" s="3146">
        <v>560</v>
      </c>
      <c r="C578" s="3147">
        <v>7</v>
      </c>
      <c r="D578" s="3147" t="s">
        <v>3569</v>
      </c>
      <c r="E578" s="3147">
        <v>38.65</v>
      </c>
      <c r="F578" s="3147">
        <v>3</v>
      </c>
      <c r="G578" s="3147" t="s">
        <v>3408</v>
      </c>
      <c r="H578" s="3145" t="s">
        <v>21</v>
      </c>
      <c r="I578" s="3133" t="s">
        <v>3409</v>
      </c>
      <c r="J578" s="3133">
        <f>'[3]典型户型修正-办公'!S910</f>
        <v>55</v>
      </c>
      <c r="K578" s="3133">
        <f>'[3]典型户型修正-办公'!R910</f>
        <v>14106</v>
      </c>
    </row>
    <row r="579" spans="1:11">
      <c r="A579" s="3145"/>
      <c r="B579" s="3146">
        <v>561</v>
      </c>
      <c r="C579" s="3147">
        <v>7</v>
      </c>
      <c r="D579" s="3147" t="s">
        <v>3570</v>
      </c>
      <c r="E579" s="3147">
        <v>41.99</v>
      </c>
      <c r="F579" s="3147">
        <v>3</v>
      </c>
      <c r="G579" s="3147" t="s">
        <v>3408</v>
      </c>
      <c r="H579" s="3145" t="s">
        <v>21</v>
      </c>
      <c r="I579" s="3133" t="s">
        <v>3409</v>
      </c>
      <c r="J579" s="3133">
        <f>'[3]典型户型修正-办公'!S911</f>
        <v>59</v>
      </c>
      <c r="K579" s="3133">
        <f>'[3]典型户型修正-办公'!R911</f>
        <v>14106</v>
      </c>
    </row>
    <row r="580" spans="1:11">
      <c r="A580" s="3145"/>
      <c r="B580" s="3146">
        <v>562</v>
      </c>
      <c r="C580" s="3147">
        <v>7</v>
      </c>
      <c r="D580" s="3147" t="s">
        <v>3571</v>
      </c>
      <c r="E580" s="3147">
        <v>44.72</v>
      </c>
      <c r="F580" s="3147">
        <v>3</v>
      </c>
      <c r="G580" s="3147" t="s">
        <v>3408</v>
      </c>
      <c r="H580" s="3145" t="s">
        <v>21</v>
      </c>
      <c r="I580" s="3133" t="s">
        <v>3409</v>
      </c>
      <c r="J580" s="3133">
        <f>'[3]典型户型修正-办公'!S912</f>
        <v>63</v>
      </c>
      <c r="K580" s="3133">
        <f>'[3]典型户型修正-办公'!R912</f>
        <v>14106</v>
      </c>
    </row>
    <row r="581" spans="1:11">
      <c r="A581" s="3145"/>
      <c r="B581" s="3146">
        <v>563</v>
      </c>
      <c r="C581" s="3147">
        <v>7</v>
      </c>
      <c r="D581" s="3147" t="s">
        <v>3572</v>
      </c>
      <c r="E581" s="3147">
        <v>46.83</v>
      </c>
      <c r="F581" s="3147">
        <v>3</v>
      </c>
      <c r="G581" s="3147" t="s">
        <v>3408</v>
      </c>
      <c r="H581" s="3145" t="s">
        <v>21</v>
      </c>
      <c r="I581" s="3133" t="s">
        <v>3409</v>
      </c>
      <c r="J581" s="3133">
        <f>'[3]典型户型修正-办公'!S913</f>
        <v>66</v>
      </c>
      <c r="K581" s="3133">
        <f>'[3]典型户型修正-办公'!R913</f>
        <v>14106</v>
      </c>
    </row>
    <row r="582" spans="1:11">
      <c r="A582" s="3145"/>
      <c r="B582" s="3146">
        <v>564</v>
      </c>
      <c r="C582" s="3147">
        <v>7</v>
      </c>
      <c r="D582" s="3147" t="s">
        <v>3573</v>
      </c>
      <c r="E582" s="3147">
        <v>48.33</v>
      </c>
      <c r="F582" s="3147">
        <v>3</v>
      </c>
      <c r="G582" s="3147" t="s">
        <v>3408</v>
      </c>
      <c r="H582" s="3145" t="s">
        <v>21</v>
      </c>
      <c r="I582" s="3133" t="s">
        <v>3409</v>
      </c>
      <c r="J582" s="3133">
        <f>'[3]典型户型修正-办公'!S914</f>
        <v>68</v>
      </c>
      <c r="K582" s="3133">
        <f>'[3]典型户型修正-办公'!R914</f>
        <v>14106</v>
      </c>
    </row>
    <row r="583" spans="1:11">
      <c r="A583" s="3145"/>
      <c r="B583" s="3146">
        <v>565</v>
      </c>
      <c r="C583" s="3147">
        <v>7</v>
      </c>
      <c r="D583" s="3147" t="s">
        <v>3574</v>
      </c>
      <c r="E583" s="3147">
        <v>49.3</v>
      </c>
      <c r="F583" s="3147">
        <v>3</v>
      </c>
      <c r="G583" s="3147" t="s">
        <v>3408</v>
      </c>
      <c r="H583" s="3145" t="s">
        <v>21</v>
      </c>
      <c r="I583" s="3133" t="s">
        <v>3409</v>
      </c>
      <c r="J583" s="3133">
        <f>'[3]典型户型修正-办公'!S915</f>
        <v>70</v>
      </c>
      <c r="K583" s="3133">
        <f>'[3]典型户型修正-办公'!R915</f>
        <v>14106</v>
      </c>
    </row>
    <row r="584" spans="1:11">
      <c r="A584" s="3145"/>
      <c r="B584" s="3146">
        <v>566</v>
      </c>
      <c r="C584" s="3147">
        <v>7</v>
      </c>
      <c r="D584" s="3147" t="s">
        <v>3575</v>
      </c>
      <c r="E584" s="3147">
        <v>49.59</v>
      </c>
      <c r="F584" s="3147">
        <v>3</v>
      </c>
      <c r="G584" s="3147" t="s">
        <v>3408</v>
      </c>
      <c r="H584" s="3145" t="s">
        <v>21</v>
      </c>
      <c r="I584" s="3133" t="s">
        <v>3409</v>
      </c>
      <c r="J584" s="3133">
        <f>'[3]典型户型修正-办公'!S916</f>
        <v>70</v>
      </c>
      <c r="K584" s="3133">
        <f>'[3]典型户型修正-办公'!R916</f>
        <v>14106</v>
      </c>
    </row>
    <row r="585" spans="1:11">
      <c r="A585" s="3145"/>
      <c r="B585" s="3146">
        <v>567</v>
      </c>
      <c r="C585" s="3147">
        <v>7</v>
      </c>
      <c r="D585" s="3147" t="s">
        <v>3576</v>
      </c>
      <c r="E585" s="3147">
        <v>49.28</v>
      </c>
      <c r="F585" s="3147">
        <v>3</v>
      </c>
      <c r="G585" s="3147" t="s">
        <v>3408</v>
      </c>
      <c r="H585" s="3145" t="s">
        <v>21</v>
      </c>
      <c r="I585" s="3133" t="s">
        <v>3409</v>
      </c>
      <c r="J585" s="3133">
        <f>'[3]典型户型修正-办公'!S917</f>
        <v>70</v>
      </c>
      <c r="K585" s="3133">
        <f>'[3]典型户型修正-办公'!R917</f>
        <v>14106</v>
      </c>
    </row>
    <row r="586" spans="1:11">
      <c r="A586" s="3145"/>
      <c r="B586" s="3146">
        <v>568</v>
      </c>
      <c r="C586" s="3147">
        <v>7</v>
      </c>
      <c r="D586" s="3147" t="s">
        <v>3577</v>
      </c>
      <c r="E586" s="3147">
        <v>48.41</v>
      </c>
      <c r="F586" s="3147">
        <v>3</v>
      </c>
      <c r="G586" s="3147" t="s">
        <v>3408</v>
      </c>
      <c r="H586" s="3145" t="s">
        <v>21</v>
      </c>
      <c r="I586" s="3133" t="s">
        <v>3409</v>
      </c>
      <c r="J586" s="3133">
        <f>'[3]典型户型修正-办公'!S918</f>
        <v>68</v>
      </c>
      <c r="K586" s="3133">
        <f>'[3]典型户型修正-办公'!R918</f>
        <v>14106</v>
      </c>
    </row>
    <row r="587" spans="1:11">
      <c r="A587" s="3145"/>
      <c r="B587" s="3146">
        <v>569</v>
      </c>
      <c r="C587" s="3147">
        <v>7</v>
      </c>
      <c r="D587" s="3147" t="s">
        <v>3578</v>
      </c>
      <c r="E587" s="3147">
        <v>47.44</v>
      </c>
      <c r="F587" s="3147">
        <v>3</v>
      </c>
      <c r="G587" s="3147" t="s">
        <v>3408</v>
      </c>
      <c r="H587" s="3145" t="s">
        <v>21</v>
      </c>
      <c r="I587" s="3133" t="s">
        <v>3409</v>
      </c>
      <c r="J587" s="3133">
        <f>'[3]典型户型修正-办公'!S919</f>
        <v>67</v>
      </c>
      <c r="K587" s="3133">
        <f>'[3]典型户型修正-办公'!R919</f>
        <v>14106</v>
      </c>
    </row>
    <row r="588" spans="1:11">
      <c r="A588" s="3145"/>
      <c r="B588" s="3146">
        <v>570</v>
      </c>
      <c r="C588" s="3147">
        <v>8</v>
      </c>
      <c r="D588" s="3147" t="s">
        <v>3579</v>
      </c>
      <c r="E588" s="3147">
        <v>52.2</v>
      </c>
      <c r="F588" s="3147">
        <v>3</v>
      </c>
      <c r="G588" s="3147" t="s">
        <v>3408</v>
      </c>
      <c r="H588" s="3145" t="s">
        <v>21</v>
      </c>
      <c r="I588" s="3133" t="s">
        <v>3409</v>
      </c>
      <c r="J588" s="3133">
        <f>'[3]典型户型修正-办公'!S920</f>
        <v>74</v>
      </c>
      <c r="K588" s="3133">
        <f>'[3]典型户型修正-办公'!R920</f>
        <v>14106</v>
      </c>
    </row>
    <row r="589" spans="1:11">
      <c r="A589" s="3145"/>
      <c r="B589" s="3146">
        <v>571</v>
      </c>
      <c r="C589" s="3147">
        <v>8</v>
      </c>
      <c r="D589" s="3147" t="s">
        <v>3580</v>
      </c>
      <c r="E589" s="3147">
        <v>50.33</v>
      </c>
      <c r="F589" s="3147">
        <v>3</v>
      </c>
      <c r="G589" s="3147" t="s">
        <v>3408</v>
      </c>
      <c r="H589" s="3145" t="s">
        <v>21</v>
      </c>
      <c r="I589" s="3133" t="s">
        <v>3409</v>
      </c>
      <c r="J589" s="3133">
        <f>'[3]典型户型修正-办公'!S921</f>
        <v>71</v>
      </c>
      <c r="K589" s="3133">
        <f>'[3]典型户型修正-办公'!R921</f>
        <v>14106</v>
      </c>
    </row>
    <row r="590" spans="1:11">
      <c r="A590" s="3145"/>
      <c r="B590" s="3146">
        <v>572</v>
      </c>
      <c r="C590" s="3147">
        <v>8</v>
      </c>
      <c r="D590" s="3147" t="s">
        <v>3581</v>
      </c>
      <c r="E590" s="3147">
        <v>50.33</v>
      </c>
      <c r="F590" s="3147">
        <v>3</v>
      </c>
      <c r="G590" s="3147" t="s">
        <v>3408</v>
      </c>
      <c r="H590" s="3145" t="s">
        <v>21</v>
      </c>
      <c r="I590" s="3133" t="s">
        <v>3409</v>
      </c>
      <c r="J590" s="3133">
        <f>'[3]典型户型修正-办公'!S922</f>
        <v>71</v>
      </c>
      <c r="K590" s="3133">
        <f>'[3]典型户型修正-办公'!R922</f>
        <v>14106</v>
      </c>
    </row>
    <row r="591" spans="1:11">
      <c r="A591" s="3145"/>
      <c r="B591" s="3146">
        <v>573</v>
      </c>
      <c r="C591" s="3147">
        <v>8</v>
      </c>
      <c r="D591" s="3147" t="s">
        <v>3582</v>
      </c>
      <c r="E591" s="3147">
        <v>50.33</v>
      </c>
      <c r="F591" s="3147">
        <v>3</v>
      </c>
      <c r="G591" s="3147" t="s">
        <v>3408</v>
      </c>
      <c r="H591" s="3145" t="s">
        <v>21</v>
      </c>
      <c r="I591" s="3133" t="s">
        <v>3409</v>
      </c>
      <c r="J591" s="3133">
        <f>'[3]典型户型修正-办公'!S923</f>
        <v>71</v>
      </c>
      <c r="K591" s="3133">
        <f>'[3]典型户型修正-办公'!R923</f>
        <v>14106</v>
      </c>
    </row>
    <row r="592" spans="1:11">
      <c r="A592" s="3145"/>
      <c r="B592" s="3146">
        <v>574</v>
      </c>
      <c r="C592" s="3147">
        <v>8</v>
      </c>
      <c r="D592" s="3147" t="s">
        <v>3583</v>
      </c>
      <c r="E592" s="3147">
        <v>50.33</v>
      </c>
      <c r="F592" s="3147">
        <v>3</v>
      </c>
      <c r="G592" s="3147" t="s">
        <v>3408</v>
      </c>
      <c r="H592" s="3145" t="s">
        <v>21</v>
      </c>
      <c r="I592" s="3133" t="s">
        <v>3409</v>
      </c>
      <c r="J592" s="3133">
        <f>'[3]典型户型修正-办公'!S924</f>
        <v>71</v>
      </c>
      <c r="K592" s="3133">
        <f>'[3]典型户型修正-办公'!R924</f>
        <v>14106</v>
      </c>
    </row>
    <row r="593" spans="1:11">
      <c r="A593" s="3145"/>
      <c r="B593" s="3146">
        <v>575</v>
      </c>
      <c r="C593" s="3147">
        <v>8</v>
      </c>
      <c r="D593" s="3147" t="s">
        <v>3584</v>
      </c>
      <c r="E593" s="3147">
        <v>50.33</v>
      </c>
      <c r="F593" s="3147">
        <v>3</v>
      </c>
      <c r="G593" s="3147" t="s">
        <v>3408</v>
      </c>
      <c r="H593" s="3145" t="s">
        <v>21</v>
      </c>
      <c r="I593" s="3133" t="s">
        <v>3409</v>
      </c>
      <c r="J593" s="3133">
        <f>'[3]典型户型修正-办公'!S925</f>
        <v>71</v>
      </c>
      <c r="K593" s="3133">
        <f>'[3]典型户型修正-办公'!R925</f>
        <v>14106</v>
      </c>
    </row>
    <row r="594" spans="1:11">
      <c r="A594" s="3145"/>
      <c r="B594" s="3146">
        <v>576</v>
      </c>
      <c r="C594" s="3147">
        <v>8</v>
      </c>
      <c r="D594" s="3147" t="s">
        <v>3585</v>
      </c>
      <c r="E594" s="3147">
        <v>50.33</v>
      </c>
      <c r="F594" s="3147">
        <v>3</v>
      </c>
      <c r="G594" s="3147" t="s">
        <v>3408</v>
      </c>
      <c r="H594" s="3145" t="s">
        <v>21</v>
      </c>
      <c r="I594" s="3133" t="s">
        <v>3409</v>
      </c>
      <c r="J594" s="3133">
        <f>'[3]典型户型修正-办公'!S926</f>
        <v>71</v>
      </c>
      <c r="K594" s="3133">
        <f>'[3]典型户型修正-办公'!R926</f>
        <v>14106</v>
      </c>
    </row>
    <row r="595" spans="1:11">
      <c r="A595" s="3145"/>
      <c r="B595" s="3146">
        <v>577</v>
      </c>
      <c r="C595" s="3147">
        <v>8</v>
      </c>
      <c r="D595" s="3147" t="s">
        <v>3586</v>
      </c>
      <c r="E595" s="3147">
        <v>50.33</v>
      </c>
      <c r="F595" s="3147">
        <v>3</v>
      </c>
      <c r="G595" s="3147" t="s">
        <v>3408</v>
      </c>
      <c r="H595" s="3145" t="s">
        <v>21</v>
      </c>
      <c r="I595" s="3133" t="s">
        <v>3409</v>
      </c>
      <c r="J595" s="3133">
        <f>'[3]典型户型修正-办公'!S927</f>
        <v>71</v>
      </c>
      <c r="K595" s="3133">
        <f>'[3]典型户型修正-办公'!R927</f>
        <v>14106</v>
      </c>
    </row>
    <row r="596" spans="1:11">
      <c r="A596" s="3145"/>
      <c r="B596" s="3146">
        <v>578</v>
      </c>
      <c r="C596" s="3147">
        <v>8</v>
      </c>
      <c r="D596" s="3147" t="s">
        <v>3587</v>
      </c>
      <c r="E596" s="3147">
        <v>50.33</v>
      </c>
      <c r="F596" s="3147">
        <v>3</v>
      </c>
      <c r="G596" s="3147" t="s">
        <v>3408</v>
      </c>
      <c r="H596" s="3145" t="s">
        <v>21</v>
      </c>
      <c r="I596" s="3133" t="s">
        <v>3409</v>
      </c>
      <c r="J596" s="3133">
        <f>'[3]典型户型修正-办公'!S928</f>
        <v>71</v>
      </c>
      <c r="K596" s="3133">
        <f>'[3]典型户型修正-办公'!R928</f>
        <v>14106</v>
      </c>
    </row>
    <row r="597" spans="1:11">
      <c r="A597" s="3145"/>
      <c r="B597" s="3146">
        <v>579</v>
      </c>
      <c r="C597" s="3147">
        <v>8</v>
      </c>
      <c r="D597" s="3147" t="s">
        <v>3588</v>
      </c>
      <c r="E597" s="3147">
        <v>50.33</v>
      </c>
      <c r="F597" s="3147">
        <v>3</v>
      </c>
      <c r="G597" s="3147" t="s">
        <v>3408</v>
      </c>
      <c r="H597" s="3145" t="s">
        <v>21</v>
      </c>
      <c r="I597" s="3133" t="s">
        <v>3409</v>
      </c>
      <c r="J597" s="3133">
        <f>'[3]典型户型修正-办公'!S929</f>
        <v>71</v>
      </c>
      <c r="K597" s="3133">
        <f>'[3]典型户型修正-办公'!R929</f>
        <v>14106</v>
      </c>
    </row>
    <row r="598" spans="1:11">
      <c r="A598" s="3145"/>
      <c r="B598" s="3146">
        <v>580</v>
      </c>
      <c r="C598" s="3147">
        <v>8</v>
      </c>
      <c r="D598" s="3147" t="s">
        <v>3589</v>
      </c>
      <c r="E598" s="3147">
        <v>50.33</v>
      </c>
      <c r="F598" s="3147">
        <v>3</v>
      </c>
      <c r="G598" s="3147" t="s">
        <v>3408</v>
      </c>
      <c r="H598" s="3145" t="s">
        <v>21</v>
      </c>
      <c r="I598" s="3133" t="s">
        <v>3409</v>
      </c>
      <c r="J598" s="3133">
        <f>'[3]典型户型修正-办公'!S930</f>
        <v>71</v>
      </c>
      <c r="K598" s="3133">
        <f>'[3]典型户型修正-办公'!R930</f>
        <v>14106</v>
      </c>
    </row>
    <row r="599" spans="1:11">
      <c r="A599" s="3145"/>
      <c r="B599" s="3146">
        <v>581</v>
      </c>
      <c r="C599" s="3147">
        <v>8</v>
      </c>
      <c r="D599" s="3147" t="s">
        <v>3590</v>
      </c>
      <c r="E599" s="3147">
        <v>50.33</v>
      </c>
      <c r="F599" s="3147">
        <v>3</v>
      </c>
      <c r="G599" s="3147" t="s">
        <v>3408</v>
      </c>
      <c r="H599" s="3145" t="s">
        <v>21</v>
      </c>
      <c r="I599" s="3133" t="s">
        <v>3409</v>
      </c>
      <c r="J599" s="3133">
        <f>'[3]典型户型修正-办公'!S931</f>
        <v>71</v>
      </c>
      <c r="K599" s="3133">
        <f>'[3]典型户型修正-办公'!R931</f>
        <v>14106</v>
      </c>
    </row>
    <row r="600" spans="1:11">
      <c r="A600" s="3145"/>
      <c r="B600" s="3146">
        <v>582</v>
      </c>
      <c r="C600" s="3147">
        <v>8</v>
      </c>
      <c r="D600" s="3147" t="s">
        <v>3591</v>
      </c>
      <c r="E600" s="3147">
        <v>50.33</v>
      </c>
      <c r="F600" s="3147">
        <v>3</v>
      </c>
      <c r="G600" s="3147" t="s">
        <v>3408</v>
      </c>
      <c r="H600" s="3145" t="s">
        <v>21</v>
      </c>
      <c r="I600" s="3133" t="s">
        <v>3409</v>
      </c>
      <c r="J600" s="3133">
        <f>'[3]典型户型修正-办公'!S932</f>
        <v>71</v>
      </c>
      <c r="K600" s="3133">
        <f>'[3]典型户型修正-办公'!R932</f>
        <v>14106</v>
      </c>
    </row>
    <row r="601" spans="1:11">
      <c r="A601" s="3145"/>
      <c r="B601" s="3146">
        <v>583</v>
      </c>
      <c r="C601" s="3147">
        <v>8</v>
      </c>
      <c r="D601" s="3147" t="s">
        <v>3592</v>
      </c>
      <c r="E601" s="3147">
        <v>50.33</v>
      </c>
      <c r="F601" s="3147">
        <v>3</v>
      </c>
      <c r="G601" s="3147" t="s">
        <v>3408</v>
      </c>
      <c r="H601" s="3145" t="s">
        <v>21</v>
      </c>
      <c r="I601" s="3133" t="s">
        <v>3409</v>
      </c>
      <c r="J601" s="3133">
        <f>'[3]典型户型修正-办公'!S933</f>
        <v>71</v>
      </c>
      <c r="K601" s="3133">
        <f>'[3]典型户型修正-办公'!R933</f>
        <v>14106</v>
      </c>
    </row>
    <row r="602" spans="1:11">
      <c r="A602" s="3145"/>
      <c r="B602" s="3146">
        <v>584</v>
      </c>
      <c r="C602" s="3147">
        <v>8</v>
      </c>
      <c r="D602" s="3147" t="s">
        <v>3593</v>
      </c>
      <c r="E602" s="3147">
        <v>50.33</v>
      </c>
      <c r="F602" s="3147">
        <v>3</v>
      </c>
      <c r="G602" s="3147" t="s">
        <v>3408</v>
      </c>
      <c r="H602" s="3145" t="s">
        <v>21</v>
      </c>
      <c r="I602" s="3133" t="s">
        <v>3409</v>
      </c>
      <c r="J602" s="3133">
        <f>'[3]典型户型修正-办公'!S934</f>
        <v>71</v>
      </c>
      <c r="K602" s="3133">
        <f>'[3]典型户型修正-办公'!R934</f>
        <v>14106</v>
      </c>
    </row>
    <row r="603" spans="1:11">
      <c r="A603" s="3145"/>
      <c r="B603" s="3146">
        <v>585</v>
      </c>
      <c r="C603" s="3147">
        <v>8</v>
      </c>
      <c r="D603" s="3147" t="s">
        <v>3594</v>
      </c>
      <c r="E603" s="3147">
        <v>69.77</v>
      </c>
      <c r="F603" s="3147">
        <v>3</v>
      </c>
      <c r="G603" s="3147" t="s">
        <v>3408</v>
      </c>
      <c r="H603" s="3145" t="s">
        <v>21</v>
      </c>
      <c r="I603" s="3133" t="s">
        <v>3409</v>
      </c>
      <c r="J603" s="3133">
        <f>'[3]典型户型修正-办公'!S935</f>
        <v>99</v>
      </c>
      <c r="K603" s="3133">
        <f>'[3]典型户型修正-办公'!R935</f>
        <v>14247</v>
      </c>
    </row>
    <row r="604" spans="1:11">
      <c r="A604" s="3145"/>
      <c r="B604" s="3146">
        <v>586</v>
      </c>
      <c r="C604" s="3147">
        <v>8</v>
      </c>
      <c r="D604" s="3147" t="s">
        <v>3595</v>
      </c>
      <c r="E604" s="3147">
        <v>38.65</v>
      </c>
      <c r="F604" s="3147">
        <v>3</v>
      </c>
      <c r="G604" s="3147" t="s">
        <v>3408</v>
      </c>
      <c r="H604" s="3145" t="s">
        <v>21</v>
      </c>
      <c r="I604" s="3133" t="s">
        <v>3409</v>
      </c>
      <c r="J604" s="3133">
        <f>'[3]典型户型修正-办公'!S936</f>
        <v>55</v>
      </c>
      <c r="K604" s="3133">
        <f>'[3]典型户型修正-办公'!R936</f>
        <v>14106</v>
      </c>
    </row>
    <row r="605" spans="1:11">
      <c r="A605" s="3145"/>
      <c r="B605" s="3146">
        <v>587</v>
      </c>
      <c r="C605" s="3147">
        <v>8</v>
      </c>
      <c r="D605" s="3147" t="s">
        <v>3596</v>
      </c>
      <c r="E605" s="3147">
        <v>41.99</v>
      </c>
      <c r="F605" s="3147">
        <v>3</v>
      </c>
      <c r="G605" s="3147" t="s">
        <v>3408</v>
      </c>
      <c r="H605" s="3145" t="s">
        <v>21</v>
      </c>
      <c r="I605" s="3133" t="s">
        <v>3409</v>
      </c>
      <c r="J605" s="3133">
        <f>'[3]典型户型修正-办公'!S937</f>
        <v>59</v>
      </c>
      <c r="K605" s="3133">
        <f>'[3]典型户型修正-办公'!R937</f>
        <v>14106</v>
      </c>
    </row>
    <row r="606" spans="1:11">
      <c r="A606" s="3145"/>
      <c r="B606" s="3146">
        <v>588</v>
      </c>
      <c r="C606" s="3147">
        <v>8</v>
      </c>
      <c r="D606" s="3147" t="s">
        <v>3597</v>
      </c>
      <c r="E606" s="3147">
        <v>44.72</v>
      </c>
      <c r="F606" s="3147">
        <v>3</v>
      </c>
      <c r="G606" s="3147" t="s">
        <v>3408</v>
      </c>
      <c r="H606" s="3145" t="s">
        <v>21</v>
      </c>
      <c r="I606" s="3133" t="s">
        <v>3409</v>
      </c>
      <c r="J606" s="3133">
        <f>'[3]典型户型修正-办公'!S938</f>
        <v>63</v>
      </c>
      <c r="K606" s="3133">
        <f>'[3]典型户型修正-办公'!R938</f>
        <v>14106</v>
      </c>
    </row>
    <row r="607" spans="1:11">
      <c r="A607" s="3145"/>
      <c r="B607" s="3146">
        <v>589</v>
      </c>
      <c r="C607" s="3147">
        <v>8</v>
      </c>
      <c r="D607" s="3147" t="s">
        <v>3598</v>
      </c>
      <c r="E607" s="3147">
        <v>46.83</v>
      </c>
      <c r="F607" s="3147">
        <v>3</v>
      </c>
      <c r="G607" s="3147" t="s">
        <v>3408</v>
      </c>
      <c r="H607" s="3145" t="s">
        <v>21</v>
      </c>
      <c r="I607" s="3133" t="s">
        <v>3409</v>
      </c>
      <c r="J607" s="3133">
        <f>'[3]典型户型修正-办公'!S939</f>
        <v>66</v>
      </c>
      <c r="K607" s="3133">
        <f>'[3]典型户型修正-办公'!R939</f>
        <v>14106</v>
      </c>
    </row>
    <row r="608" spans="1:11">
      <c r="A608" s="3145"/>
      <c r="B608" s="3146">
        <v>590</v>
      </c>
      <c r="C608" s="3147">
        <v>8</v>
      </c>
      <c r="D608" s="3147" t="s">
        <v>3599</v>
      </c>
      <c r="E608" s="3147">
        <v>48.33</v>
      </c>
      <c r="F608" s="3147">
        <v>3</v>
      </c>
      <c r="G608" s="3147" t="s">
        <v>3408</v>
      </c>
      <c r="H608" s="3145" t="s">
        <v>21</v>
      </c>
      <c r="I608" s="3133" t="s">
        <v>3409</v>
      </c>
      <c r="J608" s="3133">
        <f>'[3]典型户型修正-办公'!S940</f>
        <v>68</v>
      </c>
      <c r="K608" s="3133">
        <f>'[3]典型户型修正-办公'!R940</f>
        <v>14106</v>
      </c>
    </row>
    <row r="609" spans="1:11">
      <c r="A609" s="3145"/>
      <c r="B609" s="3146">
        <v>591</v>
      </c>
      <c r="C609" s="3147">
        <v>8</v>
      </c>
      <c r="D609" s="3147" t="s">
        <v>3600</v>
      </c>
      <c r="E609" s="3147">
        <v>49.3</v>
      </c>
      <c r="F609" s="3147">
        <v>3</v>
      </c>
      <c r="G609" s="3147" t="s">
        <v>3408</v>
      </c>
      <c r="H609" s="3145" t="s">
        <v>21</v>
      </c>
      <c r="I609" s="3133" t="s">
        <v>3409</v>
      </c>
      <c r="J609" s="3133">
        <f>'[3]典型户型修正-办公'!S941</f>
        <v>70</v>
      </c>
      <c r="K609" s="3133">
        <f>'[3]典型户型修正-办公'!R941</f>
        <v>14106</v>
      </c>
    </row>
    <row r="610" spans="1:11">
      <c r="A610" s="3145"/>
      <c r="B610" s="3146">
        <v>592</v>
      </c>
      <c r="C610" s="3147">
        <v>8</v>
      </c>
      <c r="D610" s="3147" t="s">
        <v>3601</v>
      </c>
      <c r="E610" s="3147">
        <v>49.59</v>
      </c>
      <c r="F610" s="3147">
        <v>3</v>
      </c>
      <c r="G610" s="3147" t="s">
        <v>3408</v>
      </c>
      <c r="H610" s="3145" t="s">
        <v>21</v>
      </c>
      <c r="I610" s="3133" t="s">
        <v>3409</v>
      </c>
      <c r="J610" s="3133">
        <f>'[3]典型户型修正-办公'!S942</f>
        <v>70</v>
      </c>
      <c r="K610" s="3133">
        <f>'[3]典型户型修正-办公'!R942</f>
        <v>14106</v>
      </c>
    </row>
    <row r="611" spans="1:11">
      <c r="A611" s="3145"/>
      <c r="B611" s="3146">
        <v>593</v>
      </c>
      <c r="C611" s="3147">
        <v>8</v>
      </c>
      <c r="D611" s="3147" t="s">
        <v>3602</v>
      </c>
      <c r="E611" s="3147">
        <v>49.28</v>
      </c>
      <c r="F611" s="3147">
        <v>3</v>
      </c>
      <c r="G611" s="3147" t="s">
        <v>3408</v>
      </c>
      <c r="H611" s="3145" t="s">
        <v>21</v>
      </c>
      <c r="I611" s="3133" t="s">
        <v>3409</v>
      </c>
      <c r="J611" s="3133">
        <f>'[3]典型户型修正-办公'!S943</f>
        <v>70</v>
      </c>
      <c r="K611" s="3133">
        <f>'[3]典型户型修正-办公'!R943</f>
        <v>14106</v>
      </c>
    </row>
    <row r="612" spans="1:11">
      <c r="A612" s="3145"/>
      <c r="B612" s="3146">
        <v>594</v>
      </c>
      <c r="C612" s="3147">
        <v>8</v>
      </c>
      <c r="D612" s="3147" t="s">
        <v>3603</v>
      </c>
      <c r="E612" s="3147">
        <v>48.41</v>
      </c>
      <c r="F612" s="3147">
        <v>3</v>
      </c>
      <c r="G612" s="3147" t="s">
        <v>3408</v>
      </c>
      <c r="H612" s="3145" t="s">
        <v>21</v>
      </c>
      <c r="I612" s="3133" t="s">
        <v>3409</v>
      </c>
      <c r="J612" s="3133">
        <f>'[3]典型户型修正-办公'!S944</f>
        <v>68</v>
      </c>
      <c r="K612" s="3133">
        <f>'[3]典型户型修正-办公'!R944</f>
        <v>14106</v>
      </c>
    </row>
    <row r="613" spans="1:11">
      <c r="A613" s="3145"/>
      <c r="B613" s="3146">
        <v>595</v>
      </c>
      <c r="C613" s="3147">
        <v>8</v>
      </c>
      <c r="D613" s="3147" t="s">
        <v>3604</v>
      </c>
      <c r="E613" s="3147">
        <v>47.44</v>
      </c>
      <c r="F613" s="3147">
        <v>3</v>
      </c>
      <c r="G613" s="3147" t="s">
        <v>3408</v>
      </c>
      <c r="H613" s="3145" t="s">
        <v>21</v>
      </c>
      <c r="I613" s="3133" t="s">
        <v>3409</v>
      </c>
      <c r="J613" s="3133">
        <f>'[3]典型户型修正-办公'!S945</f>
        <v>67</v>
      </c>
      <c r="K613" s="3133">
        <f>'[3]典型户型修正-办公'!R945</f>
        <v>14106</v>
      </c>
    </row>
    <row r="614" spans="1:11">
      <c r="A614" s="3145"/>
      <c r="B614" s="3146">
        <v>596</v>
      </c>
      <c r="C614" s="3147">
        <v>9</v>
      </c>
      <c r="D614" s="3147" t="s">
        <v>3605</v>
      </c>
      <c r="E614" s="3147">
        <v>52.2</v>
      </c>
      <c r="F614" s="3147">
        <v>3</v>
      </c>
      <c r="G614" s="3147" t="s">
        <v>3408</v>
      </c>
      <c r="H614" s="3145" t="s">
        <v>21</v>
      </c>
      <c r="I614" s="3133" t="s">
        <v>3553</v>
      </c>
      <c r="J614" s="3133">
        <f>'[3]典型户型修正-办公'!S946</f>
        <v>75</v>
      </c>
      <c r="K614" s="3133">
        <f>'[3]典型户型修正-办公'!R946</f>
        <v>14318</v>
      </c>
    </row>
    <row r="615" spans="1:11">
      <c r="A615" s="3145"/>
      <c r="B615" s="3146">
        <v>597</v>
      </c>
      <c r="C615" s="3147">
        <v>9</v>
      </c>
      <c r="D615" s="3147" t="s">
        <v>3606</v>
      </c>
      <c r="E615" s="3147">
        <v>50.33</v>
      </c>
      <c r="F615" s="3147">
        <v>3</v>
      </c>
      <c r="G615" s="3147" t="s">
        <v>3408</v>
      </c>
      <c r="H615" s="3145" t="s">
        <v>21</v>
      </c>
      <c r="I615" s="3133" t="s">
        <v>3553</v>
      </c>
      <c r="J615" s="3133">
        <f>'[3]典型户型修正-办公'!S947</f>
        <v>72</v>
      </c>
      <c r="K615" s="3133">
        <f>'[3]典型户型修正-办公'!R947</f>
        <v>14318</v>
      </c>
    </row>
    <row r="616" spans="1:11">
      <c r="A616" s="3145"/>
      <c r="B616" s="3146">
        <v>598</v>
      </c>
      <c r="C616" s="3147">
        <v>9</v>
      </c>
      <c r="D616" s="3147" t="s">
        <v>3607</v>
      </c>
      <c r="E616" s="3147">
        <v>50.33</v>
      </c>
      <c r="F616" s="3147">
        <v>3</v>
      </c>
      <c r="G616" s="3147" t="s">
        <v>3408</v>
      </c>
      <c r="H616" s="3145" t="s">
        <v>21</v>
      </c>
      <c r="I616" s="3133" t="s">
        <v>3553</v>
      </c>
      <c r="J616" s="3133">
        <f>'[3]典型户型修正-办公'!S948</f>
        <v>72</v>
      </c>
      <c r="K616" s="3133">
        <f>'[3]典型户型修正-办公'!R948</f>
        <v>14318</v>
      </c>
    </row>
    <row r="617" spans="1:11">
      <c r="A617" s="3145"/>
      <c r="B617" s="3146">
        <v>599</v>
      </c>
      <c r="C617" s="3147">
        <v>9</v>
      </c>
      <c r="D617" s="3147" t="s">
        <v>3608</v>
      </c>
      <c r="E617" s="3147">
        <v>50.33</v>
      </c>
      <c r="F617" s="3147">
        <v>3</v>
      </c>
      <c r="G617" s="3147" t="s">
        <v>3408</v>
      </c>
      <c r="H617" s="3145" t="s">
        <v>21</v>
      </c>
      <c r="I617" s="3133" t="s">
        <v>3553</v>
      </c>
      <c r="J617" s="3133">
        <f>'[3]典型户型修正-办公'!S949</f>
        <v>72</v>
      </c>
      <c r="K617" s="3133">
        <f>'[3]典型户型修正-办公'!R949</f>
        <v>14318</v>
      </c>
    </row>
    <row r="618" spans="1:11">
      <c r="A618" s="3145"/>
      <c r="B618" s="3146">
        <v>600</v>
      </c>
      <c r="C618" s="3147">
        <v>9</v>
      </c>
      <c r="D618" s="3147" t="s">
        <v>3609</v>
      </c>
      <c r="E618" s="3147">
        <v>50.33</v>
      </c>
      <c r="F618" s="3147">
        <v>3</v>
      </c>
      <c r="G618" s="3147" t="s">
        <v>3408</v>
      </c>
      <c r="H618" s="3145" t="s">
        <v>21</v>
      </c>
      <c r="I618" s="3133" t="s">
        <v>3553</v>
      </c>
      <c r="J618" s="3133">
        <f>'[3]典型户型修正-办公'!S950</f>
        <v>72</v>
      </c>
      <c r="K618" s="3133">
        <f>'[3]典型户型修正-办公'!R950</f>
        <v>14318</v>
      </c>
    </row>
    <row r="619" spans="1:11">
      <c r="A619" s="3145"/>
      <c r="B619" s="3146">
        <v>601</v>
      </c>
      <c r="C619" s="3147">
        <v>9</v>
      </c>
      <c r="D619" s="3147" t="s">
        <v>3610</v>
      </c>
      <c r="E619" s="3147">
        <v>50.33</v>
      </c>
      <c r="F619" s="3147">
        <v>3</v>
      </c>
      <c r="G619" s="3147" t="s">
        <v>3408</v>
      </c>
      <c r="H619" s="3145" t="s">
        <v>21</v>
      </c>
      <c r="I619" s="3133" t="s">
        <v>3553</v>
      </c>
      <c r="J619" s="3133">
        <f>'[3]典型户型修正-办公'!S951</f>
        <v>72</v>
      </c>
      <c r="K619" s="3133">
        <f>'[3]典型户型修正-办公'!R951</f>
        <v>14318</v>
      </c>
    </row>
    <row r="620" spans="1:11">
      <c r="A620" s="3145"/>
      <c r="B620" s="3146">
        <v>602</v>
      </c>
      <c r="C620" s="3147">
        <v>9</v>
      </c>
      <c r="D620" s="3147" t="s">
        <v>3611</v>
      </c>
      <c r="E620" s="3147">
        <v>50.33</v>
      </c>
      <c r="F620" s="3147">
        <v>3</v>
      </c>
      <c r="G620" s="3147" t="s">
        <v>3408</v>
      </c>
      <c r="H620" s="3145" t="s">
        <v>21</v>
      </c>
      <c r="I620" s="3133" t="s">
        <v>3553</v>
      </c>
      <c r="J620" s="3133">
        <f>'[3]典型户型修正-办公'!S952</f>
        <v>72</v>
      </c>
      <c r="K620" s="3133">
        <f>'[3]典型户型修正-办公'!R952</f>
        <v>14318</v>
      </c>
    </row>
    <row r="621" spans="1:11">
      <c r="A621" s="3145"/>
      <c r="B621" s="3146">
        <v>603</v>
      </c>
      <c r="C621" s="3147">
        <v>9</v>
      </c>
      <c r="D621" s="3147" t="s">
        <v>3612</v>
      </c>
      <c r="E621" s="3147">
        <v>50.33</v>
      </c>
      <c r="F621" s="3147">
        <v>3</v>
      </c>
      <c r="G621" s="3147" t="s">
        <v>3408</v>
      </c>
      <c r="H621" s="3145" t="s">
        <v>21</v>
      </c>
      <c r="I621" s="3133" t="s">
        <v>3553</v>
      </c>
      <c r="J621" s="3133">
        <f>'[3]典型户型修正-办公'!S953</f>
        <v>72</v>
      </c>
      <c r="K621" s="3133">
        <f>'[3]典型户型修正-办公'!R953</f>
        <v>14318</v>
      </c>
    </row>
    <row r="622" spans="1:11">
      <c r="A622" s="3145"/>
      <c r="B622" s="3146">
        <v>604</v>
      </c>
      <c r="C622" s="3147">
        <v>9</v>
      </c>
      <c r="D622" s="3147" t="s">
        <v>3613</v>
      </c>
      <c r="E622" s="3147">
        <v>50.33</v>
      </c>
      <c r="F622" s="3147">
        <v>3</v>
      </c>
      <c r="G622" s="3147" t="s">
        <v>3408</v>
      </c>
      <c r="H622" s="3145" t="s">
        <v>21</v>
      </c>
      <c r="I622" s="3133" t="s">
        <v>3553</v>
      </c>
      <c r="J622" s="3133">
        <f>'[3]典型户型修正-办公'!S954</f>
        <v>72</v>
      </c>
      <c r="K622" s="3133">
        <f>'[3]典型户型修正-办公'!R954</f>
        <v>14318</v>
      </c>
    </row>
    <row r="623" spans="1:11">
      <c r="A623" s="3145"/>
      <c r="B623" s="3146">
        <v>605</v>
      </c>
      <c r="C623" s="3147">
        <v>9</v>
      </c>
      <c r="D623" s="3147" t="s">
        <v>3614</v>
      </c>
      <c r="E623" s="3147">
        <v>50.33</v>
      </c>
      <c r="F623" s="3147">
        <v>3</v>
      </c>
      <c r="G623" s="3147" t="s">
        <v>3408</v>
      </c>
      <c r="H623" s="3145" t="s">
        <v>21</v>
      </c>
      <c r="I623" s="3133" t="s">
        <v>3553</v>
      </c>
      <c r="J623" s="3133">
        <f>'[3]典型户型修正-办公'!S955</f>
        <v>72</v>
      </c>
      <c r="K623" s="3133">
        <f>'[3]典型户型修正-办公'!R955</f>
        <v>14318</v>
      </c>
    </row>
    <row r="624" spans="1:11">
      <c r="A624" s="3145"/>
      <c r="B624" s="3146">
        <v>606</v>
      </c>
      <c r="C624" s="3147">
        <v>9</v>
      </c>
      <c r="D624" s="3147" t="s">
        <v>3615</v>
      </c>
      <c r="E624" s="3147">
        <v>50.33</v>
      </c>
      <c r="F624" s="3147">
        <v>3</v>
      </c>
      <c r="G624" s="3147" t="s">
        <v>3408</v>
      </c>
      <c r="H624" s="3145" t="s">
        <v>21</v>
      </c>
      <c r="I624" s="3133" t="s">
        <v>3553</v>
      </c>
      <c r="J624" s="3133">
        <f>'[3]典型户型修正-办公'!S956</f>
        <v>72</v>
      </c>
      <c r="K624" s="3133">
        <f>'[3]典型户型修正-办公'!R956</f>
        <v>14318</v>
      </c>
    </row>
    <row r="625" spans="1:11">
      <c r="A625" s="3145"/>
      <c r="B625" s="3146">
        <v>607</v>
      </c>
      <c r="C625" s="3147">
        <v>9</v>
      </c>
      <c r="D625" s="3147" t="s">
        <v>3616</v>
      </c>
      <c r="E625" s="3147">
        <v>50.33</v>
      </c>
      <c r="F625" s="3147">
        <v>3</v>
      </c>
      <c r="G625" s="3147" t="s">
        <v>3408</v>
      </c>
      <c r="H625" s="3145" t="s">
        <v>21</v>
      </c>
      <c r="I625" s="3133" t="s">
        <v>3553</v>
      </c>
      <c r="J625" s="3133">
        <f>'[3]典型户型修正-办公'!S957</f>
        <v>72</v>
      </c>
      <c r="K625" s="3133">
        <f>'[3]典型户型修正-办公'!R957</f>
        <v>14318</v>
      </c>
    </row>
    <row r="626" spans="1:11">
      <c r="A626" s="3145"/>
      <c r="B626" s="3146">
        <v>608</v>
      </c>
      <c r="C626" s="3147">
        <v>9</v>
      </c>
      <c r="D626" s="3147" t="s">
        <v>3617</v>
      </c>
      <c r="E626" s="3147">
        <v>50.33</v>
      </c>
      <c r="F626" s="3147">
        <v>3</v>
      </c>
      <c r="G626" s="3147" t="s">
        <v>3408</v>
      </c>
      <c r="H626" s="3145" t="s">
        <v>21</v>
      </c>
      <c r="I626" s="3133" t="s">
        <v>3553</v>
      </c>
      <c r="J626" s="3133">
        <f>'[3]典型户型修正-办公'!S958</f>
        <v>72</v>
      </c>
      <c r="K626" s="3133">
        <f>'[3]典型户型修正-办公'!R958</f>
        <v>14318</v>
      </c>
    </row>
    <row r="627" spans="1:11">
      <c r="A627" s="3145"/>
      <c r="B627" s="3146">
        <v>609</v>
      </c>
      <c r="C627" s="3147">
        <v>9</v>
      </c>
      <c r="D627" s="3147" t="s">
        <v>3618</v>
      </c>
      <c r="E627" s="3147">
        <v>50.33</v>
      </c>
      <c r="F627" s="3147">
        <v>3</v>
      </c>
      <c r="G627" s="3147" t="s">
        <v>3408</v>
      </c>
      <c r="H627" s="3145" t="s">
        <v>21</v>
      </c>
      <c r="I627" s="3133" t="s">
        <v>3553</v>
      </c>
      <c r="J627" s="3133">
        <f>'[3]典型户型修正-办公'!S959</f>
        <v>72</v>
      </c>
      <c r="K627" s="3133">
        <f>'[3]典型户型修正-办公'!R959</f>
        <v>14318</v>
      </c>
    </row>
    <row r="628" spans="1:11">
      <c r="A628" s="3145"/>
      <c r="B628" s="3146">
        <v>610</v>
      </c>
      <c r="C628" s="3147">
        <v>9</v>
      </c>
      <c r="D628" s="3147" t="s">
        <v>3619</v>
      </c>
      <c r="E628" s="3147">
        <v>50.33</v>
      </c>
      <c r="F628" s="3147">
        <v>3</v>
      </c>
      <c r="G628" s="3147" t="s">
        <v>3408</v>
      </c>
      <c r="H628" s="3145" t="s">
        <v>21</v>
      </c>
      <c r="I628" s="3133" t="s">
        <v>3553</v>
      </c>
      <c r="J628" s="3133">
        <f>'[3]典型户型修正-办公'!S960</f>
        <v>72</v>
      </c>
      <c r="K628" s="3133">
        <f>'[3]典型户型修正-办公'!R960</f>
        <v>14318</v>
      </c>
    </row>
    <row r="629" spans="1:11">
      <c r="A629" s="3145"/>
      <c r="B629" s="3146">
        <v>611</v>
      </c>
      <c r="C629" s="3147">
        <v>9</v>
      </c>
      <c r="D629" s="3147" t="s">
        <v>3620</v>
      </c>
      <c r="E629" s="3147">
        <v>69.77</v>
      </c>
      <c r="F629" s="3147">
        <v>3</v>
      </c>
      <c r="G629" s="3147" t="s">
        <v>3408</v>
      </c>
      <c r="H629" s="3145" t="s">
        <v>21</v>
      </c>
      <c r="I629" s="3133" t="s">
        <v>3553</v>
      </c>
      <c r="J629" s="3133">
        <f>'[3]典型户型修正-办公'!S961</f>
        <v>101</v>
      </c>
      <c r="K629" s="3133">
        <f>'[3]典型户型修正-办公'!R961</f>
        <v>14461</v>
      </c>
    </row>
    <row r="630" spans="1:11">
      <c r="A630" s="3145"/>
      <c r="B630" s="3146">
        <v>612</v>
      </c>
      <c r="C630" s="3147">
        <v>9</v>
      </c>
      <c r="D630" s="3147" t="s">
        <v>3621</v>
      </c>
      <c r="E630" s="3147">
        <v>38.65</v>
      </c>
      <c r="F630" s="3147">
        <v>3</v>
      </c>
      <c r="G630" s="3147" t="s">
        <v>3408</v>
      </c>
      <c r="H630" s="3145" t="s">
        <v>21</v>
      </c>
      <c r="I630" s="3133" t="s">
        <v>3553</v>
      </c>
      <c r="J630" s="3133">
        <f>'[3]典型户型修正-办公'!S962</f>
        <v>55</v>
      </c>
      <c r="K630" s="3133">
        <f>'[3]典型户型修正-办公'!R962</f>
        <v>14318</v>
      </c>
    </row>
    <row r="631" spans="1:11">
      <c r="A631" s="3145"/>
      <c r="B631" s="3146">
        <v>613</v>
      </c>
      <c r="C631" s="3147">
        <v>9</v>
      </c>
      <c r="D631" s="3147" t="s">
        <v>3622</v>
      </c>
      <c r="E631" s="3147">
        <v>41.99</v>
      </c>
      <c r="F631" s="3147">
        <v>3</v>
      </c>
      <c r="G631" s="3147" t="s">
        <v>3408</v>
      </c>
      <c r="H631" s="3145" t="s">
        <v>21</v>
      </c>
      <c r="I631" s="3133" t="s">
        <v>3553</v>
      </c>
      <c r="J631" s="3133">
        <f>'[3]典型户型修正-办公'!S963</f>
        <v>60</v>
      </c>
      <c r="K631" s="3133">
        <f>'[3]典型户型修正-办公'!R963</f>
        <v>14318</v>
      </c>
    </row>
    <row r="632" spans="1:11">
      <c r="A632" s="3145"/>
      <c r="B632" s="3146">
        <v>614</v>
      </c>
      <c r="C632" s="3147">
        <v>9</v>
      </c>
      <c r="D632" s="3147" t="s">
        <v>3623</v>
      </c>
      <c r="E632" s="3147">
        <v>44.72</v>
      </c>
      <c r="F632" s="3147">
        <v>3</v>
      </c>
      <c r="G632" s="3147" t="s">
        <v>3408</v>
      </c>
      <c r="H632" s="3145" t="s">
        <v>21</v>
      </c>
      <c r="I632" s="3133" t="s">
        <v>3553</v>
      </c>
      <c r="J632" s="3133">
        <f>'[3]典型户型修正-办公'!S964</f>
        <v>64</v>
      </c>
      <c r="K632" s="3133">
        <f>'[3]典型户型修正-办公'!R964</f>
        <v>14318</v>
      </c>
    </row>
    <row r="633" spans="1:11">
      <c r="A633" s="3145"/>
      <c r="B633" s="3146">
        <v>615</v>
      </c>
      <c r="C633" s="3147">
        <v>9</v>
      </c>
      <c r="D633" s="3147" t="s">
        <v>3624</v>
      </c>
      <c r="E633" s="3147">
        <v>46.83</v>
      </c>
      <c r="F633" s="3147">
        <v>3</v>
      </c>
      <c r="G633" s="3147" t="s">
        <v>3408</v>
      </c>
      <c r="H633" s="3145" t="s">
        <v>21</v>
      </c>
      <c r="I633" s="3133" t="s">
        <v>3553</v>
      </c>
      <c r="J633" s="3133">
        <f>'[3]典型户型修正-办公'!S965</f>
        <v>67</v>
      </c>
      <c r="K633" s="3133">
        <f>'[3]典型户型修正-办公'!R965</f>
        <v>14318</v>
      </c>
    </row>
    <row r="634" spans="1:11">
      <c r="A634" s="3145"/>
      <c r="B634" s="3146">
        <v>616</v>
      </c>
      <c r="C634" s="3147">
        <v>9</v>
      </c>
      <c r="D634" s="3147" t="s">
        <v>3625</v>
      </c>
      <c r="E634" s="3147">
        <v>48.33</v>
      </c>
      <c r="F634" s="3147">
        <v>3</v>
      </c>
      <c r="G634" s="3147" t="s">
        <v>3408</v>
      </c>
      <c r="H634" s="3145" t="s">
        <v>21</v>
      </c>
      <c r="I634" s="3133" t="s">
        <v>3553</v>
      </c>
      <c r="J634" s="3133">
        <f>'[3]典型户型修正-办公'!S966</f>
        <v>69</v>
      </c>
      <c r="K634" s="3133">
        <f>'[3]典型户型修正-办公'!R966</f>
        <v>14318</v>
      </c>
    </row>
    <row r="635" spans="1:11">
      <c r="A635" s="3145"/>
      <c r="B635" s="3146">
        <v>617</v>
      </c>
      <c r="C635" s="3147">
        <v>9</v>
      </c>
      <c r="D635" s="3147" t="s">
        <v>3626</v>
      </c>
      <c r="E635" s="3147">
        <v>49.3</v>
      </c>
      <c r="F635" s="3147">
        <v>3</v>
      </c>
      <c r="G635" s="3147" t="s">
        <v>3408</v>
      </c>
      <c r="H635" s="3145" t="s">
        <v>21</v>
      </c>
      <c r="I635" s="3133" t="s">
        <v>3553</v>
      </c>
      <c r="J635" s="3133">
        <f>'[3]典型户型修正-办公'!S967</f>
        <v>71</v>
      </c>
      <c r="K635" s="3133">
        <f>'[3]典型户型修正-办公'!R967</f>
        <v>14318</v>
      </c>
    </row>
    <row r="636" spans="1:11">
      <c r="A636" s="3145"/>
      <c r="B636" s="3146">
        <v>618</v>
      </c>
      <c r="C636" s="3147">
        <v>9</v>
      </c>
      <c r="D636" s="3147" t="s">
        <v>3627</v>
      </c>
      <c r="E636" s="3147">
        <v>49.59</v>
      </c>
      <c r="F636" s="3147">
        <v>3</v>
      </c>
      <c r="G636" s="3147" t="s">
        <v>3408</v>
      </c>
      <c r="H636" s="3145" t="s">
        <v>21</v>
      </c>
      <c r="I636" s="3133" t="s">
        <v>3553</v>
      </c>
      <c r="J636" s="3133">
        <f>'[3]典型户型修正-办公'!S968</f>
        <v>71</v>
      </c>
      <c r="K636" s="3133">
        <f>'[3]典型户型修正-办公'!R968</f>
        <v>14318</v>
      </c>
    </row>
    <row r="637" spans="1:11">
      <c r="A637" s="3145"/>
      <c r="B637" s="3146">
        <v>619</v>
      </c>
      <c r="C637" s="3147">
        <v>9</v>
      </c>
      <c r="D637" s="3147" t="s">
        <v>3628</v>
      </c>
      <c r="E637" s="3147">
        <v>49.28</v>
      </c>
      <c r="F637" s="3147">
        <v>3</v>
      </c>
      <c r="G637" s="3147" t="s">
        <v>3408</v>
      </c>
      <c r="H637" s="3145" t="s">
        <v>21</v>
      </c>
      <c r="I637" s="3133" t="s">
        <v>3553</v>
      </c>
      <c r="J637" s="3133">
        <f>'[3]典型户型修正-办公'!S969</f>
        <v>71</v>
      </c>
      <c r="K637" s="3133">
        <f>'[3]典型户型修正-办公'!R969</f>
        <v>14318</v>
      </c>
    </row>
    <row r="638" spans="1:11">
      <c r="A638" s="3145"/>
      <c r="B638" s="3146">
        <v>620</v>
      </c>
      <c r="C638" s="3147">
        <v>9</v>
      </c>
      <c r="D638" s="3147" t="s">
        <v>3629</v>
      </c>
      <c r="E638" s="3147">
        <v>48.41</v>
      </c>
      <c r="F638" s="3147">
        <v>3</v>
      </c>
      <c r="G638" s="3147" t="s">
        <v>3408</v>
      </c>
      <c r="H638" s="3145" t="s">
        <v>21</v>
      </c>
      <c r="I638" s="3133" t="s">
        <v>3553</v>
      </c>
      <c r="J638" s="3133">
        <f>'[3]典型户型修正-办公'!S970</f>
        <v>69</v>
      </c>
      <c r="K638" s="3133">
        <f>'[3]典型户型修正-办公'!R970</f>
        <v>14318</v>
      </c>
    </row>
    <row r="639" spans="1:11">
      <c r="A639" s="3145"/>
      <c r="B639" s="3146">
        <v>621</v>
      </c>
      <c r="C639" s="3147">
        <v>9</v>
      </c>
      <c r="D639" s="3147" t="s">
        <v>3630</v>
      </c>
      <c r="E639" s="3147">
        <v>47.44</v>
      </c>
      <c r="F639" s="3147">
        <v>3</v>
      </c>
      <c r="G639" s="3147" t="s">
        <v>3408</v>
      </c>
      <c r="H639" s="3145" t="s">
        <v>21</v>
      </c>
      <c r="I639" s="3133" t="s">
        <v>3553</v>
      </c>
      <c r="J639" s="3133">
        <f>'[3]典型户型修正-办公'!S971</f>
        <v>68</v>
      </c>
      <c r="K639" s="3133">
        <f>'[3]典型户型修正-办公'!R971</f>
        <v>14318</v>
      </c>
    </row>
    <row r="640" spans="1:11">
      <c r="A640" s="3145"/>
      <c r="B640" s="3146">
        <v>622</v>
      </c>
      <c r="C640" s="3147">
        <v>10</v>
      </c>
      <c r="D640" s="3147" t="s">
        <v>3631</v>
      </c>
      <c r="E640" s="3147">
        <v>52.2</v>
      </c>
      <c r="F640" s="3147">
        <v>3</v>
      </c>
      <c r="G640" s="3147" t="s">
        <v>3408</v>
      </c>
      <c r="H640" s="3145" t="s">
        <v>21</v>
      </c>
      <c r="I640" s="3133" t="s">
        <v>3553</v>
      </c>
      <c r="J640" s="3133">
        <f>'[3]典型户型修正-办公'!S972</f>
        <v>75</v>
      </c>
      <c r="K640" s="3133">
        <f>'[3]典型户型修正-办公'!R972</f>
        <v>14318</v>
      </c>
    </row>
    <row r="641" spans="1:11">
      <c r="A641" s="3145"/>
      <c r="B641" s="3146">
        <v>623</v>
      </c>
      <c r="C641" s="3147">
        <v>10</v>
      </c>
      <c r="D641" s="3147" t="s">
        <v>3632</v>
      </c>
      <c r="E641" s="3147">
        <v>50.33</v>
      </c>
      <c r="F641" s="3147">
        <v>3</v>
      </c>
      <c r="G641" s="3147" t="s">
        <v>3408</v>
      </c>
      <c r="H641" s="3145" t="s">
        <v>21</v>
      </c>
      <c r="I641" s="3133" t="s">
        <v>3553</v>
      </c>
      <c r="J641" s="3133">
        <f>'[3]典型户型修正-办公'!S973</f>
        <v>72</v>
      </c>
      <c r="K641" s="3133">
        <f>'[3]典型户型修正-办公'!R973</f>
        <v>14318</v>
      </c>
    </row>
    <row r="642" spans="1:11">
      <c r="A642" s="3145"/>
      <c r="B642" s="3146">
        <v>624</v>
      </c>
      <c r="C642" s="3147">
        <v>10</v>
      </c>
      <c r="D642" s="3147" t="s">
        <v>3633</v>
      </c>
      <c r="E642" s="3147">
        <v>50.33</v>
      </c>
      <c r="F642" s="3147">
        <v>3</v>
      </c>
      <c r="G642" s="3147" t="s">
        <v>3408</v>
      </c>
      <c r="H642" s="3145" t="s">
        <v>21</v>
      </c>
      <c r="I642" s="3133" t="s">
        <v>3553</v>
      </c>
      <c r="J642" s="3133">
        <f>'[3]典型户型修正-办公'!S974</f>
        <v>72</v>
      </c>
      <c r="K642" s="3133">
        <f>'[3]典型户型修正-办公'!R974</f>
        <v>14318</v>
      </c>
    </row>
    <row r="643" spans="1:11">
      <c r="A643" s="3145"/>
      <c r="B643" s="3146">
        <v>625</v>
      </c>
      <c r="C643" s="3147">
        <v>10</v>
      </c>
      <c r="D643" s="3147" t="s">
        <v>3634</v>
      </c>
      <c r="E643" s="3147">
        <v>50.33</v>
      </c>
      <c r="F643" s="3147">
        <v>3</v>
      </c>
      <c r="G643" s="3147" t="s">
        <v>3408</v>
      </c>
      <c r="H643" s="3145" t="s">
        <v>21</v>
      </c>
      <c r="I643" s="3133" t="s">
        <v>3553</v>
      </c>
      <c r="J643" s="3133">
        <f>'[3]典型户型修正-办公'!S975</f>
        <v>72</v>
      </c>
      <c r="K643" s="3133">
        <f>'[3]典型户型修正-办公'!R975</f>
        <v>14318</v>
      </c>
    </row>
    <row r="644" spans="1:11">
      <c r="A644" s="3145"/>
      <c r="B644" s="3146">
        <v>626</v>
      </c>
      <c r="C644" s="3147">
        <v>10</v>
      </c>
      <c r="D644" s="3147" t="s">
        <v>3635</v>
      </c>
      <c r="E644" s="3147">
        <v>50.33</v>
      </c>
      <c r="F644" s="3147">
        <v>3</v>
      </c>
      <c r="G644" s="3147" t="s">
        <v>3408</v>
      </c>
      <c r="H644" s="3145" t="s">
        <v>21</v>
      </c>
      <c r="I644" s="3133" t="s">
        <v>3553</v>
      </c>
      <c r="J644" s="3133">
        <f>'[3]典型户型修正-办公'!S976</f>
        <v>72</v>
      </c>
      <c r="K644" s="3133">
        <f>'[3]典型户型修正-办公'!R976</f>
        <v>14318</v>
      </c>
    </row>
    <row r="645" spans="1:11">
      <c r="A645" s="3145"/>
      <c r="B645" s="3146">
        <v>627</v>
      </c>
      <c r="C645" s="3147">
        <v>10</v>
      </c>
      <c r="D645" s="3147" t="s">
        <v>3636</v>
      </c>
      <c r="E645" s="3147">
        <v>50.33</v>
      </c>
      <c r="F645" s="3147">
        <v>3</v>
      </c>
      <c r="G645" s="3147" t="s">
        <v>3408</v>
      </c>
      <c r="H645" s="3145" t="s">
        <v>21</v>
      </c>
      <c r="I645" s="3133" t="s">
        <v>3553</v>
      </c>
      <c r="J645" s="3133">
        <f>'[3]典型户型修正-办公'!S977</f>
        <v>72</v>
      </c>
      <c r="K645" s="3133">
        <f>'[3]典型户型修正-办公'!R977</f>
        <v>14318</v>
      </c>
    </row>
    <row r="646" spans="1:11">
      <c r="A646" s="3145"/>
      <c r="B646" s="3146">
        <v>628</v>
      </c>
      <c r="C646" s="3147">
        <v>10</v>
      </c>
      <c r="D646" s="3147" t="s">
        <v>3637</v>
      </c>
      <c r="E646" s="3147">
        <v>50.33</v>
      </c>
      <c r="F646" s="3147">
        <v>3</v>
      </c>
      <c r="G646" s="3147" t="s">
        <v>3408</v>
      </c>
      <c r="H646" s="3145" t="s">
        <v>21</v>
      </c>
      <c r="I646" s="3133" t="s">
        <v>3553</v>
      </c>
      <c r="J646" s="3133">
        <f>'[3]典型户型修正-办公'!S978</f>
        <v>72</v>
      </c>
      <c r="K646" s="3133">
        <f>'[3]典型户型修正-办公'!R978</f>
        <v>14318</v>
      </c>
    </row>
    <row r="647" spans="1:11">
      <c r="A647" s="3145"/>
      <c r="B647" s="3146">
        <v>629</v>
      </c>
      <c r="C647" s="3147">
        <v>10</v>
      </c>
      <c r="D647" s="3147" t="s">
        <v>3638</v>
      </c>
      <c r="E647" s="3147">
        <v>50.33</v>
      </c>
      <c r="F647" s="3147">
        <v>3</v>
      </c>
      <c r="G647" s="3147" t="s">
        <v>3408</v>
      </c>
      <c r="H647" s="3145" t="s">
        <v>21</v>
      </c>
      <c r="I647" s="3133" t="s">
        <v>3553</v>
      </c>
      <c r="J647" s="3133">
        <f>'[3]典型户型修正-办公'!S979</f>
        <v>72</v>
      </c>
      <c r="K647" s="3133">
        <f>'[3]典型户型修正-办公'!R979</f>
        <v>14318</v>
      </c>
    </row>
    <row r="648" spans="1:11">
      <c r="A648" s="3145"/>
      <c r="B648" s="3146">
        <v>630</v>
      </c>
      <c r="C648" s="3147">
        <v>10</v>
      </c>
      <c r="D648" s="3147" t="s">
        <v>3639</v>
      </c>
      <c r="E648" s="3147">
        <v>50.33</v>
      </c>
      <c r="F648" s="3147">
        <v>3</v>
      </c>
      <c r="G648" s="3147" t="s">
        <v>3408</v>
      </c>
      <c r="H648" s="3145" t="s">
        <v>21</v>
      </c>
      <c r="I648" s="3133" t="s">
        <v>3553</v>
      </c>
      <c r="J648" s="3133">
        <f>'[3]典型户型修正-办公'!S980</f>
        <v>72</v>
      </c>
      <c r="K648" s="3133">
        <f>'[3]典型户型修正-办公'!R980</f>
        <v>14318</v>
      </c>
    </row>
    <row r="649" spans="1:11">
      <c r="A649" s="3145"/>
      <c r="B649" s="3146">
        <v>631</v>
      </c>
      <c r="C649" s="3147">
        <v>10</v>
      </c>
      <c r="D649" s="3147" t="s">
        <v>3640</v>
      </c>
      <c r="E649" s="3147">
        <v>50.33</v>
      </c>
      <c r="F649" s="3147">
        <v>3</v>
      </c>
      <c r="G649" s="3147" t="s">
        <v>3408</v>
      </c>
      <c r="H649" s="3145" t="s">
        <v>21</v>
      </c>
      <c r="I649" s="3133" t="s">
        <v>3553</v>
      </c>
      <c r="J649" s="3133">
        <f>'[3]典型户型修正-办公'!S981</f>
        <v>72</v>
      </c>
      <c r="K649" s="3133">
        <f>'[3]典型户型修正-办公'!R981</f>
        <v>14318</v>
      </c>
    </row>
    <row r="650" spans="1:11">
      <c r="A650" s="3145"/>
      <c r="B650" s="3146">
        <v>632</v>
      </c>
      <c r="C650" s="3147">
        <v>10</v>
      </c>
      <c r="D650" s="3147" t="s">
        <v>3641</v>
      </c>
      <c r="E650" s="3147">
        <v>50.33</v>
      </c>
      <c r="F650" s="3147">
        <v>3</v>
      </c>
      <c r="G650" s="3147" t="s">
        <v>3408</v>
      </c>
      <c r="H650" s="3145" t="s">
        <v>21</v>
      </c>
      <c r="I650" s="3133" t="s">
        <v>3553</v>
      </c>
      <c r="J650" s="3133">
        <f>'[3]典型户型修正-办公'!S982</f>
        <v>72</v>
      </c>
      <c r="K650" s="3133">
        <f>'[3]典型户型修正-办公'!R982</f>
        <v>14318</v>
      </c>
    </row>
    <row r="651" spans="1:11">
      <c r="A651" s="3145"/>
      <c r="B651" s="3146">
        <v>633</v>
      </c>
      <c r="C651" s="3147">
        <v>10</v>
      </c>
      <c r="D651" s="3147" t="s">
        <v>3642</v>
      </c>
      <c r="E651" s="3147">
        <v>50.33</v>
      </c>
      <c r="F651" s="3147">
        <v>3</v>
      </c>
      <c r="G651" s="3147" t="s">
        <v>3408</v>
      </c>
      <c r="H651" s="3145" t="s">
        <v>21</v>
      </c>
      <c r="I651" s="3133" t="s">
        <v>3553</v>
      </c>
      <c r="J651" s="3133">
        <f>'[3]典型户型修正-办公'!S983</f>
        <v>72</v>
      </c>
      <c r="K651" s="3133">
        <f>'[3]典型户型修正-办公'!R983</f>
        <v>14318</v>
      </c>
    </row>
    <row r="652" spans="1:11">
      <c r="A652" s="3145"/>
      <c r="B652" s="3146">
        <v>634</v>
      </c>
      <c r="C652" s="3147">
        <v>10</v>
      </c>
      <c r="D652" s="3147" t="s">
        <v>3643</v>
      </c>
      <c r="E652" s="3147">
        <v>50.33</v>
      </c>
      <c r="F652" s="3147">
        <v>3</v>
      </c>
      <c r="G652" s="3147" t="s">
        <v>3408</v>
      </c>
      <c r="H652" s="3145" t="s">
        <v>21</v>
      </c>
      <c r="I652" s="3133" t="s">
        <v>3553</v>
      </c>
      <c r="J652" s="3133">
        <f>'[3]典型户型修正-办公'!S984</f>
        <v>72</v>
      </c>
      <c r="K652" s="3133">
        <f>'[3]典型户型修正-办公'!R984</f>
        <v>14318</v>
      </c>
    </row>
    <row r="653" spans="1:11">
      <c r="A653" s="3145"/>
      <c r="B653" s="3146">
        <v>635</v>
      </c>
      <c r="C653" s="3147">
        <v>10</v>
      </c>
      <c r="D653" s="3147" t="s">
        <v>3644</v>
      </c>
      <c r="E653" s="3147">
        <v>50.33</v>
      </c>
      <c r="F653" s="3147">
        <v>3</v>
      </c>
      <c r="G653" s="3147" t="s">
        <v>3408</v>
      </c>
      <c r="H653" s="3145" t="s">
        <v>21</v>
      </c>
      <c r="I653" s="3133" t="s">
        <v>3553</v>
      </c>
      <c r="J653" s="3133">
        <f>'[3]典型户型修正-办公'!S985</f>
        <v>72</v>
      </c>
      <c r="K653" s="3133">
        <f>'[3]典型户型修正-办公'!R985</f>
        <v>14318</v>
      </c>
    </row>
    <row r="654" spans="1:11">
      <c r="A654" s="3145"/>
      <c r="B654" s="3146">
        <v>636</v>
      </c>
      <c r="C654" s="3147">
        <v>10</v>
      </c>
      <c r="D654" s="3147" t="s">
        <v>3645</v>
      </c>
      <c r="E654" s="3147">
        <v>50.33</v>
      </c>
      <c r="F654" s="3147">
        <v>3</v>
      </c>
      <c r="G654" s="3147" t="s">
        <v>3408</v>
      </c>
      <c r="H654" s="3145" t="s">
        <v>21</v>
      </c>
      <c r="I654" s="3133" t="s">
        <v>3553</v>
      </c>
      <c r="J654" s="3133">
        <f>'[3]典型户型修正-办公'!S986</f>
        <v>72</v>
      </c>
      <c r="K654" s="3133">
        <f>'[3]典型户型修正-办公'!R986</f>
        <v>14318</v>
      </c>
    </row>
    <row r="655" spans="1:11">
      <c r="A655" s="3145"/>
      <c r="B655" s="3146">
        <v>637</v>
      </c>
      <c r="C655" s="3147">
        <v>10</v>
      </c>
      <c r="D655" s="3147" t="s">
        <v>3646</v>
      </c>
      <c r="E655" s="3147">
        <v>69.77</v>
      </c>
      <c r="F655" s="3147">
        <v>3</v>
      </c>
      <c r="G655" s="3147" t="s">
        <v>3408</v>
      </c>
      <c r="H655" s="3145" t="s">
        <v>21</v>
      </c>
      <c r="I655" s="3133" t="s">
        <v>3553</v>
      </c>
      <c r="J655" s="3133">
        <f>'[3]典型户型修正-办公'!S987</f>
        <v>101</v>
      </c>
      <c r="K655" s="3133">
        <f>'[3]典型户型修正-办公'!R987</f>
        <v>14461</v>
      </c>
    </row>
    <row r="656" spans="1:11">
      <c r="A656" s="3145"/>
      <c r="B656" s="3146">
        <v>638</v>
      </c>
      <c r="C656" s="3147">
        <v>10</v>
      </c>
      <c r="D656" s="3147" t="s">
        <v>3647</v>
      </c>
      <c r="E656" s="3147">
        <v>38.65</v>
      </c>
      <c r="F656" s="3147">
        <v>3</v>
      </c>
      <c r="G656" s="3147" t="s">
        <v>3408</v>
      </c>
      <c r="H656" s="3145" t="s">
        <v>21</v>
      </c>
      <c r="I656" s="3133" t="s">
        <v>3553</v>
      </c>
      <c r="J656" s="3133">
        <f>'[3]典型户型修正-办公'!S988</f>
        <v>55</v>
      </c>
      <c r="K656" s="3133">
        <f>'[3]典型户型修正-办公'!R988</f>
        <v>14318</v>
      </c>
    </row>
    <row r="657" spans="1:11">
      <c r="A657" s="3145"/>
      <c r="B657" s="3146">
        <v>639</v>
      </c>
      <c r="C657" s="3147">
        <v>10</v>
      </c>
      <c r="D657" s="3147" t="s">
        <v>3648</v>
      </c>
      <c r="E657" s="3147">
        <v>41.99</v>
      </c>
      <c r="F657" s="3147">
        <v>3</v>
      </c>
      <c r="G657" s="3147" t="s">
        <v>3408</v>
      </c>
      <c r="H657" s="3145" t="s">
        <v>21</v>
      </c>
      <c r="I657" s="3133" t="s">
        <v>3553</v>
      </c>
      <c r="J657" s="3133">
        <f>'[3]典型户型修正-办公'!S989</f>
        <v>60</v>
      </c>
      <c r="K657" s="3133">
        <f>'[3]典型户型修正-办公'!R989</f>
        <v>14318</v>
      </c>
    </row>
    <row r="658" spans="1:11">
      <c r="A658" s="3145"/>
      <c r="B658" s="3146">
        <v>640</v>
      </c>
      <c r="C658" s="3147">
        <v>10</v>
      </c>
      <c r="D658" s="3147" t="s">
        <v>3649</v>
      </c>
      <c r="E658" s="3147">
        <v>44.72</v>
      </c>
      <c r="F658" s="3147">
        <v>3</v>
      </c>
      <c r="G658" s="3147" t="s">
        <v>3408</v>
      </c>
      <c r="H658" s="3145" t="s">
        <v>21</v>
      </c>
      <c r="I658" s="3133" t="s">
        <v>3553</v>
      </c>
      <c r="J658" s="3133">
        <f>'[3]典型户型修正-办公'!S990</f>
        <v>64</v>
      </c>
      <c r="K658" s="3133">
        <f>'[3]典型户型修正-办公'!R990</f>
        <v>14318</v>
      </c>
    </row>
    <row r="659" spans="1:11">
      <c r="A659" s="3145"/>
      <c r="B659" s="3146">
        <v>641</v>
      </c>
      <c r="C659" s="3147">
        <v>10</v>
      </c>
      <c r="D659" s="3147" t="s">
        <v>3650</v>
      </c>
      <c r="E659" s="3147">
        <v>46.83</v>
      </c>
      <c r="F659" s="3147">
        <v>3</v>
      </c>
      <c r="G659" s="3147" t="s">
        <v>3408</v>
      </c>
      <c r="H659" s="3145" t="s">
        <v>21</v>
      </c>
      <c r="I659" s="3133" t="s">
        <v>3553</v>
      </c>
      <c r="J659" s="3133">
        <f>'[3]典型户型修正-办公'!S991</f>
        <v>67</v>
      </c>
      <c r="K659" s="3133">
        <f>'[3]典型户型修正-办公'!R991</f>
        <v>14318</v>
      </c>
    </row>
    <row r="660" spans="1:11">
      <c r="A660" s="3145"/>
      <c r="B660" s="3146">
        <v>642</v>
      </c>
      <c r="C660" s="3147">
        <v>10</v>
      </c>
      <c r="D660" s="3147" t="s">
        <v>3651</v>
      </c>
      <c r="E660" s="3147">
        <v>48.33</v>
      </c>
      <c r="F660" s="3147">
        <v>3</v>
      </c>
      <c r="G660" s="3147" t="s">
        <v>3408</v>
      </c>
      <c r="H660" s="3145" t="s">
        <v>21</v>
      </c>
      <c r="I660" s="3133" t="s">
        <v>3553</v>
      </c>
      <c r="J660" s="3133">
        <f>'[3]典型户型修正-办公'!S992</f>
        <v>69</v>
      </c>
      <c r="K660" s="3133">
        <f>'[3]典型户型修正-办公'!R992</f>
        <v>14318</v>
      </c>
    </row>
    <row r="661" spans="1:11">
      <c r="A661" s="3145"/>
      <c r="B661" s="3146">
        <v>643</v>
      </c>
      <c r="C661" s="3147">
        <v>10</v>
      </c>
      <c r="D661" s="3147" t="s">
        <v>3652</v>
      </c>
      <c r="E661" s="3147">
        <v>49.3</v>
      </c>
      <c r="F661" s="3147">
        <v>3</v>
      </c>
      <c r="G661" s="3147" t="s">
        <v>3408</v>
      </c>
      <c r="H661" s="3145" t="s">
        <v>21</v>
      </c>
      <c r="I661" s="3133" t="s">
        <v>3553</v>
      </c>
      <c r="J661" s="3133">
        <f>'[3]典型户型修正-办公'!S993</f>
        <v>71</v>
      </c>
      <c r="K661" s="3133">
        <f>'[3]典型户型修正-办公'!R993</f>
        <v>14318</v>
      </c>
    </row>
    <row r="662" spans="1:11">
      <c r="A662" s="3145"/>
      <c r="B662" s="3146">
        <v>644</v>
      </c>
      <c r="C662" s="3147">
        <v>10</v>
      </c>
      <c r="D662" s="3147" t="s">
        <v>3653</v>
      </c>
      <c r="E662" s="3147">
        <v>49.59</v>
      </c>
      <c r="F662" s="3147">
        <v>3</v>
      </c>
      <c r="G662" s="3147" t="s">
        <v>3408</v>
      </c>
      <c r="H662" s="3145" t="s">
        <v>21</v>
      </c>
      <c r="I662" s="3133" t="s">
        <v>3553</v>
      </c>
      <c r="J662" s="3133">
        <f>'[3]典型户型修正-办公'!S994</f>
        <v>71</v>
      </c>
      <c r="K662" s="3133">
        <f>'[3]典型户型修正-办公'!R994</f>
        <v>14318</v>
      </c>
    </row>
    <row r="663" spans="1:11">
      <c r="A663" s="3145"/>
      <c r="B663" s="3146">
        <v>645</v>
      </c>
      <c r="C663" s="3147">
        <v>10</v>
      </c>
      <c r="D663" s="3147" t="s">
        <v>3654</v>
      </c>
      <c r="E663" s="3147">
        <v>49.28</v>
      </c>
      <c r="F663" s="3147">
        <v>3</v>
      </c>
      <c r="G663" s="3147" t="s">
        <v>3408</v>
      </c>
      <c r="H663" s="3145" t="s">
        <v>21</v>
      </c>
      <c r="I663" s="3133" t="s">
        <v>3553</v>
      </c>
      <c r="J663" s="3133">
        <f>'[3]典型户型修正-办公'!S995</f>
        <v>71</v>
      </c>
      <c r="K663" s="3133">
        <f>'[3]典型户型修正-办公'!R995</f>
        <v>14318</v>
      </c>
    </row>
    <row r="664" spans="1:11">
      <c r="A664" s="3145"/>
      <c r="B664" s="3146">
        <v>646</v>
      </c>
      <c r="C664" s="3147">
        <v>10</v>
      </c>
      <c r="D664" s="3147" t="s">
        <v>3655</v>
      </c>
      <c r="E664" s="3147">
        <v>48.41</v>
      </c>
      <c r="F664" s="3147">
        <v>3</v>
      </c>
      <c r="G664" s="3147" t="s">
        <v>3408</v>
      </c>
      <c r="H664" s="3145" t="s">
        <v>21</v>
      </c>
      <c r="I664" s="3133" t="s">
        <v>3553</v>
      </c>
      <c r="J664" s="3133">
        <f>'[3]典型户型修正-办公'!S996</f>
        <v>69</v>
      </c>
      <c r="K664" s="3133">
        <f>'[3]典型户型修正-办公'!R996</f>
        <v>14318</v>
      </c>
    </row>
    <row r="665" spans="1:11">
      <c r="A665" s="3145"/>
      <c r="B665" s="3146">
        <v>647</v>
      </c>
      <c r="C665" s="3147">
        <v>10</v>
      </c>
      <c r="D665" s="3147" t="s">
        <v>3656</v>
      </c>
      <c r="E665" s="3147">
        <v>47.44</v>
      </c>
      <c r="F665" s="3147">
        <v>3</v>
      </c>
      <c r="G665" s="3147" t="s">
        <v>3408</v>
      </c>
      <c r="H665" s="3145" t="s">
        <v>21</v>
      </c>
      <c r="I665" s="3133" t="s">
        <v>3553</v>
      </c>
      <c r="J665" s="3133">
        <f>'[3]典型户型修正-办公'!S997</f>
        <v>68</v>
      </c>
      <c r="K665" s="3133">
        <f>'[3]典型户型修正-办公'!R997</f>
        <v>14318</v>
      </c>
    </row>
    <row r="666" spans="1:11">
      <c r="A666" s="3145"/>
      <c r="B666" s="3146">
        <v>648</v>
      </c>
      <c r="C666" s="3147">
        <v>11</v>
      </c>
      <c r="D666" s="3147" t="s">
        <v>3657</v>
      </c>
      <c r="E666" s="3147">
        <v>52.2</v>
      </c>
      <c r="F666" s="3147">
        <v>3</v>
      </c>
      <c r="G666" s="3147" t="s">
        <v>3408</v>
      </c>
      <c r="H666" s="3145" t="s">
        <v>21</v>
      </c>
      <c r="I666" s="3133" t="s">
        <v>3553</v>
      </c>
      <c r="J666" s="3133">
        <f>'[3]典型户型修正-办公'!S998</f>
        <v>75</v>
      </c>
      <c r="K666" s="3133">
        <f>'[3]典型户型修正-办公'!R998</f>
        <v>14318</v>
      </c>
    </row>
    <row r="667" spans="1:11">
      <c r="A667" s="3145"/>
      <c r="B667" s="3146">
        <v>649</v>
      </c>
      <c r="C667" s="3147">
        <v>11</v>
      </c>
      <c r="D667" s="3147" t="s">
        <v>3658</v>
      </c>
      <c r="E667" s="3147">
        <v>50.33</v>
      </c>
      <c r="F667" s="3147">
        <v>3</v>
      </c>
      <c r="G667" s="3147" t="s">
        <v>3408</v>
      </c>
      <c r="H667" s="3145" t="s">
        <v>21</v>
      </c>
      <c r="I667" s="3133" t="s">
        <v>3553</v>
      </c>
      <c r="J667" s="3133">
        <f>'[3]典型户型修正-办公'!S999</f>
        <v>72</v>
      </c>
      <c r="K667" s="3133">
        <f>'[3]典型户型修正-办公'!R999</f>
        <v>14318</v>
      </c>
    </row>
    <row r="668" spans="1:11">
      <c r="A668" s="3145"/>
      <c r="B668" s="3146">
        <v>650</v>
      </c>
      <c r="C668" s="3147">
        <v>11</v>
      </c>
      <c r="D668" s="3147" t="s">
        <v>3659</v>
      </c>
      <c r="E668" s="3147">
        <v>50.33</v>
      </c>
      <c r="F668" s="3147">
        <v>3</v>
      </c>
      <c r="G668" s="3147" t="s">
        <v>3408</v>
      </c>
      <c r="H668" s="3145" t="s">
        <v>21</v>
      </c>
      <c r="I668" s="3133" t="s">
        <v>3553</v>
      </c>
      <c r="J668" s="3133">
        <f>'[3]典型户型修正-办公'!S1000</f>
        <v>72</v>
      </c>
      <c r="K668" s="3133">
        <f>'[3]典型户型修正-办公'!R1000</f>
        <v>14318</v>
      </c>
    </row>
    <row r="669" spans="1:11">
      <c r="A669" s="3145"/>
      <c r="B669" s="3146">
        <v>651</v>
      </c>
      <c r="C669" s="3147">
        <v>11</v>
      </c>
      <c r="D669" s="3147" t="s">
        <v>3660</v>
      </c>
      <c r="E669" s="3147">
        <v>50.33</v>
      </c>
      <c r="F669" s="3147">
        <v>3</v>
      </c>
      <c r="G669" s="3147" t="s">
        <v>3408</v>
      </c>
      <c r="H669" s="3145" t="s">
        <v>21</v>
      </c>
      <c r="I669" s="3133" t="s">
        <v>3553</v>
      </c>
      <c r="J669" s="3133">
        <f>'[3]典型户型修正-办公'!S1001</f>
        <v>72</v>
      </c>
      <c r="K669" s="3133">
        <f>'[3]典型户型修正-办公'!R1001</f>
        <v>14318</v>
      </c>
    </row>
    <row r="670" spans="1:11">
      <c r="A670" s="3145"/>
      <c r="B670" s="3146">
        <v>652</v>
      </c>
      <c r="C670" s="3147">
        <v>11</v>
      </c>
      <c r="D670" s="3147" t="s">
        <v>3661</v>
      </c>
      <c r="E670" s="3147">
        <v>50.33</v>
      </c>
      <c r="F670" s="3147">
        <v>3</v>
      </c>
      <c r="G670" s="3147" t="s">
        <v>3408</v>
      </c>
      <c r="H670" s="3145" t="s">
        <v>21</v>
      </c>
      <c r="I670" s="3133" t="s">
        <v>3553</v>
      </c>
      <c r="J670" s="3133">
        <f>'[3]典型户型修正-办公'!S1002</f>
        <v>72</v>
      </c>
      <c r="K670" s="3133">
        <f>'[3]典型户型修正-办公'!R1002</f>
        <v>14318</v>
      </c>
    </row>
    <row r="671" spans="1:11">
      <c r="A671" s="3145"/>
      <c r="B671" s="3146">
        <v>653</v>
      </c>
      <c r="C671" s="3147">
        <v>11</v>
      </c>
      <c r="D671" s="3147" t="s">
        <v>3662</v>
      </c>
      <c r="E671" s="3147">
        <v>50.33</v>
      </c>
      <c r="F671" s="3147">
        <v>3</v>
      </c>
      <c r="G671" s="3147" t="s">
        <v>3408</v>
      </c>
      <c r="H671" s="3145" t="s">
        <v>21</v>
      </c>
      <c r="I671" s="3133" t="s">
        <v>3553</v>
      </c>
      <c r="J671" s="3133">
        <f>'[3]典型户型修正-办公'!S1003</f>
        <v>72</v>
      </c>
      <c r="K671" s="3133">
        <f>'[3]典型户型修正-办公'!R1003</f>
        <v>14318</v>
      </c>
    </row>
    <row r="672" spans="1:11">
      <c r="A672" s="3145"/>
      <c r="B672" s="3146">
        <v>654</v>
      </c>
      <c r="C672" s="3147">
        <v>11</v>
      </c>
      <c r="D672" s="3147" t="s">
        <v>3663</v>
      </c>
      <c r="E672" s="3147">
        <v>50.33</v>
      </c>
      <c r="F672" s="3147">
        <v>3</v>
      </c>
      <c r="G672" s="3147" t="s">
        <v>3408</v>
      </c>
      <c r="H672" s="3145" t="s">
        <v>21</v>
      </c>
      <c r="I672" s="3133" t="s">
        <v>3553</v>
      </c>
      <c r="J672" s="3133">
        <f>'[3]典型户型修正-办公'!S1004</f>
        <v>72</v>
      </c>
      <c r="K672" s="3133">
        <f>'[3]典型户型修正-办公'!R1004</f>
        <v>14318</v>
      </c>
    </row>
    <row r="673" spans="1:11">
      <c r="A673" s="3145"/>
      <c r="B673" s="3146">
        <v>655</v>
      </c>
      <c r="C673" s="3147">
        <v>11</v>
      </c>
      <c r="D673" s="3147" t="s">
        <v>3664</v>
      </c>
      <c r="E673" s="3147">
        <v>50.33</v>
      </c>
      <c r="F673" s="3147">
        <v>3</v>
      </c>
      <c r="G673" s="3147" t="s">
        <v>3408</v>
      </c>
      <c r="H673" s="3145" t="s">
        <v>21</v>
      </c>
      <c r="I673" s="3133" t="s">
        <v>3553</v>
      </c>
      <c r="J673" s="3133">
        <f>'[3]典型户型修正-办公'!S1005</f>
        <v>72</v>
      </c>
      <c r="K673" s="3133">
        <f>'[3]典型户型修正-办公'!R1005</f>
        <v>14318</v>
      </c>
    </row>
    <row r="674" spans="1:11">
      <c r="A674" s="3145"/>
      <c r="B674" s="3146">
        <v>656</v>
      </c>
      <c r="C674" s="3147">
        <v>11</v>
      </c>
      <c r="D674" s="3147" t="s">
        <v>3665</v>
      </c>
      <c r="E674" s="3147">
        <v>50.33</v>
      </c>
      <c r="F674" s="3147">
        <v>3</v>
      </c>
      <c r="G674" s="3147" t="s">
        <v>3408</v>
      </c>
      <c r="H674" s="3145" t="s">
        <v>21</v>
      </c>
      <c r="I674" s="3133" t="s">
        <v>3553</v>
      </c>
      <c r="J674" s="3133">
        <f>'[3]典型户型修正-办公'!S1006</f>
        <v>72</v>
      </c>
      <c r="K674" s="3133">
        <f>'[3]典型户型修正-办公'!R1006</f>
        <v>14318</v>
      </c>
    </row>
    <row r="675" spans="1:11">
      <c r="A675" s="3145"/>
      <c r="B675" s="3146">
        <v>657</v>
      </c>
      <c r="C675" s="3147">
        <v>11</v>
      </c>
      <c r="D675" s="3147" t="s">
        <v>3666</v>
      </c>
      <c r="E675" s="3147">
        <v>50.33</v>
      </c>
      <c r="F675" s="3147">
        <v>3</v>
      </c>
      <c r="G675" s="3147" t="s">
        <v>3408</v>
      </c>
      <c r="H675" s="3145" t="s">
        <v>21</v>
      </c>
      <c r="I675" s="3133" t="s">
        <v>3553</v>
      </c>
      <c r="J675" s="3133">
        <f>'[3]典型户型修正-办公'!S1007</f>
        <v>72</v>
      </c>
      <c r="K675" s="3133">
        <f>'[3]典型户型修正-办公'!R1007</f>
        <v>14318</v>
      </c>
    </row>
    <row r="676" spans="1:11">
      <c r="A676" s="3145"/>
      <c r="B676" s="3146">
        <v>658</v>
      </c>
      <c r="C676" s="3147">
        <v>11</v>
      </c>
      <c r="D676" s="3147" t="s">
        <v>3667</v>
      </c>
      <c r="E676" s="3147">
        <v>50.33</v>
      </c>
      <c r="F676" s="3147">
        <v>3</v>
      </c>
      <c r="G676" s="3147" t="s">
        <v>3408</v>
      </c>
      <c r="H676" s="3145" t="s">
        <v>21</v>
      </c>
      <c r="I676" s="3133" t="s">
        <v>3553</v>
      </c>
      <c r="J676" s="3133">
        <f>'[3]典型户型修正-办公'!S1008</f>
        <v>72</v>
      </c>
      <c r="K676" s="3133">
        <f>'[3]典型户型修正-办公'!R1008</f>
        <v>14318</v>
      </c>
    </row>
    <row r="677" spans="1:11">
      <c r="A677" s="3145"/>
      <c r="B677" s="3146">
        <v>659</v>
      </c>
      <c r="C677" s="3147">
        <v>11</v>
      </c>
      <c r="D677" s="3147" t="s">
        <v>3668</v>
      </c>
      <c r="E677" s="3147">
        <v>50.33</v>
      </c>
      <c r="F677" s="3147">
        <v>3</v>
      </c>
      <c r="G677" s="3147" t="s">
        <v>3408</v>
      </c>
      <c r="H677" s="3145" t="s">
        <v>21</v>
      </c>
      <c r="I677" s="3133" t="s">
        <v>3553</v>
      </c>
      <c r="J677" s="3133">
        <f>'[3]典型户型修正-办公'!S1009</f>
        <v>72</v>
      </c>
      <c r="K677" s="3133">
        <f>'[3]典型户型修正-办公'!R1009</f>
        <v>14318</v>
      </c>
    </row>
    <row r="678" spans="1:11">
      <c r="A678" s="3145"/>
      <c r="B678" s="3146">
        <v>660</v>
      </c>
      <c r="C678" s="3147">
        <v>11</v>
      </c>
      <c r="D678" s="3147" t="s">
        <v>3669</v>
      </c>
      <c r="E678" s="3147">
        <v>50.33</v>
      </c>
      <c r="F678" s="3147">
        <v>3</v>
      </c>
      <c r="G678" s="3147" t="s">
        <v>3408</v>
      </c>
      <c r="H678" s="3145" t="s">
        <v>21</v>
      </c>
      <c r="I678" s="3133" t="s">
        <v>3553</v>
      </c>
      <c r="J678" s="3133">
        <f>'[3]典型户型修正-办公'!S1010</f>
        <v>72</v>
      </c>
      <c r="K678" s="3133">
        <f>'[3]典型户型修正-办公'!R1010</f>
        <v>14318</v>
      </c>
    </row>
    <row r="679" spans="1:11">
      <c r="A679" s="3145"/>
      <c r="B679" s="3146">
        <v>661</v>
      </c>
      <c r="C679" s="3147">
        <v>11</v>
      </c>
      <c r="D679" s="3147" t="s">
        <v>3670</v>
      </c>
      <c r="E679" s="3147">
        <v>50.33</v>
      </c>
      <c r="F679" s="3147">
        <v>3</v>
      </c>
      <c r="G679" s="3147" t="s">
        <v>3408</v>
      </c>
      <c r="H679" s="3145" t="s">
        <v>21</v>
      </c>
      <c r="I679" s="3133" t="s">
        <v>3553</v>
      </c>
      <c r="J679" s="3133">
        <f>'[3]典型户型修正-办公'!S1011</f>
        <v>72</v>
      </c>
      <c r="K679" s="3133">
        <f>'[3]典型户型修正-办公'!R1011</f>
        <v>14318</v>
      </c>
    </row>
    <row r="680" spans="1:11">
      <c r="A680" s="3145"/>
      <c r="B680" s="3146">
        <v>662</v>
      </c>
      <c r="C680" s="3147">
        <v>11</v>
      </c>
      <c r="D680" s="3147" t="s">
        <v>3671</v>
      </c>
      <c r="E680" s="3147">
        <v>50.33</v>
      </c>
      <c r="F680" s="3147">
        <v>3</v>
      </c>
      <c r="G680" s="3147" t="s">
        <v>3408</v>
      </c>
      <c r="H680" s="3145" t="s">
        <v>21</v>
      </c>
      <c r="I680" s="3133" t="s">
        <v>3553</v>
      </c>
      <c r="J680" s="3133">
        <f>'[3]典型户型修正-办公'!S1012</f>
        <v>72</v>
      </c>
      <c r="K680" s="3133">
        <f>'[3]典型户型修正-办公'!R1012</f>
        <v>14318</v>
      </c>
    </row>
    <row r="681" spans="1:11">
      <c r="A681" s="3145"/>
      <c r="B681" s="3146">
        <v>663</v>
      </c>
      <c r="C681" s="3147">
        <v>11</v>
      </c>
      <c r="D681" s="3147" t="s">
        <v>3672</v>
      </c>
      <c r="E681" s="3147">
        <v>69.77</v>
      </c>
      <c r="F681" s="3147">
        <v>3</v>
      </c>
      <c r="G681" s="3147" t="s">
        <v>3408</v>
      </c>
      <c r="H681" s="3145" t="s">
        <v>21</v>
      </c>
      <c r="I681" s="3133" t="s">
        <v>3553</v>
      </c>
      <c r="J681" s="3133">
        <f>'[3]典型户型修正-办公'!S1013</f>
        <v>101</v>
      </c>
      <c r="K681" s="3133">
        <f>'[3]典型户型修正-办公'!R1013</f>
        <v>14461</v>
      </c>
    </row>
    <row r="682" spans="1:11">
      <c r="A682" s="3145"/>
      <c r="B682" s="3146">
        <v>664</v>
      </c>
      <c r="C682" s="3147">
        <v>11</v>
      </c>
      <c r="D682" s="3147" t="s">
        <v>3673</v>
      </c>
      <c r="E682" s="3147">
        <v>38.65</v>
      </c>
      <c r="F682" s="3147">
        <v>3</v>
      </c>
      <c r="G682" s="3147" t="s">
        <v>3408</v>
      </c>
      <c r="H682" s="3145" t="s">
        <v>21</v>
      </c>
      <c r="I682" s="3133" t="s">
        <v>3553</v>
      </c>
      <c r="J682" s="3133">
        <f>'[3]典型户型修正-办公'!S1014</f>
        <v>55</v>
      </c>
      <c r="K682" s="3133">
        <f>'[3]典型户型修正-办公'!R1014</f>
        <v>14318</v>
      </c>
    </row>
    <row r="683" spans="1:11">
      <c r="A683" s="3145"/>
      <c r="B683" s="3146">
        <v>665</v>
      </c>
      <c r="C683" s="3147">
        <v>11</v>
      </c>
      <c r="D683" s="3147" t="s">
        <v>3674</v>
      </c>
      <c r="E683" s="3147">
        <v>41.99</v>
      </c>
      <c r="F683" s="3147">
        <v>3</v>
      </c>
      <c r="G683" s="3147" t="s">
        <v>3408</v>
      </c>
      <c r="H683" s="3145" t="s">
        <v>21</v>
      </c>
      <c r="I683" s="3133" t="s">
        <v>3553</v>
      </c>
      <c r="J683" s="3133">
        <f>'[3]典型户型修正-办公'!S1015</f>
        <v>60</v>
      </c>
      <c r="K683" s="3133">
        <f>'[3]典型户型修正-办公'!R1015</f>
        <v>14318</v>
      </c>
    </row>
    <row r="684" spans="1:11">
      <c r="A684" s="3145"/>
      <c r="B684" s="3146">
        <v>666</v>
      </c>
      <c r="C684" s="3147">
        <v>11</v>
      </c>
      <c r="D684" s="3147" t="s">
        <v>3675</v>
      </c>
      <c r="E684" s="3147">
        <v>44.72</v>
      </c>
      <c r="F684" s="3147">
        <v>3</v>
      </c>
      <c r="G684" s="3147" t="s">
        <v>3408</v>
      </c>
      <c r="H684" s="3145" t="s">
        <v>21</v>
      </c>
      <c r="I684" s="3133" t="s">
        <v>3553</v>
      </c>
      <c r="J684" s="3133">
        <f>'[3]典型户型修正-办公'!S1016</f>
        <v>64</v>
      </c>
      <c r="K684" s="3133">
        <f>'[3]典型户型修正-办公'!R1016</f>
        <v>14318</v>
      </c>
    </row>
    <row r="685" spans="1:11">
      <c r="A685" s="3145"/>
      <c r="B685" s="3146">
        <v>667</v>
      </c>
      <c r="C685" s="3147">
        <v>11</v>
      </c>
      <c r="D685" s="3147" t="s">
        <v>3676</v>
      </c>
      <c r="E685" s="3147">
        <v>46.83</v>
      </c>
      <c r="F685" s="3147">
        <v>3</v>
      </c>
      <c r="G685" s="3147" t="s">
        <v>3408</v>
      </c>
      <c r="H685" s="3145" t="s">
        <v>21</v>
      </c>
      <c r="I685" s="3133" t="s">
        <v>3553</v>
      </c>
      <c r="J685" s="3133">
        <f>'[3]典型户型修正-办公'!S1017</f>
        <v>67</v>
      </c>
      <c r="K685" s="3133">
        <f>'[3]典型户型修正-办公'!R1017</f>
        <v>14318</v>
      </c>
    </row>
    <row r="686" spans="1:11">
      <c r="A686" s="3145"/>
      <c r="B686" s="3146">
        <v>668</v>
      </c>
      <c r="C686" s="3147">
        <v>11</v>
      </c>
      <c r="D686" s="3147" t="s">
        <v>3677</v>
      </c>
      <c r="E686" s="3147">
        <v>48.33</v>
      </c>
      <c r="F686" s="3147">
        <v>3</v>
      </c>
      <c r="G686" s="3147" t="s">
        <v>3408</v>
      </c>
      <c r="H686" s="3145" t="s">
        <v>21</v>
      </c>
      <c r="I686" s="3133" t="s">
        <v>3553</v>
      </c>
      <c r="J686" s="3133">
        <f>'[3]典型户型修正-办公'!S1018</f>
        <v>69</v>
      </c>
      <c r="K686" s="3133">
        <f>'[3]典型户型修正-办公'!R1018</f>
        <v>14318</v>
      </c>
    </row>
    <row r="687" spans="1:11">
      <c r="A687" s="3145"/>
      <c r="B687" s="3146">
        <v>669</v>
      </c>
      <c r="C687" s="3147">
        <v>11</v>
      </c>
      <c r="D687" s="3147" t="s">
        <v>3678</v>
      </c>
      <c r="E687" s="3147">
        <v>49.3</v>
      </c>
      <c r="F687" s="3147">
        <v>3</v>
      </c>
      <c r="G687" s="3147" t="s">
        <v>3408</v>
      </c>
      <c r="H687" s="3145" t="s">
        <v>21</v>
      </c>
      <c r="I687" s="3133" t="s">
        <v>3553</v>
      </c>
      <c r="J687" s="3133">
        <f>'[3]典型户型修正-办公'!S1019</f>
        <v>71</v>
      </c>
      <c r="K687" s="3133">
        <f>'[3]典型户型修正-办公'!R1019</f>
        <v>14318</v>
      </c>
    </row>
    <row r="688" spans="1:11">
      <c r="A688" s="3145"/>
      <c r="B688" s="3146">
        <v>670</v>
      </c>
      <c r="C688" s="3147">
        <v>11</v>
      </c>
      <c r="D688" s="3147" t="s">
        <v>3679</v>
      </c>
      <c r="E688" s="3147">
        <v>49.59</v>
      </c>
      <c r="F688" s="3147">
        <v>3</v>
      </c>
      <c r="G688" s="3147" t="s">
        <v>3408</v>
      </c>
      <c r="H688" s="3145" t="s">
        <v>21</v>
      </c>
      <c r="I688" s="3133" t="s">
        <v>3553</v>
      </c>
      <c r="J688" s="3133">
        <f>'[3]典型户型修正-办公'!S1020</f>
        <v>71</v>
      </c>
      <c r="K688" s="3133">
        <f>'[3]典型户型修正-办公'!R1020</f>
        <v>14318</v>
      </c>
    </row>
    <row r="689" spans="1:11">
      <c r="A689" s="3145"/>
      <c r="B689" s="3146">
        <v>671</v>
      </c>
      <c r="C689" s="3147">
        <v>11</v>
      </c>
      <c r="D689" s="3147" t="s">
        <v>3680</v>
      </c>
      <c r="E689" s="3147">
        <v>49.28</v>
      </c>
      <c r="F689" s="3147">
        <v>3</v>
      </c>
      <c r="G689" s="3147" t="s">
        <v>3408</v>
      </c>
      <c r="H689" s="3145" t="s">
        <v>21</v>
      </c>
      <c r="I689" s="3133" t="s">
        <v>3553</v>
      </c>
      <c r="J689" s="3133">
        <f>'[3]典型户型修正-办公'!S1021</f>
        <v>71</v>
      </c>
      <c r="K689" s="3133">
        <f>'[3]典型户型修正-办公'!R1021</f>
        <v>14318</v>
      </c>
    </row>
    <row r="690" spans="1:11">
      <c r="A690" s="3145"/>
      <c r="B690" s="3146">
        <v>672</v>
      </c>
      <c r="C690" s="3147">
        <v>11</v>
      </c>
      <c r="D690" s="3147" t="s">
        <v>3681</v>
      </c>
      <c r="E690" s="3147">
        <v>48.41</v>
      </c>
      <c r="F690" s="3147">
        <v>3</v>
      </c>
      <c r="G690" s="3147" t="s">
        <v>3408</v>
      </c>
      <c r="H690" s="3145" t="s">
        <v>21</v>
      </c>
      <c r="I690" s="3133" t="s">
        <v>3553</v>
      </c>
      <c r="J690" s="3133">
        <f>'[3]典型户型修正-办公'!S1022</f>
        <v>69</v>
      </c>
      <c r="K690" s="3133">
        <f>'[3]典型户型修正-办公'!R1022</f>
        <v>14318</v>
      </c>
    </row>
    <row r="691" spans="1:11">
      <c r="A691" s="3145"/>
      <c r="B691" s="3146">
        <v>673</v>
      </c>
      <c r="C691" s="3147">
        <v>11</v>
      </c>
      <c r="D691" s="3147" t="s">
        <v>3682</v>
      </c>
      <c r="E691" s="3147">
        <v>47.44</v>
      </c>
      <c r="F691" s="3147">
        <v>3</v>
      </c>
      <c r="G691" s="3147" t="s">
        <v>3408</v>
      </c>
      <c r="H691" s="3145" t="s">
        <v>21</v>
      </c>
      <c r="I691" s="3133" t="s">
        <v>3553</v>
      </c>
      <c r="J691" s="3133">
        <f>'[3]典型户型修正-办公'!S1023</f>
        <v>68</v>
      </c>
      <c r="K691" s="3133">
        <f>'[3]典型户型修正-办公'!R1023</f>
        <v>14318</v>
      </c>
    </row>
    <row r="692" spans="1:11">
      <c r="A692" s="3145"/>
      <c r="B692" s="3146">
        <v>674</v>
      </c>
      <c r="C692" s="3147">
        <v>12</v>
      </c>
      <c r="D692" s="3147" t="s">
        <v>3684</v>
      </c>
      <c r="E692" s="3147">
        <v>50.33</v>
      </c>
      <c r="F692" s="3147">
        <v>3</v>
      </c>
      <c r="G692" s="3147" t="s">
        <v>3408</v>
      </c>
      <c r="H692" s="3145" t="s">
        <v>21</v>
      </c>
      <c r="I692" s="3133" t="s">
        <v>3553</v>
      </c>
      <c r="J692" s="3133">
        <f>'[3]典型户型修正-办公'!S1025</f>
        <v>72</v>
      </c>
      <c r="K692" s="3133">
        <f>'[3]典型户型修正-办公'!R1025</f>
        <v>14318</v>
      </c>
    </row>
    <row r="693" spans="1:11">
      <c r="A693" s="3145"/>
      <c r="B693" s="3146">
        <v>675</v>
      </c>
      <c r="C693" s="3147">
        <v>12</v>
      </c>
      <c r="D693" s="3147" t="s">
        <v>3685</v>
      </c>
      <c r="E693" s="3147">
        <v>50.33</v>
      </c>
      <c r="F693" s="3147">
        <v>3</v>
      </c>
      <c r="G693" s="3147" t="s">
        <v>3408</v>
      </c>
      <c r="H693" s="3145" t="s">
        <v>21</v>
      </c>
      <c r="I693" s="3133" t="s">
        <v>3553</v>
      </c>
      <c r="J693" s="3133">
        <f>'[3]典型户型修正-办公'!S1026</f>
        <v>72</v>
      </c>
      <c r="K693" s="3133">
        <f>'[3]典型户型修正-办公'!R1026</f>
        <v>14318</v>
      </c>
    </row>
    <row r="694" spans="1:11">
      <c r="A694" s="3145"/>
      <c r="B694" s="3146">
        <v>676</v>
      </c>
      <c r="C694" s="3147">
        <v>12</v>
      </c>
      <c r="D694" s="3147" t="s">
        <v>3686</v>
      </c>
      <c r="E694" s="3147">
        <v>50.33</v>
      </c>
      <c r="F694" s="3147">
        <v>3</v>
      </c>
      <c r="G694" s="3147" t="s">
        <v>3408</v>
      </c>
      <c r="H694" s="3145" t="s">
        <v>21</v>
      </c>
      <c r="I694" s="3133" t="s">
        <v>3553</v>
      </c>
      <c r="J694" s="3133">
        <f>'[3]典型户型修正-办公'!S1027</f>
        <v>72</v>
      </c>
      <c r="K694" s="3133">
        <f>'[3]典型户型修正-办公'!R1027</f>
        <v>14318</v>
      </c>
    </row>
    <row r="695" spans="1:11">
      <c r="A695" s="3145"/>
      <c r="B695" s="3146">
        <v>677</v>
      </c>
      <c r="C695" s="3147">
        <v>12</v>
      </c>
      <c r="D695" s="3147" t="s">
        <v>3687</v>
      </c>
      <c r="E695" s="3147">
        <v>50.33</v>
      </c>
      <c r="F695" s="3147">
        <v>3</v>
      </c>
      <c r="G695" s="3147" t="s">
        <v>3408</v>
      </c>
      <c r="H695" s="3145" t="s">
        <v>21</v>
      </c>
      <c r="I695" s="3133" t="s">
        <v>3553</v>
      </c>
      <c r="J695" s="3133">
        <f>'[3]典型户型修正-办公'!S1028</f>
        <v>72</v>
      </c>
      <c r="K695" s="3133">
        <f>'[3]典型户型修正-办公'!R1028</f>
        <v>14318</v>
      </c>
    </row>
    <row r="696" spans="1:11">
      <c r="A696" s="3145"/>
      <c r="B696" s="3146">
        <v>678</v>
      </c>
      <c r="C696" s="3147">
        <v>12</v>
      </c>
      <c r="D696" s="3147" t="s">
        <v>3688</v>
      </c>
      <c r="E696" s="3147">
        <v>50.33</v>
      </c>
      <c r="F696" s="3147">
        <v>3</v>
      </c>
      <c r="G696" s="3147" t="s">
        <v>3408</v>
      </c>
      <c r="H696" s="3145" t="s">
        <v>21</v>
      </c>
      <c r="I696" s="3133" t="s">
        <v>3553</v>
      </c>
      <c r="J696" s="3133">
        <f>'[3]典型户型修正-办公'!S1029</f>
        <v>72</v>
      </c>
      <c r="K696" s="3133">
        <f>'[3]典型户型修正-办公'!R1029</f>
        <v>14318</v>
      </c>
    </row>
    <row r="697" spans="1:11">
      <c r="A697" s="3145"/>
      <c r="B697" s="3146">
        <v>679</v>
      </c>
      <c r="C697" s="3147">
        <v>12</v>
      </c>
      <c r="D697" s="3147" t="s">
        <v>3689</v>
      </c>
      <c r="E697" s="3147">
        <v>50.33</v>
      </c>
      <c r="F697" s="3147">
        <v>3</v>
      </c>
      <c r="G697" s="3147" t="s">
        <v>3408</v>
      </c>
      <c r="H697" s="3145" t="s">
        <v>21</v>
      </c>
      <c r="I697" s="3133" t="s">
        <v>3553</v>
      </c>
      <c r="J697" s="3133">
        <f>'[3]典型户型修正-办公'!S1030</f>
        <v>72</v>
      </c>
      <c r="K697" s="3133">
        <f>'[3]典型户型修正-办公'!R1030</f>
        <v>14318</v>
      </c>
    </row>
    <row r="698" spans="1:11">
      <c r="A698" s="3145"/>
      <c r="B698" s="3146">
        <v>680</v>
      </c>
      <c r="C698" s="3147">
        <v>12</v>
      </c>
      <c r="D698" s="3147" t="s">
        <v>3690</v>
      </c>
      <c r="E698" s="3147">
        <v>50.33</v>
      </c>
      <c r="F698" s="3147">
        <v>3</v>
      </c>
      <c r="G698" s="3147" t="s">
        <v>3408</v>
      </c>
      <c r="H698" s="3145" t="s">
        <v>21</v>
      </c>
      <c r="I698" s="3133" t="s">
        <v>3553</v>
      </c>
      <c r="J698" s="3133">
        <f>'[3]典型户型修正-办公'!S1031</f>
        <v>72</v>
      </c>
      <c r="K698" s="3133">
        <f>'[3]典型户型修正-办公'!R1031</f>
        <v>14318</v>
      </c>
    </row>
    <row r="699" spans="1:11">
      <c r="A699" s="3145"/>
      <c r="B699" s="3146">
        <v>681</v>
      </c>
      <c r="C699" s="3147">
        <v>12</v>
      </c>
      <c r="D699" s="3147" t="s">
        <v>3691</v>
      </c>
      <c r="E699" s="3147">
        <v>50.33</v>
      </c>
      <c r="F699" s="3147">
        <v>3</v>
      </c>
      <c r="G699" s="3147" t="s">
        <v>3408</v>
      </c>
      <c r="H699" s="3145" t="s">
        <v>21</v>
      </c>
      <c r="I699" s="3133" t="s">
        <v>3553</v>
      </c>
      <c r="J699" s="3133">
        <f>'[3]典型户型修正-办公'!S1032</f>
        <v>72</v>
      </c>
      <c r="K699" s="3133">
        <f>'[3]典型户型修正-办公'!R1032</f>
        <v>14318</v>
      </c>
    </row>
    <row r="700" spans="1:11">
      <c r="A700" s="3145"/>
      <c r="B700" s="3146">
        <v>682</v>
      </c>
      <c r="C700" s="3147">
        <v>12</v>
      </c>
      <c r="D700" s="3147" t="s">
        <v>3692</v>
      </c>
      <c r="E700" s="3147">
        <v>50.33</v>
      </c>
      <c r="F700" s="3147">
        <v>3</v>
      </c>
      <c r="G700" s="3147" t="s">
        <v>3408</v>
      </c>
      <c r="H700" s="3145" t="s">
        <v>21</v>
      </c>
      <c r="I700" s="3133" t="s">
        <v>3553</v>
      </c>
      <c r="J700" s="3133">
        <f>'[3]典型户型修正-办公'!S1033</f>
        <v>72</v>
      </c>
      <c r="K700" s="3133">
        <f>'[3]典型户型修正-办公'!R1033</f>
        <v>14318</v>
      </c>
    </row>
    <row r="701" spans="1:11">
      <c r="A701" s="3145"/>
      <c r="B701" s="3146">
        <v>683</v>
      </c>
      <c r="C701" s="3147">
        <v>12</v>
      </c>
      <c r="D701" s="3147" t="s">
        <v>3693</v>
      </c>
      <c r="E701" s="3147">
        <v>50.33</v>
      </c>
      <c r="F701" s="3147">
        <v>3</v>
      </c>
      <c r="G701" s="3147" t="s">
        <v>3408</v>
      </c>
      <c r="H701" s="3145" t="s">
        <v>21</v>
      </c>
      <c r="I701" s="3133" t="s">
        <v>3553</v>
      </c>
      <c r="J701" s="3133">
        <f>'[3]典型户型修正-办公'!S1034</f>
        <v>72</v>
      </c>
      <c r="K701" s="3133">
        <f>'[3]典型户型修正-办公'!R1034</f>
        <v>14318</v>
      </c>
    </row>
    <row r="702" spans="1:11">
      <c r="A702" s="3145"/>
      <c r="B702" s="3146">
        <v>684</v>
      </c>
      <c r="C702" s="3147">
        <v>12</v>
      </c>
      <c r="D702" s="3147" t="s">
        <v>3694</v>
      </c>
      <c r="E702" s="3147">
        <v>50.33</v>
      </c>
      <c r="F702" s="3147">
        <v>3</v>
      </c>
      <c r="G702" s="3147" t="s">
        <v>3408</v>
      </c>
      <c r="H702" s="3145" t="s">
        <v>21</v>
      </c>
      <c r="I702" s="3133" t="s">
        <v>3553</v>
      </c>
      <c r="J702" s="3133">
        <f>'[3]典型户型修正-办公'!S1035</f>
        <v>72</v>
      </c>
      <c r="K702" s="3133">
        <f>'[3]典型户型修正-办公'!R1035</f>
        <v>14318</v>
      </c>
    </row>
    <row r="703" spans="1:11">
      <c r="A703" s="3145"/>
      <c r="B703" s="3146">
        <v>685</v>
      </c>
      <c r="C703" s="3147">
        <v>12</v>
      </c>
      <c r="D703" s="3147" t="s">
        <v>3695</v>
      </c>
      <c r="E703" s="3147">
        <v>50.33</v>
      </c>
      <c r="F703" s="3147">
        <v>3</v>
      </c>
      <c r="G703" s="3147" t="s">
        <v>3408</v>
      </c>
      <c r="H703" s="3145" t="s">
        <v>21</v>
      </c>
      <c r="I703" s="3133" t="s">
        <v>3553</v>
      </c>
      <c r="J703" s="3133">
        <f>'[3]典型户型修正-办公'!S1036</f>
        <v>72</v>
      </c>
      <c r="K703" s="3133">
        <f>'[3]典型户型修正-办公'!R1036</f>
        <v>14318</v>
      </c>
    </row>
    <row r="704" spans="1:11">
      <c r="A704" s="3145"/>
      <c r="B704" s="3146">
        <v>686</v>
      </c>
      <c r="C704" s="3147">
        <v>12</v>
      </c>
      <c r="D704" s="3147" t="s">
        <v>3696</v>
      </c>
      <c r="E704" s="3147">
        <v>50.33</v>
      </c>
      <c r="F704" s="3147">
        <v>3</v>
      </c>
      <c r="G704" s="3147" t="s">
        <v>3408</v>
      </c>
      <c r="H704" s="3145" t="s">
        <v>21</v>
      </c>
      <c r="I704" s="3133" t="s">
        <v>3553</v>
      </c>
      <c r="J704" s="3133">
        <f>'[3]典型户型修正-办公'!S1037</f>
        <v>72</v>
      </c>
      <c r="K704" s="3133">
        <f>'[3]典型户型修正-办公'!R1037</f>
        <v>14318</v>
      </c>
    </row>
    <row r="705" spans="1:11">
      <c r="A705" s="3145"/>
      <c r="B705" s="3146">
        <v>687</v>
      </c>
      <c r="C705" s="3147">
        <v>12</v>
      </c>
      <c r="D705" s="3147" t="s">
        <v>3697</v>
      </c>
      <c r="E705" s="3147">
        <v>50.33</v>
      </c>
      <c r="F705" s="3147">
        <v>3</v>
      </c>
      <c r="G705" s="3147" t="s">
        <v>3408</v>
      </c>
      <c r="H705" s="3145" t="s">
        <v>21</v>
      </c>
      <c r="I705" s="3133" t="s">
        <v>3553</v>
      </c>
      <c r="J705" s="3133">
        <f>'[3]典型户型修正-办公'!S1038</f>
        <v>72</v>
      </c>
      <c r="K705" s="3133">
        <f>'[3]典型户型修正-办公'!R1038</f>
        <v>14318</v>
      </c>
    </row>
    <row r="706" spans="1:11">
      <c r="A706" s="3145"/>
      <c r="B706" s="3146">
        <v>688</v>
      </c>
      <c r="C706" s="3147">
        <v>12</v>
      </c>
      <c r="D706" s="3147" t="s">
        <v>3698</v>
      </c>
      <c r="E706" s="3147">
        <v>69.77</v>
      </c>
      <c r="F706" s="3147">
        <v>3</v>
      </c>
      <c r="G706" s="3147" t="s">
        <v>3408</v>
      </c>
      <c r="H706" s="3145" t="s">
        <v>21</v>
      </c>
      <c r="I706" s="3133" t="s">
        <v>3553</v>
      </c>
      <c r="J706" s="3133">
        <f>'[3]典型户型修正-办公'!S1039</f>
        <v>101</v>
      </c>
      <c r="K706" s="3133">
        <f>'[3]典型户型修正-办公'!R1039</f>
        <v>14461</v>
      </c>
    </row>
    <row r="707" spans="1:11">
      <c r="A707" s="3145"/>
      <c r="B707" s="3146">
        <v>689</v>
      </c>
      <c r="C707" s="3147">
        <v>12</v>
      </c>
      <c r="D707" s="3147" t="s">
        <v>3699</v>
      </c>
      <c r="E707" s="3147">
        <v>38.65</v>
      </c>
      <c r="F707" s="3147">
        <v>3</v>
      </c>
      <c r="G707" s="3147" t="s">
        <v>3408</v>
      </c>
      <c r="H707" s="3145" t="s">
        <v>21</v>
      </c>
      <c r="I707" s="3133" t="s">
        <v>3553</v>
      </c>
      <c r="J707" s="3133">
        <f>'[3]典型户型修正-办公'!S1040</f>
        <v>55</v>
      </c>
      <c r="K707" s="3133">
        <f>'[3]典型户型修正-办公'!R1040</f>
        <v>14318</v>
      </c>
    </row>
    <row r="708" spans="1:11">
      <c r="A708" s="3145"/>
      <c r="B708" s="3146">
        <v>690</v>
      </c>
      <c r="C708" s="3147">
        <v>12</v>
      </c>
      <c r="D708" s="3147" t="s">
        <v>3700</v>
      </c>
      <c r="E708" s="3147">
        <v>41.99</v>
      </c>
      <c r="F708" s="3147">
        <v>3</v>
      </c>
      <c r="G708" s="3147" t="s">
        <v>3408</v>
      </c>
      <c r="H708" s="3145" t="s">
        <v>21</v>
      </c>
      <c r="I708" s="3133" t="s">
        <v>3553</v>
      </c>
      <c r="J708" s="3133">
        <f>'[3]典型户型修正-办公'!S1041</f>
        <v>60</v>
      </c>
      <c r="K708" s="3133">
        <f>'[3]典型户型修正-办公'!R1041</f>
        <v>14318</v>
      </c>
    </row>
    <row r="709" spans="1:11">
      <c r="A709" s="3145"/>
      <c r="B709" s="3146">
        <v>691</v>
      </c>
      <c r="C709" s="3147">
        <v>12</v>
      </c>
      <c r="D709" s="3147" t="s">
        <v>3701</v>
      </c>
      <c r="E709" s="3147">
        <v>44.72</v>
      </c>
      <c r="F709" s="3147">
        <v>3</v>
      </c>
      <c r="G709" s="3147" t="s">
        <v>3408</v>
      </c>
      <c r="H709" s="3145" t="s">
        <v>21</v>
      </c>
      <c r="I709" s="3133" t="s">
        <v>3553</v>
      </c>
      <c r="J709" s="3133">
        <f>'[3]典型户型修正-办公'!S1042</f>
        <v>64</v>
      </c>
      <c r="K709" s="3133">
        <f>'[3]典型户型修正-办公'!R1042</f>
        <v>14318</v>
      </c>
    </row>
    <row r="710" spans="1:11">
      <c r="A710" s="3145"/>
      <c r="B710" s="3146">
        <v>692</v>
      </c>
      <c r="C710" s="3147">
        <v>12</v>
      </c>
      <c r="D710" s="3147" t="s">
        <v>3702</v>
      </c>
      <c r="E710" s="3147">
        <v>46.83</v>
      </c>
      <c r="F710" s="3147">
        <v>3</v>
      </c>
      <c r="G710" s="3147" t="s">
        <v>3408</v>
      </c>
      <c r="H710" s="3145" t="s">
        <v>21</v>
      </c>
      <c r="I710" s="3133" t="s">
        <v>3553</v>
      </c>
      <c r="J710" s="3133">
        <f>'[3]典型户型修正-办公'!S1043</f>
        <v>67</v>
      </c>
      <c r="K710" s="3133">
        <f>'[3]典型户型修正-办公'!R1043</f>
        <v>14318</v>
      </c>
    </row>
    <row r="711" spans="1:11">
      <c r="A711" s="3145"/>
      <c r="B711" s="3146">
        <v>693</v>
      </c>
      <c r="C711" s="3147">
        <v>12</v>
      </c>
      <c r="D711" s="3147" t="s">
        <v>3703</v>
      </c>
      <c r="E711" s="3147">
        <v>48.33</v>
      </c>
      <c r="F711" s="3147">
        <v>3</v>
      </c>
      <c r="G711" s="3147" t="s">
        <v>3408</v>
      </c>
      <c r="H711" s="3145" t="s">
        <v>21</v>
      </c>
      <c r="I711" s="3133" t="s">
        <v>3553</v>
      </c>
      <c r="J711" s="3133">
        <f>'[3]典型户型修正-办公'!S1044</f>
        <v>69</v>
      </c>
      <c r="K711" s="3133">
        <f>'[3]典型户型修正-办公'!R1044</f>
        <v>14318</v>
      </c>
    </row>
    <row r="712" spans="1:11">
      <c r="A712" s="3145"/>
      <c r="B712" s="3146">
        <v>694</v>
      </c>
      <c r="C712" s="3147">
        <v>12</v>
      </c>
      <c r="D712" s="3147" t="s">
        <v>3704</v>
      </c>
      <c r="E712" s="3147">
        <v>49.3</v>
      </c>
      <c r="F712" s="3147">
        <v>3</v>
      </c>
      <c r="G712" s="3147" t="s">
        <v>3408</v>
      </c>
      <c r="H712" s="3145" t="s">
        <v>21</v>
      </c>
      <c r="I712" s="3133" t="s">
        <v>3553</v>
      </c>
      <c r="J712" s="3133">
        <f>'[3]典型户型修正-办公'!S1045</f>
        <v>71</v>
      </c>
      <c r="K712" s="3133">
        <f>'[3]典型户型修正-办公'!R1045</f>
        <v>14318</v>
      </c>
    </row>
    <row r="713" spans="1:11">
      <c r="A713" s="3145"/>
      <c r="B713" s="3146">
        <v>695</v>
      </c>
      <c r="C713" s="3147">
        <v>12</v>
      </c>
      <c r="D713" s="3147" t="s">
        <v>3705</v>
      </c>
      <c r="E713" s="3147">
        <v>49.59</v>
      </c>
      <c r="F713" s="3147">
        <v>3</v>
      </c>
      <c r="G713" s="3147" t="s">
        <v>3408</v>
      </c>
      <c r="H713" s="3145" t="s">
        <v>21</v>
      </c>
      <c r="I713" s="3133" t="s">
        <v>3553</v>
      </c>
      <c r="J713" s="3133">
        <f>'[3]典型户型修正-办公'!S1046</f>
        <v>71</v>
      </c>
      <c r="K713" s="3133">
        <f>'[3]典型户型修正-办公'!R1046</f>
        <v>14318</v>
      </c>
    </row>
    <row r="714" spans="1:11">
      <c r="A714" s="3145"/>
      <c r="B714" s="3146">
        <v>696</v>
      </c>
      <c r="C714" s="3147">
        <v>12</v>
      </c>
      <c r="D714" s="3147" t="s">
        <v>3706</v>
      </c>
      <c r="E714" s="3147">
        <v>49.28</v>
      </c>
      <c r="F714" s="3147">
        <v>3</v>
      </c>
      <c r="G714" s="3147" t="s">
        <v>3408</v>
      </c>
      <c r="H714" s="3145" t="s">
        <v>21</v>
      </c>
      <c r="I714" s="3133" t="s">
        <v>3553</v>
      </c>
      <c r="J714" s="3133">
        <f>'[3]典型户型修正-办公'!S1047</f>
        <v>71</v>
      </c>
      <c r="K714" s="3133">
        <f>'[3]典型户型修正-办公'!R1047</f>
        <v>14318</v>
      </c>
    </row>
    <row r="715" spans="1:11">
      <c r="A715" s="3145"/>
      <c r="B715" s="3146">
        <v>697</v>
      </c>
      <c r="C715" s="3147">
        <v>12</v>
      </c>
      <c r="D715" s="3147" t="s">
        <v>3707</v>
      </c>
      <c r="E715" s="3147">
        <v>48.41</v>
      </c>
      <c r="F715" s="3147">
        <v>3</v>
      </c>
      <c r="G715" s="3147" t="s">
        <v>3408</v>
      </c>
      <c r="H715" s="3145" t="s">
        <v>21</v>
      </c>
      <c r="I715" s="3133" t="s">
        <v>3553</v>
      </c>
      <c r="J715" s="3133">
        <f>'[3]典型户型修正-办公'!S1048</f>
        <v>69</v>
      </c>
      <c r="K715" s="3133">
        <f>'[3]典型户型修正-办公'!R1048</f>
        <v>14318</v>
      </c>
    </row>
    <row r="716" spans="1:11">
      <c r="A716" s="3145"/>
      <c r="B716" s="3146">
        <v>698</v>
      </c>
      <c r="C716" s="3147">
        <v>12</v>
      </c>
      <c r="D716" s="3147" t="s">
        <v>3708</v>
      </c>
      <c r="E716" s="3147">
        <v>47.44</v>
      </c>
      <c r="F716" s="3147">
        <v>3</v>
      </c>
      <c r="G716" s="3147" t="s">
        <v>3408</v>
      </c>
      <c r="H716" s="3145" t="s">
        <v>21</v>
      </c>
      <c r="I716" s="3133" t="s">
        <v>3553</v>
      </c>
      <c r="J716" s="3133">
        <f>'[3]典型户型修正-办公'!S1049</f>
        <v>68</v>
      </c>
      <c r="K716" s="3133">
        <f>'[3]典型户型修正-办公'!R1049</f>
        <v>14318</v>
      </c>
    </row>
    <row r="717" spans="1:11">
      <c r="A717" s="3145"/>
      <c r="B717" s="3146">
        <v>699</v>
      </c>
      <c r="C717" s="3147">
        <v>13</v>
      </c>
      <c r="D717" s="3147" t="s">
        <v>3709</v>
      </c>
      <c r="E717" s="3147">
        <v>52.2</v>
      </c>
      <c r="F717" s="3147">
        <v>3</v>
      </c>
      <c r="G717" s="3147" t="s">
        <v>3408</v>
      </c>
      <c r="H717" s="3145" t="s">
        <v>21</v>
      </c>
      <c r="I717" s="3133" t="s">
        <v>3553</v>
      </c>
      <c r="J717" s="3133">
        <f>'[3]典型户型修正-办公'!S1050</f>
        <v>75</v>
      </c>
      <c r="K717" s="3133">
        <f>'[3]典型户型修正-办公'!R1050</f>
        <v>14318</v>
      </c>
    </row>
    <row r="718" spans="1:11">
      <c r="A718" s="3145"/>
      <c r="B718" s="3146">
        <v>700</v>
      </c>
      <c r="C718" s="3147">
        <v>13</v>
      </c>
      <c r="D718" s="3147" t="s">
        <v>3711</v>
      </c>
      <c r="E718" s="3147">
        <v>50.33</v>
      </c>
      <c r="F718" s="3147">
        <v>3</v>
      </c>
      <c r="G718" s="3147" t="s">
        <v>3408</v>
      </c>
      <c r="H718" s="3145" t="s">
        <v>21</v>
      </c>
      <c r="I718" s="3133" t="s">
        <v>3553</v>
      </c>
      <c r="J718" s="3133">
        <f>'[3]典型户型修正-办公'!S1051</f>
        <v>72</v>
      </c>
      <c r="K718" s="3133">
        <f>'[3]典型户型修正-办公'!R1051</f>
        <v>14318</v>
      </c>
    </row>
    <row r="719" spans="1:11">
      <c r="A719" s="3145"/>
      <c r="B719" s="3146">
        <v>701</v>
      </c>
      <c r="C719" s="3147">
        <v>13</v>
      </c>
      <c r="D719" s="3147" t="s">
        <v>3712</v>
      </c>
      <c r="E719" s="3147">
        <v>50.33</v>
      </c>
      <c r="F719" s="3147">
        <v>3</v>
      </c>
      <c r="G719" s="3147" t="s">
        <v>3408</v>
      </c>
      <c r="H719" s="3145" t="s">
        <v>21</v>
      </c>
      <c r="I719" s="3133" t="s">
        <v>3553</v>
      </c>
      <c r="J719" s="3133">
        <f>'[3]典型户型修正-办公'!S1052</f>
        <v>72</v>
      </c>
      <c r="K719" s="3133">
        <f>'[3]典型户型修正-办公'!R1052</f>
        <v>14318</v>
      </c>
    </row>
    <row r="720" spans="1:11">
      <c r="A720" s="3145"/>
      <c r="B720" s="3146">
        <v>702</v>
      </c>
      <c r="C720" s="3147">
        <v>13</v>
      </c>
      <c r="D720" s="3147" t="s">
        <v>3713</v>
      </c>
      <c r="E720" s="3147">
        <v>50.33</v>
      </c>
      <c r="F720" s="3147">
        <v>3</v>
      </c>
      <c r="G720" s="3147" t="s">
        <v>3408</v>
      </c>
      <c r="H720" s="3145" t="s">
        <v>21</v>
      </c>
      <c r="I720" s="3133" t="s">
        <v>3553</v>
      </c>
      <c r="J720" s="3133">
        <f>'[3]典型户型修正-办公'!S1053</f>
        <v>72</v>
      </c>
      <c r="K720" s="3133">
        <f>'[3]典型户型修正-办公'!R1053</f>
        <v>14318</v>
      </c>
    </row>
    <row r="721" spans="1:11">
      <c r="A721" s="3145"/>
      <c r="B721" s="3146">
        <v>703</v>
      </c>
      <c r="C721" s="3147">
        <v>13</v>
      </c>
      <c r="D721" s="3147" t="s">
        <v>3714</v>
      </c>
      <c r="E721" s="3147">
        <v>50.33</v>
      </c>
      <c r="F721" s="3147">
        <v>3</v>
      </c>
      <c r="G721" s="3147" t="s">
        <v>3408</v>
      </c>
      <c r="H721" s="3145" t="s">
        <v>21</v>
      </c>
      <c r="I721" s="3133" t="s">
        <v>3553</v>
      </c>
      <c r="J721" s="3133">
        <f>'[3]典型户型修正-办公'!S1054</f>
        <v>72</v>
      </c>
      <c r="K721" s="3133">
        <f>'[3]典型户型修正-办公'!R1054</f>
        <v>14318</v>
      </c>
    </row>
    <row r="722" spans="1:11">
      <c r="A722" s="3145"/>
      <c r="B722" s="3146">
        <v>704</v>
      </c>
      <c r="C722" s="3147">
        <v>13</v>
      </c>
      <c r="D722" s="3147" t="s">
        <v>3715</v>
      </c>
      <c r="E722" s="3147">
        <v>50.33</v>
      </c>
      <c r="F722" s="3147">
        <v>3</v>
      </c>
      <c r="G722" s="3147" t="s">
        <v>3408</v>
      </c>
      <c r="H722" s="3145" t="s">
        <v>21</v>
      </c>
      <c r="I722" s="3133" t="s">
        <v>3553</v>
      </c>
      <c r="J722" s="3133">
        <f>'[3]典型户型修正-办公'!S1055</f>
        <v>72</v>
      </c>
      <c r="K722" s="3133">
        <f>'[3]典型户型修正-办公'!R1055</f>
        <v>14318</v>
      </c>
    </row>
    <row r="723" spans="1:11">
      <c r="A723" s="3145"/>
      <c r="B723" s="3146">
        <v>705</v>
      </c>
      <c r="C723" s="3147">
        <v>13</v>
      </c>
      <c r="D723" s="3147" t="s">
        <v>3716</v>
      </c>
      <c r="E723" s="3147">
        <v>50.33</v>
      </c>
      <c r="F723" s="3147">
        <v>3</v>
      </c>
      <c r="G723" s="3147" t="s">
        <v>3408</v>
      </c>
      <c r="H723" s="3145" t="s">
        <v>21</v>
      </c>
      <c r="I723" s="3133" t="s">
        <v>3553</v>
      </c>
      <c r="J723" s="3133">
        <f>'[3]典型户型修正-办公'!S1056</f>
        <v>72</v>
      </c>
      <c r="K723" s="3133">
        <f>'[3]典型户型修正-办公'!R1056</f>
        <v>14318</v>
      </c>
    </row>
    <row r="724" spans="1:11">
      <c r="A724" s="3145"/>
      <c r="B724" s="3146">
        <v>706</v>
      </c>
      <c r="C724" s="3147">
        <v>13</v>
      </c>
      <c r="D724" s="3147" t="s">
        <v>3717</v>
      </c>
      <c r="E724" s="3147">
        <v>50.33</v>
      </c>
      <c r="F724" s="3147">
        <v>3</v>
      </c>
      <c r="G724" s="3147" t="s">
        <v>3408</v>
      </c>
      <c r="H724" s="3145" t="s">
        <v>21</v>
      </c>
      <c r="I724" s="3133" t="s">
        <v>3553</v>
      </c>
      <c r="J724" s="3133">
        <f>'[3]典型户型修正-办公'!S1057</f>
        <v>72</v>
      </c>
      <c r="K724" s="3133">
        <f>'[3]典型户型修正-办公'!R1057</f>
        <v>14318</v>
      </c>
    </row>
    <row r="725" spans="1:11">
      <c r="A725" s="3145"/>
      <c r="B725" s="3146">
        <v>707</v>
      </c>
      <c r="C725" s="3147">
        <v>13</v>
      </c>
      <c r="D725" s="3147" t="s">
        <v>3718</v>
      </c>
      <c r="E725" s="3147">
        <v>50.33</v>
      </c>
      <c r="F725" s="3147">
        <v>3</v>
      </c>
      <c r="G725" s="3147" t="s">
        <v>3408</v>
      </c>
      <c r="H725" s="3145" t="s">
        <v>21</v>
      </c>
      <c r="I725" s="3133" t="s">
        <v>3553</v>
      </c>
      <c r="J725" s="3133">
        <f>'[3]典型户型修正-办公'!S1058</f>
        <v>72</v>
      </c>
      <c r="K725" s="3133">
        <f>'[3]典型户型修正-办公'!R1058</f>
        <v>14318</v>
      </c>
    </row>
    <row r="726" spans="1:11">
      <c r="A726" s="3145"/>
      <c r="B726" s="3146">
        <v>708</v>
      </c>
      <c r="C726" s="3147">
        <v>13</v>
      </c>
      <c r="D726" s="3147" t="s">
        <v>3719</v>
      </c>
      <c r="E726" s="3147">
        <v>50.33</v>
      </c>
      <c r="F726" s="3147">
        <v>3</v>
      </c>
      <c r="G726" s="3147" t="s">
        <v>3408</v>
      </c>
      <c r="H726" s="3145" t="s">
        <v>21</v>
      </c>
      <c r="I726" s="3133" t="s">
        <v>3553</v>
      </c>
      <c r="J726" s="3133">
        <f>'[3]典型户型修正-办公'!S1059</f>
        <v>72</v>
      </c>
      <c r="K726" s="3133">
        <f>'[3]典型户型修正-办公'!R1059</f>
        <v>14318</v>
      </c>
    </row>
    <row r="727" spans="1:11">
      <c r="A727" s="3145"/>
      <c r="B727" s="3146">
        <v>709</v>
      </c>
      <c r="C727" s="3147">
        <v>13</v>
      </c>
      <c r="D727" s="3147" t="s">
        <v>3720</v>
      </c>
      <c r="E727" s="3147">
        <v>50.33</v>
      </c>
      <c r="F727" s="3147">
        <v>3</v>
      </c>
      <c r="G727" s="3147" t="s">
        <v>3408</v>
      </c>
      <c r="H727" s="3145" t="s">
        <v>21</v>
      </c>
      <c r="I727" s="3133" t="s">
        <v>3553</v>
      </c>
      <c r="J727" s="3133">
        <f>'[3]典型户型修正-办公'!S1060</f>
        <v>72</v>
      </c>
      <c r="K727" s="3133">
        <f>'[3]典型户型修正-办公'!R1060</f>
        <v>14318</v>
      </c>
    </row>
    <row r="728" spans="1:11">
      <c r="A728" s="3145"/>
      <c r="B728" s="3146">
        <v>710</v>
      </c>
      <c r="C728" s="3147">
        <v>13</v>
      </c>
      <c r="D728" s="3147" t="s">
        <v>3721</v>
      </c>
      <c r="E728" s="3147">
        <v>50.33</v>
      </c>
      <c r="F728" s="3147">
        <v>3</v>
      </c>
      <c r="G728" s="3147" t="s">
        <v>3408</v>
      </c>
      <c r="H728" s="3145" t="s">
        <v>21</v>
      </c>
      <c r="I728" s="3133" t="s">
        <v>3553</v>
      </c>
      <c r="J728" s="3133">
        <f>'[3]典型户型修正-办公'!S1061</f>
        <v>72</v>
      </c>
      <c r="K728" s="3133">
        <f>'[3]典型户型修正-办公'!R1061</f>
        <v>14318</v>
      </c>
    </row>
    <row r="729" spans="1:11">
      <c r="A729" s="3145"/>
      <c r="B729" s="3146">
        <v>711</v>
      </c>
      <c r="C729" s="3147">
        <v>13</v>
      </c>
      <c r="D729" s="3147" t="s">
        <v>3722</v>
      </c>
      <c r="E729" s="3147">
        <v>50.33</v>
      </c>
      <c r="F729" s="3147">
        <v>3</v>
      </c>
      <c r="G729" s="3147" t="s">
        <v>3408</v>
      </c>
      <c r="H729" s="3145" t="s">
        <v>21</v>
      </c>
      <c r="I729" s="3133" t="s">
        <v>3553</v>
      </c>
      <c r="J729" s="3133">
        <f>'[3]典型户型修正-办公'!S1062</f>
        <v>72</v>
      </c>
      <c r="K729" s="3133">
        <f>'[3]典型户型修正-办公'!R1062</f>
        <v>14318</v>
      </c>
    </row>
    <row r="730" spans="1:11">
      <c r="A730" s="3145"/>
      <c r="B730" s="3146">
        <v>712</v>
      </c>
      <c r="C730" s="3147">
        <v>13</v>
      </c>
      <c r="D730" s="3147" t="s">
        <v>3723</v>
      </c>
      <c r="E730" s="3147">
        <v>50.33</v>
      </c>
      <c r="F730" s="3147">
        <v>3</v>
      </c>
      <c r="G730" s="3147" t="s">
        <v>3408</v>
      </c>
      <c r="H730" s="3145" t="s">
        <v>21</v>
      </c>
      <c r="I730" s="3133" t="s">
        <v>3553</v>
      </c>
      <c r="J730" s="3133">
        <f>'[3]典型户型修正-办公'!S1063</f>
        <v>72</v>
      </c>
      <c r="K730" s="3133">
        <f>'[3]典型户型修正-办公'!R1063</f>
        <v>14318</v>
      </c>
    </row>
    <row r="731" spans="1:11">
      <c r="A731" s="3145"/>
      <c r="B731" s="3146">
        <v>713</v>
      </c>
      <c r="C731" s="3147">
        <v>13</v>
      </c>
      <c r="D731" s="3147" t="s">
        <v>3724</v>
      </c>
      <c r="E731" s="3147">
        <v>50.33</v>
      </c>
      <c r="F731" s="3147">
        <v>3</v>
      </c>
      <c r="G731" s="3147" t="s">
        <v>3408</v>
      </c>
      <c r="H731" s="3145" t="s">
        <v>21</v>
      </c>
      <c r="I731" s="3133" t="s">
        <v>3553</v>
      </c>
      <c r="J731" s="3133">
        <f>'[3]典型户型修正-办公'!S1064</f>
        <v>72</v>
      </c>
      <c r="K731" s="3133">
        <f>'[3]典型户型修正-办公'!R1064</f>
        <v>14318</v>
      </c>
    </row>
    <row r="732" spans="1:11">
      <c r="A732" s="3145"/>
      <c r="B732" s="3146">
        <v>714</v>
      </c>
      <c r="C732" s="3147">
        <v>13</v>
      </c>
      <c r="D732" s="3147" t="s">
        <v>3725</v>
      </c>
      <c r="E732" s="3147">
        <v>69.77</v>
      </c>
      <c r="F732" s="3147">
        <v>3</v>
      </c>
      <c r="G732" s="3147" t="s">
        <v>3408</v>
      </c>
      <c r="H732" s="3145" t="s">
        <v>21</v>
      </c>
      <c r="I732" s="3133" t="s">
        <v>3553</v>
      </c>
      <c r="J732" s="3133">
        <f>'[3]典型户型修正-办公'!S1065</f>
        <v>101</v>
      </c>
      <c r="K732" s="3133">
        <f>'[3]典型户型修正-办公'!R1065</f>
        <v>14461</v>
      </c>
    </row>
    <row r="733" spans="1:11">
      <c r="A733" s="3145" t="s">
        <v>3818</v>
      </c>
      <c r="B733" s="3146">
        <v>715</v>
      </c>
      <c r="C733" s="3147">
        <v>13</v>
      </c>
      <c r="D733" s="3147" t="s">
        <v>3726</v>
      </c>
      <c r="E733" s="3147">
        <v>38.65</v>
      </c>
      <c r="F733" s="3147">
        <v>3</v>
      </c>
      <c r="G733" s="3147" t="s">
        <v>3408</v>
      </c>
      <c r="H733" s="3145" t="s">
        <v>21</v>
      </c>
      <c r="I733" s="3133" t="s">
        <v>3553</v>
      </c>
      <c r="J733" s="3133">
        <f>'[3]典型户型修正-办公'!S1066</f>
        <v>55</v>
      </c>
      <c r="K733" s="3133">
        <f>'[3]典型户型修正-办公'!R1066</f>
        <v>14318</v>
      </c>
    </row>
    <row r="734" spans="1:11">
      <c r="A734" s="3145" t="s">
        <v>3819</v>
      </c>
      <c r="B734" s="3146">
        <v>716</v>
      </c>
      <c r="C734" s="3147">
        <v>13</v>
      </c>
      <c r="D734" s="3147" t="s">
        <v>3727</v>
      </c>
      <c r="E734" s="3147">
        <v>41.99</v>
      </c>
      <c r="F734" s="3147">
        <v>3</v>
      </c>
      <c r="G734" s="3147" t="s">
        <v>3408</v>
      </c>
      <c r="H734" s="3145" t="s">
        <v>21</v>
      </c>
      <c r="I734" s="3133" t="s">
        <v>3553</v>
      </c>
      <c r="J734" s="3133">
        <f>'[3]典型户型修正-办公'!S1067</f>
        <v>60</v>
      </c>
      <c r="K734" s="3133">
        <f>'[3]典型户型修正-办公'!R1067</f>
        <v>14318</v>
      </c>
    </row>
    <row r="735" spans="1:11">
      <c r="A735" s="3145" t="s">
        <v>3820</v>
      </c>
      <c r="B735" s="3146">
        <v>717</v>
      </c>
      <c r="C735" s="3147">
        <v>13</v>
      </c>
      <c r="D735" s="3147" t="s">
        <v>3728</v>
      </c>
      <c r="E735" s="3147">
        <v>44.72</v>
      </c>
      <c r="F735" s="3147">
        <v>3</v>
      </c>
      <c r="G735" s="3147" t="s">
        <v>3408</v>
      </c>
      <c r="H735" s="3145" t="s">
        <v>21</v>
      </c>
      <c r="I735" s="3133" t="s">
        <v>3553</v>
      </c>
      <c r="J735" s="3133">
        <f>'[3]典型户型修正-办公'!S1068</f>
        <v>64</v>
      </c>
      <c r="K735" s="3133">
        <f>'[3]典型户型修正-办公'!R1068</f>
        <v>14318</v>
      </c>
    </row>
    <row r="736" spans="1:11">
      <c r="A736" s="3145"/>
      <c r="B736" s="3146">
        <v>718</v>
      </c>
      <c r="C736" s="3147">
        <v>13</v>
      </c>
      <c r="D736" s="3147" t="s">
        <v>3729</v>
      </c>
      <c r="E736" s="3147">
        <v>46.83</v>
      </c>
      <c r="F736" s="3147">
        <v>3</v>
      </c>
      <c r="G736" s="3147" t="s">
        <v>3408</v>
      </c>
      <c r="H736" s="3145" t="s">
        <v>21</v>
      </c>
      <c r="I736" s="3133" t="s">
        <v>3553</v>
      </c>
      <c r="J736" s="3133">
        <f>'[3]典型户型修正-办公'!S1069</f>
        <v>67</v>
      </c>
      <c r="K736" s="3133">
        <f>'[3]典型户型修正-办公'!R1069</f>
        <v>14318</v>
      </c>
    </row>
    <row r="737" spans="1:11">
      <c r="A737" s="3145"/>
      <c r="B737" s="3146">
        <v>719</v>
      </c>
      <c r="C737" s="3147">
        <v>13</v>
      </c>
      <c r="D737" s="3147" t="s">
        <v>3730</v>
      </c>
      <c r="E737" s="3147">
        <v>48.33</v>
      </c>
      <c r="F737" s="3147">
        <v>3</v>
      </c>
      <c r="G737" s="3147" t="s">
        <v>3408</v>
      </c>
      <c r="H737" s="3145" t="s">
        <v>21</v>
      </c>
      <c r="I737" s="3133" t="s">
        <v>3553</v>
      </c>
      <c r="J737" s="3133">
        <f>'[3]典型户型修正-办公'!S1070</f>
        <v>69</v>
      </c>
      <c r="K737" s="3133">
        <f>'[3]典型户型修正-办公'!R1070</f>
        <v>14318</v>
      </c>
    </row>
    <row r="738" spans="1:11">
      <c r="A738" s="3145"/>
      <c r="B738" s="3146">
        <v>720</v>
      </c>
      <c r="C738" s="3147">
        <v>13</v>
      </c>
      <c r="D738" s="3147" t="s">
        <v>3731</v>
      </c>
      <c r="E738" s="3147">
        <v>49.3</v>
      </c>
      <c r="F738" s="3147">
        <v>3</v>
      </c>
      <c r="G738" s="3147" t="s">
        <v>3408</v>
      </c>
      <c r="H738" s="3145" t="s">
        <v>21</v>
      </c>
      <c r="I738" s="3133" t="s">
        <v>3553</v>
      </c>
      <c r="J738" s="3133">
        <f>'[3]典型户型修正-办公'!S1071</f>
        <v>71</v>
      </c>
      <c r="K738" s="3133">
        <f>'[3]典型户型修正-办公'!R1071</f>
        <v>14318</v>
      </c>
    </row>
    <row r="739" spans="1:11">
      <c r="A739" s="3145"/>
      <c r="B739" s="3146">
        <v>721</v>
      </c>
      <c r="C739" s="3147">
        <v>13</v>
      </c>
      <c r="D739" s="3147" t="s">
        <v>3732</v>
      </c>
      <c r="E739" s="3147">
        <v>49.59</v>
      </c>
      <c r="F739" s="3147">
        <v>3</v>
      </c>
      <c r="G739" s="3147" t="s">
        <v>3408</v>
      </c>
      <c r="H739" s="3145" t="s">
        <v>21</v>
      </c>
      <c r="I739" s="3133" t="s">
        <v>3553</v>
      </c>
      <c r="J739" s="3133">
        <f>'[3]典型户型修正-办公'!S1072</f>
        <v>71</v>
      </c>
      <c r="K739" s="3133">
        <f>'[3]典型户型修正-办公'!R1072</f>
        <v>14318</v>
      </c>
    </row>
    <row r="740" spans="1:11">
      <c r="A740" s="3145"/>
      <c r="B740" s="3146">
        <v>722</v>
      </c>
      <c r="C740" s="3147">
        <v>13</v>
      </c>
      <c r="D740" s="3147" t="s">
        <v>3733</v>
      </c>
      <c r="E740" s="3147">
        <v>49.28</v>
      </c>
      <c r="F740" s="3147">
        <v>3</v>
      </c>
      <c r="G740" s="3147" t="s">
        <v>3408</v>
      </c>
      <c r="H740" s="3145" t="s">
        <v>21</v>
      </c>
      <c r="I740" s="3133" t="s">
        <v>3553</v>
      </c>
      <c r="J740" s="3133">
        <f>'[3]典型户型修正-办公'!S1073</f>
        <v>71</v>
      </c>
      <c r="K740" s="3133">
        <f>'[3]典型户型修正-办公'!R1073</f>
        <v>14318</v>
      </c>
    </row>
    <row r="741" spans="1:11">
      <c r="A741" s="3145"/>
      <c r="B741" s="3146">
        <v>723</v>
      </c>
      <c r="C741" s="3147">
        <v>13</v>
      </c>
      <c r="D741" s="3147" t="s">
        <v>3734</v>
      </c>
      <c r="E741" s="3147">
        <v>48.41</v>
      </c>
      <c r="F741" s="3147">
        <v>3</v>
      </c>
      <c r="G741" s="3147" t="s">
        <v>3408</v>
      </c>
      <c r="H741" s="3145" t="s">
        <v>21</v>
      </c>
      <c r="I741" s="3133" t="s">
        <v>3553</v>
      </c>
      <c r="J741" s="3133">
        <f>'[3]典型户型修正-办公'!S1074</f>
        <v>69</v>
      </c>
      <c r="K741" s="3133">
        <f>'[3]典型户型修正-办公'!R1074</f>
        <v>14318</v>
      </c>
    </row>
    <row r="742" spans="1:11">
      <c r="A742" s="3145"/>
      <c r="B742" s="3146">
        <v>724</v>
      </c>
      <c r="C742" s="3147">
        <v>13</v>
      </c>
      <c r="D742" s="3147" t="s">
        <v>3735</v>
      </c>
      <c r="E742" s="3147">
        <v>47.44</v>
      </c>
      <c r="F742" s="3147">
        <v>3</v>
      </c>
      <c r="G742" s="3147" t="s">
        <v>3408</v>
      </c>
      <c r="H742" s="3145" t="s">
        <v>21</v>
      </c>
      <c r="I742" s="3133" t="s">
        <v>3553</v>
      </c>
      <c r="J742" s="3133">
        <f>'[3]典型户型修正-办公'!S1075</f>
        <v>68</v>
      </c>
      <c r="K742" s="3133">
        <f>'[3]典型户型修正-办公'!R1075</f>
        <v>14318</v>
      </c>
    </row>
    <row r="743" spans="1:11">
      <c r="A743" s="3145"/>
      <c r="B743" s="3146">
        <v>725</v>
      </c>
      <c r="C743" s="3147">
        <v>14</v>
      </c>
      <c r="D743" s="3147" t="s">
        <v>3736</v>
      </c>
      <c r="E743" s="3147">
        <v>52.2</v>
      </c>
      <c r="F743" s="3147">
        <v>3</v>
      </c>
      <c r="G743" s="3147" t="s">
        <v>3408</v>
      </c>
      <c r="H743" s="3145" t="s">
        <v>21</v>
      </c>
      <c r="I743" s="3133" t="s">
        <v>3553</v>
      </c>
      <c r="J743" s="3133">
        <f>'[3]典型户型修正-办公'!S1076</f>
        <v>75</v>
      </c>
      <c r="K743" s="3133">
        <f>'[3]典型户型修正-办公'!R1076</f>
        <v>14318</v>
      </c>
    </row>
    <row r="744" spans="1:11">
      <c r="A744" s="3145"/>
      <c r="B744" s="3146">
        <v>726</v>
      </c>
      <c r="C744" s="3147">
        <v>14</v>
      </c>
      <c r="D744" s="3147" t="s">
        <v>3737</v>
      </c>
      <c r="E744" s="3147">
        <v>50.33</v>
      </c>
      <c r="F744" s="3147">
        <v>3</v>
      </c>
      <c r="G744" s="3147" t="s">
        <v>3408</v>
      </c>
      <c r="H744" s="3145" t="s">
        <v>21</v>
      </c>
      <c r="I744" s="3133" t="s">
        <v>3553</v>
      </c>
      <c r="J744" s="3133">
        <f>'[3]典型户型修正-办公'!S1077</f>
        <v>72</v>
      </c>
      <c r="K744" s="3133">
        <f>'[3]典型户型修正-办公'!R1077</f>
        <v>14318</v>
      </c>
    </row>
    <row r="745" spans="1:11">
      <c r="A745" s="3145"/>
      <c r="B745" s="3146">
        <v>727</v>
      </c>
      <c r="C745" s="3147">
        <v>14</v>
      </c>
      <c r="D745" s="3147" t="s">
        <v>3738</v>
      </c>
      <c r="E745" s="3147">
        <v>50.33</v>
      </c>
      <c r="F745" s="3147">
        <v>3</v>
      </c>
      <c r="G745" s="3147" t="s">
        <v>3408</v>
      </c>
      <c r="H745" s="3145" t="s">
        <v>21</v>
      </c>
      <c r="I745" s="3133" t="s">
        <v>3553</v>
      </c>
      <c r="J745" s="3133">
        <f>'[3]典型户型修正-办公'!S1078</f>
        <v>72</v>
      </c>
      <c r="K745" s="3133">
        <f>'[3]典型户型修正-办公'!R1078</f>
        <v>14318</v>
      </c>
    </row>
    <row r="746" spans="1:11">
      <c r="A746" s="3145"/>
      <c r="B746" s="3146">
        <v>728</v>
      </c>
      <c r="C746" s="3147">
        <v>14</v>
      </c>
      <c r="D746" s="3147" t="s">
        <v>3739</v>
      </c>
      <c r="E746" s="3147">
        <v>50.33</v>
      </c>
      <c r="F746" s="3147">
        <v>3</v>
      </c>
      <c r="G746" s="3147" t="s">
        <v>3408</v>
      </c>
      <c r="H746" s="3145" t="s">
        <v>21</v>
      </c>
      <c r="I746" s="3133" t="s">
        <v>3553</v>
      </c>
      <c r="J746" s="3133">
        <f>'[3]典型户型修正-办公'!S1079</f>
        <v>72</v>
      </c>
      <c r="K746" s="3133">
        <f>'[3]典型户型修正-办公'!R1079</f>
        <v>14318</v>
      </c>
    </row>
    <row r="747" spans="1:11">
      <c r="A747" s="3145"/>
      <c r="B747" s="3146">
        <v>729</v>
      </c>
      <c r="C747" s="3147">
        <v>14</v>
      </c>
      <c r="D747" s="3147" t="s">
        <v>3740</v>
      </c>
      <c r="E747" s="3147">
        <v>50.33</v>
      </c>
      <c r="F747" s="3147">
        <v>3</v>
      </c>
      <c r="G747" s="3147" t="s">
        <v>3408</v>
      </c>
      <c r="H747" s="3145" t="s">
        <v>21</v>
      </c>
      <c r="I747" s="3133" t="s">
        <v>3553</v>
      </c>
      <c r="J747" s="3133">
        <f>'[3]典型户型修正-办公'!S1080</f>
        <v>72</v>
      </c>
      <c r="K747" s="3133">
        <f>'[3]典型户型修正-办公'!R1080</f>
        <v>14318</v>
      </c>
    </row>
    <row r="748" spans="1:11">
      <c r="A748" s="3145"/>
      <c r="B748" s="3146">
        <v>730</v>
      </c>
      <c r="C748" s="3147">
        <v>14</v>
      </c>
      <c r="D748" s="3147" t="s">
        <v>3741</v>
      </c>
      <c r="E748" s="3147">
        <v>50.33</v>
      </c>
      <c r="F748" s="3147">
        <v>3</v>
      </c>
      <c r="G748" s="3147" t="s">
        <v>3408</v>
      </c>
      <c r="H748" s="3145" t="s">
        <v>21</v>
      </c>
      <c r="I748" s="3133" t="s">
        <v>3553</v>
      </c>
      <c r="J748" s="3133">
        <f>'[3]典型户型修正-办公'!S1081</f>
        <v>72</v>
      </c>
      <c r="K748" s="3133">
        <f>'[3]典型户型修正-办公'!R1081</f>
        <v>14318</v>
      </c>
    </row>
    <row r="749" spans="1:11">
      <c r="A749" s="3145"/>
      <c r="B749" s="3146">
        <v>731</v>
      </c>
      <c r="C749" s="3147">
        <v>14</v>
      </c>
      <c r="D749" s="3147" t="s">
        <v>3742</v>
      </c>
      <c r="E749" s="3147">
        <v>50.33</v>
      </c>
      <c r="F749" s="3147">
        <v>3</v>
      </c>
      <c r="G749" s="3147" t="s">
        <v>3408</v>
      </c>
      <c r="H749" s="3145" t="s">
        <v>21</v>
      </c>
      <c r="I749" s="3133" t="s">
        <v>3553</v>
      </c>
      <c r="J749" s="3133">
        <f>'[3]典型户型修正-办公'!S1082</f>
        <v>72</v>
      </c>
      <c r="K749" s="3133">
        <f>'[3]典型户型修正-办公'!R1082</f>
        <v>14318</v>
      </c>
    </row>
    <row r="750" spans="1:11">
      <c r="A750" s="3145"/>
      <c r="B750" s="3146">
        <v>732</v>
      </c>
      <c r="C750" s="3147">
        <v>14</v>
      </c>
      <c r="D750" s="3147" t="s">
        <v>3743</v>
      </c>
      <c r="E750" s="3147">
        <v>50.33</v>
      </c>
      <c r="F750" s="3147">
        <v>3</v>
      </c>
      <c r="G750" s="3147" t="s">
        <v>3408</v>
      </c>
      <c r="H750" s="3145" t="s">
        <v>21</v>
      </c>
      <c r="I750" s="3133" t="s">
        <v>3553</v>
      </c>
      <c r="J750" s="3133">
        <f>'[3]典型户型修正-办公'!S1083</f>
        <v>72</v>
      </c>
      <c r="K750" s="3133">
        <f>'[3]典型户型修正-办公'!R1083</f>
        <v>14318</v>
      </c>
    </row>
    <row r="751" spans="1:11">
      <c r="A751" s="3145"/>
      <c r="B751" s="3146">
        <v>733</v>
      </c>
      <c r="C751" s="3147">
        <v>14</v>
      </c>
      <c r="D751" s="3147" t="s">
        <v>3744</v>
      </c>
      <c r="E751" s="3147">
        <v>50.33</v>
      </c>
      <c r="F751" s="3147">
        <v>3</v>
      </c>
      <c r="G751" s="3147" t="s">
        <v>3408</v>
      </c>
      <c r="H751" s="3145" t="s">
        <v>21</v>
      </c>
      <c r="I751" s="3133" t="s">
        <v>3553</v>
      </c>
      <c r="J751" s="3133">
        <f>'[3]典型户型修正-办公'!S1084</f>
        <v>72</v>
      </c>
      <c r="K751" s="3133">
        <f>'[3]典型户型修正-办公'!R1084</f>
        <v>14318</v>
      </c>
    </row>
    <row r="752" spans="1:11">
      <c r="A752" s="3145"/>
      <c r="B752" s="3146">
        <v>734</v>
      </c>
      <c r="C752" s="3147">
        <v>14</v>
      </c>
      <c r="D752" s="3147" t="s">
        <v>3745</v>
      </c>
      <c r="E752" s="3147">
        <v>50.33</v>
      </c>
      <c r="F752" s="3147">
        <v>3</v>
      </c>
      <c r="G752" s="3147" t="s">
        <v>3408</v>
      </c>
      <c r="H752" s="3145" t="s">
        <v>21</v>
      </c>
      <c r="I752" s="3133" t="s">
        <v>3553</v>
      </c>
      <c r="J752" s="3133">
        <f>'[3]典型户型修正-办公'!S1085</f>
        <v>72</v>
      </c>
      <c r="K752" s="3133">
        <f>'[3]典型户型修正-办公'!R1085</f>
        <v>14318</v>
      </c>
    </row>
    <row r="753" spans="1:11">
      <c r="A753" s="3145"/>
      <c r="B753" s="3146">
        <v>735</v>
      </c>
      <c r="C753" s="3147">
        <v>14</v>
      </c>
      <c r="D753" s="3147" t="s">
        <v>3746</v>
      </c>
      <c r="E753" s="3147">
        <v>50.33</v>
      </c>
      <c r="F753" s="3147">
        <v>3</v>
      </c>
      <c r="G753" s="3147" t="s">
        <v>3408</v>
      </c>
      <c r="H753" s="3145" t="s">
        <v>21</v>
      </c>
      <c r="I753" s="3133" t="s">
        <v>3553</v>
      </c>
      <c r="J753" s="3133">
        <f>'[3]典型户型修正-办公'!S1086</f>
        <v>72</v>
      </c>
      <c r="K753" s="3133">
        <f>'[3]典型户型修正-办公'!R1086</f>
        <v>14318</v>
      </c>
    </row>
    <row r="754" spans="1:11">
      <c r="A754" s="3145"/>
      <c r="B754" s="3146">
        <v>736</v>
      </c>
      <c r="C754" s="3147">
        <v>14</v>
      </c>
      <c r="D754" s="3147" t="s">
        <v>3747</v>
      </c>
      <c r="E754" s="3147">
        <v>50.33</v>
      </c>
      <c r="F754" s="3147">
        <v>3</v>
      </c>
      <c r="G754" s="3147" t="s">
        <v>3408</v>
      </c>
      <c r="H754" s="3145" t="s">
        <v>21</v>
      </c>
      <c r="I754" s="3133" t="s">
        <v>3553</v>
      </c>
      <c r="J754" s="3133">
        <f>'[3]典型户型修正-办公'!S1087</f>
        <v>72</v>
      </c>
      <c r="K754" s="3133">
        <f>'[3]典型户型修正-办公'!R1087</f>
        <v>14318</v>
      </c>
    </row>
    <row r="755" spans="1:11">
      <c r="A755" s="3145"/>
      <c r="B755" s="3146">
        <v>737</v>
      </c>
      <c r="C755" s="3147">
        <v>14</v>
      </c>
      <c r="D755" s="3147" t="s">
        <v>3748</v>
      </c>
      <c r="E755" s="3147">
        <v>50.33</v>
      </c>
      <c r="F755" s="3147">
        <v>3</v>
      </c>
      <c r="G755" s="3147" t="s">
        <v>3408</v>
      </c>
      <c r="H755" s="3145" t="s">
        <v>21</v>
      </c>
      <c r="I755" s="3133" t="s">
        <v>3553</v>
      </c>
      <c r="J755" s="3133">
        <f>'[3]典型户型修正-办公'!S1088</f>
        <v>72</v>
      </c>
      <c r="K755" s="3133">
        <f>'[3]典型户型修正-办公'!R1088</f>
        <v>14318</v>
      </c>
    </row>
    <row r="756" spans="1:11">
      <c r="A756" s="3145"/>
      <c r="B756" s="3146">
        <v>738</v>
      </c>
      <c r="C756" s="3147">
        <v>14</v>
      </c>
      <c r="D756" s="3147" t="s">
        <v>3749</v>
      </c>
      <c r="E756" s="3147">
        <v>50.33</v>
      </c>
      <c r="F756" s="3147">
        <v>3</v>
      </c>
      <c r="G756" s="3147" t="s">
        <v>3408</v>
      </c>
      <c r="H756" s="3145" t="s">
        <v>21</v>
      </c>
      <c r="I756" s="3133" t="s">
        <v>3553</v>
      </c>
      <c r="J756" s="3133">
        <f>'[3]典型户型修正-办公'!S1089</f>
        <v>72</v>
      </c>
      <c r="K756" s="3133">
        <f>'[3]典型户型修正-办公'!R1089</f>
        <v>14318</v>
      </c>
    </row>
    <row r="757" spans="1:11">
      <c r="A757" s="3145"/>
      <c r="B757" s="3146">
        <v>739</v>
      </c>
      <c r="C757" s="3147">
        <v>14</v>
      </c>
      <c r="D757" s="3147" t="s">
        <v>3750</v>
      </c>
      <c r="E757" s="3147">
        <v>50.33</v>
      </c>
      <c r="F757" s="3147">
        <v>3</v>
      </c>
      <c r="G757" s="3147" t="s">
        <v>3408</v>
      </c>
      <c r="H757" s="3145" t="s">
        <v>21</v>
      </c>
      <c r="I757" s="3133" t="s">
        <v>3553</v>
      </c>
      <c r="J757" s="3133">
        <f>'[3]典型户型修正-办公'!S1090</f>
        <v>72</v>
      </c>
      <c r="K757" s="3133">
        <f>'[3]典型户型修正-办公'!R1090</f>
        <v>14318</v>
      </c>
    </row>
    <row r="758" spans="1:11">
      <c r="A758" s="3145"/>
      <c r="B758" s="3146">
        <v>740</v>
      </c>
      <c r="C758" s="3147">
        <v>14</v>
      </c>
      <c r="D758" s="3147" t="s">
        <v>3751</v>
      </c>
      <c r="E758" s="3147">
        <v>69.77</v>
      </c>
      <c r="F758" s="3147">
        <v>3</v>
      </c>
      <c r="G758" s="3147" t="s">
        <v>3408</v>
      </c>
      <c r="H758" s="3145" t="s">
        <v>21</v>
      </c>
      <c r="I758" s="3133" t="s">
        <v>3553</v>
      </c>
      <c r="J758" s="3133">
        <f>'[3]典型户型修正-办公'!S1091</f>
        <v>101</v>
      </c>
      <c r="K758" s="3133">
        <f>'[3]典型户型修正-办公'!R1091</f>
        <v>14461</v>
      </c>
    </row>
    <row r="759" spans="1:11">
      <c r="A759" s="3145"/>
      <c r="B759" s="3146">
        <v>741</v>
      </c>
      <c r="C759" s="3147">
        <v>14</v>
      </c>
      <c r="D759" s="3147" t="s">
        <v>3752</v>
      </c>
      <c r="E759" s="3147">
        <v>38.65</v>
      </c>
      <c r="F759" s="3147">
        <v>3</v>
      </c>
      <c r="G759" s="3147" t="s">
        <v>3408</v>
      </c>
      <c r="H759" s="3145" t="s">
        <v>21</v>
      </c>
      <c r="I759" s="3133" t="s">
        <v>3553</v>
      </c>
      <c r="J759" s="3133">
        <f>'[3]典型户型修正-办公'!S1092</f>
        <v>55</v>
      </c>
      <c r="K759" s="3133">
        <f>'[3]典型户型修正-办公'!R1092</f>
        <v>14318</v>
      </c>
    </row>
    <row r="760" spans="1:11">
      <c r="A760" s="3145"/>
      <c r="B760" s="3146">
        <v>742</v>
      </c>
      <c r="C760" s="3147">
        <v>14</v>
      </c>
      <c r="D760" s="3147" t="s">
        <v>3753</v>
      </c>
      <c r="E760" s="3147">
        <v>41.99</v>
      </c>
      <c r="F760" s="3147">
        <v>3</v>
      </c>
      <c r="G760" s="3147" t="s">
        <v>3408</v>
      </c>
      <c r="H760" s="3145" t="s">
        <v>21</v>
      </c>
      <c r="I760" s="3133" t="s">
        <v>3553</v>
      </c>
      <c r="J760" s="3133">
        <f>'[3]典型户型修正-办公'!S1093</f>
        <v>60</v>
      </c>
      <c r="K760" s="3133">
        <f>'[3]典型户型修正-办公'!R1093</f>
        <v>14318</v>
      </c>
    </row>
    <row r="761" spans="1:11">
      <c r="A761" s="3145"/>
      <c r="B761" s="3146">
        <v>743</v>
      </c>
      <c r="C761" s="3147">
        <v>14</v>
      </c>
      <c r="D761" s="3147" t="s">
        <v>3754</v>
      </c>
      <c r="E761" s="3147">
        <v>44.72</v>
      </c>
      <c r="F761" s="3147">
        <v>3</v>
      </c>
      <c r="G761" s="3147" t="s">
        <v>3408</v>
      </c>
      <c r="H761" s="3145" t="s">
        <v>21</v>
      </c>
      <c r="I761" s="3133" t="s">
        <v>3553</v>
      </c>
      <c r="J761" s="3133">
        <f>'[3]典型户型修正-办公'!S1094</f>
        <v>64</v>
      </c>
      <c r="K761" s="3133">
        <f>'[3]典型户型修正-办公'!R1094</f>
        <v>14318</v>
      </c>
    </row>
    <row r="762" spans="1:11">
      <c r="A762" s="3145"/>
      <c r="B762" s="3146">
        <v>744</v>
      </c>
      <c r="C762" s="3147">
        <v>14</v>
      </c>
      <c r="D762" s="3147" t="s">
        <v>3755</v>
      </c>
      <c r="E762" s="3147">
        <v>46.83</v>
      </c>
      <c r="F762" s="3147">
        <v>3</v>
      </c>
      <c r="G762" s="3147" t="s">
        <v>3408</v>
      </c>
      <c r="H762" s="3145" t="s">
        <v>21</v>
      </c>
      <c r="I762" s="3133" t="s">
        <v>3553</v>
      </c>
      <c r="J762" s="3133">
        <f>'[3]典型户型修正-办公'!S1095</f>
        <v>67</v>
      </c>
      <c r="K762" s="3133">
        <f>'[3]典型户型修正-办公'!R1095</f>
        <v>14318</v>
      </c>
    </row>
    <row r="763" spans="1:11">
      <c r="A763" s="3145"/>
      <c r="B763" s="3146">
        <v>745</v>
      </c>
      <c r="C763" s="3147">
        <v>14</v>
      </c>
      <c r="D763" s="3147" t="s">
        <v>3756</v>
      </c>
      <c r="E763" s="3147">
        <v>48.33</v>
      </c>
      <c r="F763" s="3147">
        <v>3</v>
      </c>
      <c r="G763" s="3147" t="s">
        <v>3408</v>
      </c>
      <c r="H763" s="3145" t="s">
        <v>21</v>
      </c>
      <c r="I763" s="3133" t="s">
        <v>3553</v>
      </c>
      <c r="J763" s="3133">
        <f>'[3]典型户型修正-办公'!S1096</f>
        <v>69</v>
      </c>
      <c r="K763" s="3133">
        <f>'[3]典型户型修正-办公'!R1096</f>
        <v>14318</v>
      </c>
    </row>
    <row r="764" spans="1:11">
      <c r="A764" s="3145"/>
      <c r="B764" s="3146">
        <v>746</v>
      </c>
      <c r="C764" s="3147">
        <v>14</v>
      </c>
      <c r="D764" s="3147" t="s">
        <v>3757</v>
      </c>
      <c r="E764" s="3147">
        <v>49.3</v>
      </c>
      <c r="F764" s="3147">
        <v>3</v>
      </c>
      <c r="G764" s="3147" t="s">
        <v>3408</v>
      </c>
      <c r="H764" s="3145" t="s">
        <v>21</v>
      </c>
      <c r="I764" s="3133" t="s">
        <v>3553</v>
      </c>
      <c r="J764" s="3133">
        <f>'[3]典型户型修正-办公'!S1097</f>
        <v>71</v>
      </c>
      <c r="K764" s="3133">
        <f>'[3]典型户型修正-办公'!R1097</f>
        <v>14318</v>
      </c>
    </row>
    <row r="765" spans="1:11">
      <c r="A765" s="3145"/>
      <c r="B765" s="3146">
        <v>747</v>
      </c>
      <c r="C765" s="3147">
        <v>14</v>
      </c>
      <c r="D765" s="3147" t="s">
        <v>3758</v>
      </c>
      <c r="E765" s="3147">
        <v>49.59</v>
      </c>
      <c r="F765" s="3147">
        <v>3</v>
      </c>
      <c r="G765" s="3147" t="s">
        <v>3408</v>
      </c>
      <c r="H765" s="3145" t="s">
        <v>21</v>
      </c>
      <c r="I765" s="3133" t="s">
        <v>3553</v>
      </c>
      <c r="J765" s="3133">
        <f>'[3]典型户型修正-办公'!S1098</f>
        <v>71</v>
      </c>
      <c r="K765" s="3133">
        <f>'[3]典型户型修正-办公'!R1098</f>
        <v>14318</v>
      </c>
    </row>
    <row r="766" spans="1:11">
      <c r="A766" s="3145"/>
      <c r="B766" s="3146">
        <v>748</v>
      </c>
      <c r="C766" s="3147">
        <v>14</v>
      </c>
      <c r="D766" s="3147" t="s">
        <v>3759</v>
      </c>
      <c r="E766" s="3147">
        <v>49.28</v>
      </c>
      <c r="F766" s="3147">
        <v>3</v>
      </c>
      <c r="G766" s="3147" t="s">
        <v>3408</v>
      </c>
      <c r="H766" s="3145" t="s">
        <v>21</v>
      </c>
      <c r="I766" s="3133" t="s">
        <v>3553</v>
      </c>
      <c r="J766" s="3133">
        <f>'[3]典型户型修正-办公'!S1099</f>
        <v>71</v>
      </c>
      <c r="K766" s="3133">
        <f>'[3]典型户型修正-办公'!R1099</f>
        <v>14318</v>
      </c>
    </row>
    <row r="767" spans="1:11">
      <c r="A767" s="3145"/>
      <c r="B767" s="3146">
        <v>749</v>
      </c>
      <c r="C767" s="3147">
        <v>14</v>
      </c>
      <c r="D767" s="3147" t="s">
        <v>3760</v>
      </c>
      <c r="E767" s="3147">
        <v>48.41</v>
      </c>
      <c r="F767" s="3147">
        <v>3</v>
      </c>
      <c r="G767" s="3147" t="s">
        <v>3408</v>
      </c>
      <c r="H767" s="3145" t="s">
        <v>21</v>
      </c>
      <c r="I767" s="3133" t="s">
        <v>3553</v>
      </c>
      <c r="J767" s="3133">
        <f>'[3]典型户型修正-办公'!S1100</f>
        <v>69</v>
      </c>
      <c r="K767" s="3133">
        <f>'[3]典型户型修正-办公'!R1100</f>
        <v>14318</v>
      </c>
    </row>
    <row r="768" spans="1:11">
      <c r="A768" s="3145"/>
      <c r="B768" s="3146">
        <v>750</v>
      </c>
      <c r="C768" s="3147">
        <v>14</v>
      </c>
      <c r="D768" s="3147" t="s">
        <v>3761</v>
      </c>
      <c r="E768" s="3147">
        <v>47.44</v>
      </c>
      <c r="F768" s="3147">
        <v>3</v>
      </c>
      <c r="G768" s="3147" t="s">
        <v>3408</v>
      </c>
      <c r="H768" s="3145" t="s">
        <v>21</v>
      </c>
      <c r="I768" s="3133" t="s">
        <v>3553</v>
      </c>
      <c r="J768" s="3133">
        <f>'[3]典型户型修正-办公'!S1101</f>
        <v>68</v>
      </c>
      <c r="K768" s="3133">
        <f>'[3]典型户型修正-办公'!R1101</f>
        <v>14318</v>
      </c>
    </row>
    <row r="769" spans="1:11">
      <c r="A769" s="3145"/>
      <c r="B769" s="3146">
        <v>751</v>
      </c>
      <c r="C769" s="3147">
        <v>15</v>
      </c>
      <c r="D769" s="3147" t="s">
        <v>3762</v>
      </c>
      <c r="E769" s="3147">
        <v>52.2</v>
      </c>
      <c r="F769" s="3147">
        <v>3</v>
      </c>
      <c r="G769" s="3147" t="s">
        <v>3408</v>
      </c>
      <c r="H769" s="3145" t="s">
        <v>21</v>
      </c>
      <c r="I769" s="3133" t="s">
        <v>3553</v>
      </c>
      <c r="J769" s="3133">
        <f>'[3]典型户型修正-办公'!S1102</f>
        <v>75</v>
      </c>
      <c r="K769" s="3133">
        <f>'[3]典型户型修正-办公'!R1102</f>
        <v>14318</v>
      </c>
    </row>
    <row r="770" spans="1:11">
      <c r="A770" s="3145"/>
      <c r="B770" s="3146">
        <v>752</v>
      </c>
      <c r="C770" s="3147">
        <v>15</v>
      </c>
      <c r="D770" s="3147" t="s">
        <v>3763</v>
      </c>
      <c r="E770" s="3147">
        <v>50.33</v>
      </c>
      <c r="F770" s="3147">
        <v>3</v>
      </c>
      <c r="G770" s="3147" t="s">
        <v>3408</v>
      </c>
      <c r="H770" s="3145" t="s">
        <v>21</v>
      </c>
      <c r="I770" s="3133" t="s">
        <v>3553</v>
      </c>
      <c r="J770" s="3133">
        <f>'[3]典型户型修正-办公'!S1103</f>
        <v>72</v>
      </c>
      <c r="K770" s="3133">
        <f>'[3]典型户型修正-办公'!R1103</f>
        <v>14318</v>
      </c>
    </row>
    <row r="771" spans="1:11">
      <c r="A771" s="3145"/>
      <c r="B771" s="3146">
        <v>753</v>
      </c>
      <c r="C771" s="3147">
        <v>15</v>
      </c>
      <c r="D771" s="3147" t="s">
        <v>3764</v>
      </c>
      <c r="E771" s="3147">
        <v>50.33</v>
      </c>
      <c r="F771" s="3147">
        <v>3</v>
      </c>
      <c r="G771" s="3147" t="s">
        <v>3408</v>
      </c>
      <c r="H771" s="3145" t="s">
        <v>21</v>
      </c>
      <c r="I771" s="3133" t="s">
        <v>3553</v>
      </c>
      <c r="J771" s="3133">
        <f>'[3]典型户型修正-办公'!S1104</f>
        <v>72</v>
      </c>
      <c r="K771" s="3133">
        <f>'[3]典型户型修正-办公'!R1104</f>
        <v>14318</v>
      </c>
    </row>
    <row r="772" spans="1:11">
      <c r="A772" s="3145"/>
      <c r="B772" s="3146">
        <v>754</v>
      </c>
      <c r="C772" s="3147">
        <v>15</v>
      </c>
      <c r="D772" s="3147" t="s">
        <v>3765</v>
      </c>
      <c r="E772" s="3147">
        <v>50.33</v>
      </c>
      <c r="F772" s="3147">
        <v>3</v>
      </c>
      <c r="G772" s="3147" t="s">
        <v>3408</v>
      </c>
      <c r="H772" s="3145" t="s">
        <v>21</v>
      </c>
      <c r="I772" s="3133" t="s">
        <v>3553</v>
      </c>
      <c r="J772" s="3133">
        <f>'[3]典型户型修正-办公'!S1105</f>
        <v>72</v>
      </c>
      <c r="K772" s="3133">
        <f>'[3]典型户型修正-办公'!R1105</f>
        <v>14318</v>
      </c>
    </row>
    <row r="773" spans="1:11">
      <c r="A773" s="3145"/>
      <c r="B773" s="3146">
        <v>755</v>
      </c>
      <c r="C773" s="3147">
        <v>15</v>
      </c>
      <c r="D773" s="3147" t="s">
        <v>3766</v>
      </c>
      <c r="E773" s="3147">
        <v>50.33</v>
      </c>
      <c r="F773" s="3147">
        <v>3</v>
      </c>
      <c r="G773" s="3147" t="s">
        <v>3408</v>
      </c>
      <c r="H773" s="3145" t="s">
        <v>21</v>
      </c>
      <c r="I773" s="3133" t="s">
        <v>3553</v>
      </c>
      <c r="J773" s="3133">
        <f>'[3]典型户型修正-办公'!S1106</f>
        <v>72</v>
      </c>
      <c r="K773" s="3133">
        <f>'[3]典型户型修正-办公'!R1106</f>
        <v>14318</v>
      </c>
    </row>
    <row r="774" spans="1:11">
      <c r="A774" s="3145"/>
      <c r="B774" s="3146">
        <v>756</v>
      </c>
      <c r="C774" s="3147">
        <v>15</v>
      </c>
      <c r="D774" s="3147" t="s">
        <v>3767</v>
      </c>
      <c r="E774" s="3147">
        <v>50.33</v>
      </c>
      <c r="F774" s="3147">
        <v>3</v>
      </c>
      <c r="G774" s="3147" t="s">
        <v>3408</v>
      </c>
      <c r="H774" s="3145" t="s">
        <v>21</v>
      </c>
      <c r="I774" s="3133" t="s">
        <v>3553</v>
      </c>
      <c r="J774" s="3133">
        <f>'[3]典型户型修正-办公'!S1107</f>
        <v>72</v>
      </c>
      <c r="K774" s="3133">
        <f>'[3]典型户型修正-办公'!R1107</f>
        <v>14318</v>
      </c>
    </row>
    <row r="775" spans="1:11">
      <c r="A775" s="3145"/>
      <c r="B775" s="3146">
        <v>757</v>
      </c>
      <c r="C775" s="3147">
        <v>15</v>
      </c>
      <c r="D775" s="3147" t="s">
        <v>3768</v>
      </c>
      <c r="E775" s="3147">
        <v>50.33</v>
      </c>
      <c r="F775" s="3147">
        <v>3</v>
      </c>
      <c r="G775" s="3147" t="s">
        <v>3408</v>
      </c>
      <c r="H775" s="3145" t="s">
        <v>21</v>
      </c>
      <c r="I775" s="3133" t="s">
        <v>3553</v>
      </c>
      <c r="J775" s="3133">
        <f>'[3]典型户型修正-办公'!S1108</f>
        <v>72</v>
      </c>
      <c r="K775" s="3133">
        <f>'[3]典型户型修正-办公'!R1108</f>
        <v>14318</v>
      </c>
    </row>
    <row r="776" spans="1:11">
      <c r="A776" s="3145"/>
      <c r="B776" s="3146">
        <v>758</v>
      </c>
      <c r="C776" s="3147">
        <v>15</v>
      </c>
      <c r="D776" s="3147" t="s">
        <v>3769</v>
      </c>
      <c r="E776" s="3147">
        <v>50.33</v>
      </c>
      <c r="F776" s="3147">
        <v>3</v>
      </c>
      <c r="G776" s="3147" t="s">
        <v>3408</v>
      </c>
      <c r="H776" s="3145" t="s">
        <v>21</v>
      </c>
      <c r="I776" s="3133" t="s">
        <v>3553</v>
      </c>
      <c r="J776" s="3133">
        <f>'[3]典型户型修正-办公'!S1109</f>
        <v>72</v>
      </c>
      <c r="K776" s="3133">
        <f>'[3]典型户型修正-办公'!R1109</f>
        <v>14318</v>
      </c>
    </row>
    <row r="777" spans="1:11">
      <c r="A777" s="3145"/>
      <c r="B777" s="3146">
        <v>759</v>
      </c>
      <c r="C777" s="3147">
        <v>15</v>
      </c>
      <c r="D777" s="3147" t="s">
        <v>3770</v>
      </c>
      <c r="E777" s="3147">
        <v>50.33</v>
      </c>
      <c r="F777" s="3147">
        <v>3</v>
      </c>
      <c r="G777" s="3147" t="s">
        <v>3408</v>
      </c>
      <c r="H777" s="3145" t="s">
        <v>21</v>
      </c>
      <c r="I777" s="3133" t="s">
        <v>3553</v>
      </c>
      <c r="J777" s="3133">
        <f>'[3]典型户型修正-办公'!S1110</f>
        <v>72</v>
      </c>
      <c r="K777" s="3133">
        <f>'[3]典型户型修正-办公'!R1110</f>
        <v>14318</v>
      </c>
    </row>
    <row r="778" spans="1:11">
      <c r="A778" s="3145"/>
      <c r="B778" s="3146">
        <v>760</v>
      </c>
      <c r="C778" s="3147">
        <v>15</v>
      </c>
      <c r="D778" s="3147" t="s">
        <v>3771</v>
      </c>
      <c r="E778" s="3147">
        <v>50.33</v>
      </c>
      <c r="F778" s="3147">
        <v>3</v>
      </c>
      <c r="G778" s="3147" t="s">
        <v>3408</v>
      </c>
      <c r="H778" s="3145" t="s">
        <v>21</v>
      </c>
      <c r="I778" s="3133" t="s">
        <v>3553</v>
      </c>
      <c r="J778" s="3133">
        <f>'[3]典型户型修正-办公'!S1111</f>
        <v>72</v>
      </c>
      <c r="K778" s="3133">
        <f>'[3]典型户型修正-办公'!R1111</f>
        <v>14318</v>
      </c>
    </row>
    <row r="779" spans="1:11">
      <c r="A779" s="3145"/>
      <c r="B779" s="3146">
        <v>761</v>
      </c>
      <c r="C779" s="3147">
        <v>15</v>
      </c>
      <c r="D779" s="3147" t="s">
        <v>3772</v>
      </c>
      <c r="E779" s="3147">
        <v>50.33</v>
      </c>
      <c r="F779" s="3147">
        <v>3</v>
      </c>
      <c r="G779" s="3147" t="s">
        <v>3408</v>
      </c>
      <c r="H779" s="3145" t="s">
        <v>21</v>
      </c>
      <c r="I779" s="3133" t="s">
        <v>3553</v>
      </c>
      <c r="J779" s="3133">
        <f>'[3]典型户型修正-办公'!S1112</f>
        <v>72</v>
      </c>
      <c r="K779" s="3133">
        <f>'[3]典型户型修正-办公'!R1112</f>
        <v>14318</v>
      </c>
    </row>
    <row r="780" spans="1:11">
      <c r="A780" s="3145"/>
      <c r="B780" s="3146">
        <v>762</v>
      </c>
      <c r="C780" s="3147">
        <v>15</v>
      </c>
      <c r="D780" s="3147" t="s">
        <v>3773</v>
      </c>
      <c r="E780" s="3147">
        <v>50.33</v>
      </c>
      <c r="F780" s="3147">
        <v>3</v>
      </c>
      <c r="G780" s="3147" t="s">
        <v>3408</v>
      </c>
      <c r="H780" s="3145" t="s">
        <v>21</v>
      </c>
      <c r="I780" s="3133" t="s">
        <v>3553</v>
      </c>
      <c r="J780" s="3133">
        <f>'[3]典型户型修正-办公'!S1113</f>
        <v>72</v>
      </c>
      <c r="K780" s="3133">
        <f>'[3]典型户型修正-办公'!R1113</f>
        <v>14318</v>
      </c>
    </row>
    <row r="781" spans="1:11">
      <c r="A781" s="3145"/>
      <c r="B781" s="3146">
        <v>763</v>
      </c>
      <c r="C781" s="3147">
        <v>15</v>
      </c>
      <c r="D781" s="3147" t="s">
        <v>3774</v>
      </c>
      <c r="E781" s="3147">
        <v>50.33</v>
      </c>
      <c r="F781" s="3147">
        <v>3</v>
      </c>
      <c r="G781" s="3147" t="s">
        <v>3408</v>
      </c>
      <c r="H781" s="3145" t="s">
        <v>21</v>
      </c>
      <c r="I781" s="3133" t="s">
        <v>3553</v>
      </c>
      <c r="J781" s="3133">
        <f>'[3]典型户型修正-办公'!S1114</f>
        <v>72</v>
      </c>
      <c r="K781" s="3133">
        <f>'[3]典型户型修正-办公'!R1114</f>
        <v>14318</v>
      </c>
    </row>
    <row r="782" spans="1:11">
      <c r="A782" s="3145"/>
      <c r="B782" s="3146">
        <v>764</v>
      </c>
      <c r="C782" s="3147">
        <v>15</v>
      </c>
      <c r="D782" s="3147" t="s">
        <v>3775</v>
      </c>
      <c r="E782" s="3147">
        <v>50.33</v>
      </c>
      <c r="F782" s="3147">
        <v>3</v>
      </c>
      <c r="G782" s="3147" t="s">
        <v>3408</v>
      </c>
      <c r="H782" s="3145" t="s">
        <v>21</v>
      </c>
      <c r="I782" s="3133" t="s">
        <v>3553</v>
      </c>
      <c r="J782" s="3133">
        <f>'[3]典型户型修正-办公'!S1115</f>
        <v>72</v>
      </c>
      <c r="K782" s="3133">
        <f>'[3]典型户型修正-办公'!R1115</f>
        <v>14318</v>
      </c>
    </row>
    <row r="783" spans="1:11">
      <c r="A783" s="3145"/>
      <c r="B783" s="3146">
        <v>765</v>
      </c>
      <c r="C783" s="3147">
        <v>15</v>
      </c>
      <c r="D783" s="3147" t="s">
        <v>3776</v>
      </c>
      <c r="E783" s="3147">
        <v>50.33</v>
      </c>
      <c r="F783" s="3147">
        <v>3</v>
      </c>
      <c r="G783" s="3147" t="s">
        <v>3408</v>
      </c>
      <c r="H783" s="3145" t="s">
        <v>21</v>
      </c>
      <c r="I783" s="3133" t="s">
        <v>3553</v>
      </c>
      <c r="J783" s="3133">
        <f>'[3]典型户型修正-办公'!S1116</f>
        <v>72</v>
      </c>
      <c r="K783" s="3133">
        <f>'[3]典型户型修正-办公'!R1116</f>
        <v>14318</v>
      </c>
    </row>
    <row r="784" spans="1:11">
      <c r="A784" s="3145"/>
      <c r="B784" s="3146">
        <v>766</v>
      </c>
      <c r="C784" s="3147">
        <v>15</v>
      </c>
      <c r="D784" s="3147" t="s">
        <v>3777</v>
      </c>
      <c r="E784" s="3147">
        <v>69.77</v>
      </c>
      <c r="F784" s="3147">
        <v>3</v>
      </c>
      <c r="G784" s="3147" t="s">
        <v>3408</v>
      </c>
      <c r="H784" s="3145" t="s">
        <v>21</v>
      </c>
      <c r="I784" s="3133" t="s">
        <v>3553</v>
      </c>
      <c r="J784" s="3133">
        <f>'[3]典型户型修正-办公'!S1117</f>
        <v>101</v>
      </c>
      <c r="K784" s="3133">
        <f>'[3]典型户型修正-办公'!R1117</f>
        <v>14461</v>
      </c>
    </row>
    <row r="785" spans="1:11">
      <c r="A785" s="3145"/>
      <c r="B785" s="3146">
        <v>767</v>
      </c>
      <c r="C785" s="3147">
        <v>15</v>
      </c>
      <c r="D785" s="3147" t="s">
        <v>3778</v>
      </c>
      <c r="E785" s="3147">
        <v>38.65</v>
      </c>
      <c r="F785" s="3147">
        <v>3</v>
      </c>
      <c r="G785" s="3147" t="s">
        <v>3408</v>
      </c>
      <c r="H785" s="3145" t="s">
        <v>21</v>
      </c>
      <c r="I785" s="3133" t="s">
        <v>3553</v>
      </c>
      <c r="J785" s="3133">
        <f>'[3]典型户型修正-办公'!S1118</f>
        <v>55</v>
      </c>
      <c r="K785" s="3133">
        <f>'[3]典型户型修正-办公'!R1118</f>
        <v>14318</v>
      </c>
    </row>
    <row r="786" spans="1:11">
      <c r="A786" s="3145"/>
      <c r="B786" s="3146">
        <v>768</v>
      </c>
      <c r="C786" s="3147">
        <v>15</v>
      </c>
      <c r="D786" s="3147" t="s">
        <v>3779</v>
      </c>
      <c r="E786" s="3147">
        <v>41.99</v>
      </c>
      <c r="F786" s="3147">
        <v>3</v>
      </c>
      <c r="G786" s="3147" t="s">
        <v>3408</v>
      </c>
      <c r="H786" s="3145" t="s">
        <v>21</v>
      </c>
      <c r="I786" s="3133" t="s">
        <v>3553</v>
      </c>
      <c r="J786" s="3133">
        <f>'[3]典型户型修正-办公'!S1119</f>
        <v>60</v>
      </c>
      <c r="K786" s="3133">
        <f>'[3]典型户型修正-办公'!R1119</f>
        <v>14318</v>
      </c>
    </row>
    <row r="787" spans="1:11">
      <c r="A787" s="3145"/>
      <c r="B787" s="3146">
        <v>769</v>
      </c>
      <c r="C787" s="3147">
        <v>15</v>
      </c>
      <c r="D787" s="3147" t="s">
        <v>3780</v>
      </c>
      <c r="E787" s="3147">
        <v>44.72</v>
      </c>
      <c r="F787" s="3147">
        <v>3</v>
      </c>
      <c r="G787" s="3147" t="s">
        <v>3408</v>
      </c>
      <c r="H787" s="3145" t="s">
        <v>21</v>
      </c>
      <c r="I787" s="3133" t="s">
        <v>3553</v>
      </c>
      <c r="J787" s="3133">
        <f>'[3]典型户型修正-办公'!S1120</f>
        <v>64</v>
      </c>
      <c r="K787" s="3133">
        <f>'[3]典型户型修正-办公'!R1120</f>
        <v>14318</v>
      </c>
    </row>
    <row r="788" spans="1:11">
      <c r="A788" s="3145"/>
      <c r="B788" s="3146">
        <v>770</v>
      </c>
      <c r="C788" s="3147">
        <v>15</v>
      </c>
      <c r="D788" s="3147" t="s">
        <v>3781</v>
      </c>
      <c r="E788" s="3147">
        <v>46.83</v>
      </c>
      <c r="F788" s="3147">
        <v>3</v>
      </c>
      <c r="G788" s="3147" t="s">
        <v>3408</v>
      </c>
      <c r="H788" s="3145" t="s">
        <v>21</v>
      </c>
      <c r="I788" s="3133" t="s">
        <v>3553</v>
      </c>
      <c r="J788" s="3133">
        <f>'[3]典型户型修正-办公'!S1121</f>
        <v>67</v>
      </c>
      <c r="K788" s="3133">
        <f>'[3]典型户型修正-办公'!R1121</f>
        <v>14318</v>
      </c>
    </row>
    <row r="789" spans="1:11">
      <c r="A789" s="3145"/>
      <c r="B789" s="3146">
        <v>771</v>
      </c>
      <c r="C789" s="3147">
        <v>15</v>
      </c>
      <c r="D789" s="3147" t="s">
        <v>3782</v>
      </c>
      <c r="E789" s="3147">
        <v>48.33</v>
      </c>
      <c r="F789" s="3147">
        <v>3</v>
      </c>
      <c r="G789" s="3147" t="s">
        <v>3408</v>
      </c>
      <c r="H789" s="3145" t="s">
        <v>21</v>
      </c>
      <c r="I789" s="3133" t="s">
        <v>3553</v>
      </c>
      <c r="J789" s="3133">
        <f>'[3]典型户型修正-办公'!S1122</f>
        <v>69</v>
      </c>
      <c r="K789" s="3133">
        <f>'[3]典型户型修正-办公'!R1122</f>
        <v>14318</v>
      </c>
    </row>
    <row r="790" spans="1:11">
      <c r="A790" s="3145"/>
      <c r="B790" s="3146">
        <v>772</v>
      </c>
      <c r="C790" s="3147">
        <v>15</v>
      </c>
      <c r="D790" s="3147" t="s">
        <v>3783</v>
      </c>
      <c r="E790" s="3147">
        <v>49.3</v>
      </c>
      <c r="F790" s="3147">
        <v>3</v>
      </c>
      <c r="G790" s="3147" t="s">
        <v>3408</v>
      </c>
      <c r="H790" s="3145" t="s">
        <v>21</v>
      </c>
      <c r="I790" s="3133" t="s">
        <v>3553</v>
      </c>
      <c r="J790" s="3133">
        <f>'[3]典型户型修正-办公'!S1123</f>
        <v>71</v>
      </c>
      <c r="K790" s="3133">
        <f>'[3]典型户型修正-办公'!R1123</f>
        <v>14318</v>
      </c>
    </row>
    <row r="791" spans="1:11">
      <c r="A791" s="3145"/>
      <c r="B791" s="3146">
        <v>773</v>
      </c>
      <c r="C791" s="3147">
        <v>15</v>
      </c>
      <c r="D791" s="3147" t="s">
        <v>3784</v>
      </c>
      <c r="E791" s="3147">
        <v>49.59</v>
      </c>
      <c r="F791" s="3147">
        <v>3</v>
      </c>
      <c r="G791" s="3147" t="s">
        <v>3408</v>
      </c>
      <c r="H791" s="3145" t="s">
        <v>21</v>
      </c>
      <c r="I791" s="3133" t="s">
        <v>3553</v>
      </c>
      <c r="J791" s="3133">
        <f>'[3]典型户型修正-办公'!S1124</f>
        <v>71</v>
      </c>
      <c r="K791" s="3133">
        <f>'[3]典型户型修正-办公'!R1124</f>
        <v>14318</v>
      </c>
    </row>
    <row r="792" spans="1:11">
      <c r="A792" s="3145"/>
      <c r="B792" s="3146">
        <v>774</v>
      </c>
      <c r="C792" s="3147">
        <v>15</v>
      </c>
      <c r="D792" s="3147" t="s">
        <v>3785</v>
      </c>
      <c r="E792" s="3147">
        <v>49.28</v>
      </c>
      <c r="F792" s="3147">
        <v>3</v>
      </c>
      <c r="G792" s="3147" t="s">
        <v>3408</v>
      </c>
      <c r="H792" s="3145" t="s">
        <v>21</v>
      </c>
      <c r="I792" s="3133" t="s">
        <v>3553</v>
      </c>
      <c r="J792" s="3133">
        <f>'[3]典型户型修正-办公'!S1125</f>
        <v>71</v>
      </c>
      <c r="K792" s="3133">
        <f>'[3]典型户型修正-办公'!R1125</f>
        <v>14318</v>
      </c>
    </row>
    <row r="793" spans="1:11">
      <c r="A793" s="3145"/>
      <c r="B793" s="3146">
        <v>775</v>
      </c>
      <c r="C793" s="3147">
        <v>15</v>
      </c>
      <c r="D793" s="3147" t="s">
        <v>3786</v>
      </c>
      <c r="E793" s="3147">
        <v>48.41</v>
      </c>
      <c r="F793" s="3147">
        <v>3</v>
      </c>
      <c r="G793" s="3147" t="s">
        <v>3408</v>
      </c>
      <c r="H793" s="3145" t="s">
        <v>21</v>
      </c>
      <c r="I793" s="3133" t="s">
        <v>3553</v>
      </c>
      <c r="J793" s="3133">
        <f>'[3]典型户型修正-办公'!S1126</f>
        <v>69</v>
      </c>
      <c r="K793" s="3133">
        <f>'[3]典型户型修正-办公'!R1126</f>
        <v>14318</v>
      </c>
    </row>
    <row r="794" spans="1:11">
      <c r="A794" s="3145"/>
      <c r="B794" s="3146">
        <v>776</v>
      </c>
      <c r="C794" s="3147">
        <v>15</v>
      </c>
      <c r="D794" s="3147" t="s">
        <v>3787</v>
      </c>
      <c r="E794" s="3147">
        <v>47.44</v>
      </c>
      <c r="F794" s="3147">
        <v>3</v>
      </c>
      <c r="G794" s="3147" t="s">
        <v>3408</v>
      </c>
      <c r="H794" s="3145" t="s">
        <v>21</v>
      </c>
      <c r="I794" s="3133" t="s">
        <v>3553</v>
      </c>
      <c r="J794" s="3133">
        <f>'[3]典型户型修正-办公'!S1127</f>
        <v>68</v>
      </c>
      <c r="K794" s="3133">
        <f>'[3]典型户型修正-办公'!R1127</f>
        <v>14318</v>
      </c>
    </row>
    <row r="795" spans="1:11">
      <c r="A795" s="3145"/>
      <c r="B795" s="3146">
        <v>777</v>
      </c>
      <c r="C795" s="3147">
        <v>16</v>
      </c>
      <c r="D795" s="3147" t="s">
        <v>3788</v>
      </c>
      <c r="E795" s="3147">
        <v>52.2</v>
      </c>
      <c r="F795" s="3147">
        <v>3</v>
      </c>
      <c r="G795" s="3147" t="s">
        <v>3408</v>
      </c>
      <c r="H795" s="3145" t="s">
        <v>21</v>
      </c>
      <c r="I795" s="3133" t="s">
        <v>3553</v>
      </c>
      <c r="J795" s="3133">
        <f>'[3]典型户型修正-办公'!S1128</f>
        <v>75</v>
      </c>
      <c r="K795" s="3133">
        <f>'[3]典型户型修正-办公'!R1128</f>
        <v>14318</v>
      </c>
    </row>
    <row r="796" spans="1:11">
      <c r="A796" s="3145"/>
      <c r="B796" s="3146">
        <v>778</v>
      </c>
      <c r="C796" s="3147">
        <v>16</v>
      </c>
      <c r="D796" s="3147" t="s">
        <v>3789</v>
      </c>
      <c r="E796" s="3147">
        <v>50.33</v>
      </c>
      <c r="F796" s="3147">
        <v>3</v>
      </c>
      <c r="G796" s="3147" t="s">
        <v>3408</v>
      </c>
      <c r="H796" s="3145" t="s">
        <v>21</v>
      </c>
      <c r="I796" s="3133" t="s">
        <v>3553</v>
      </c>
      <c r="J796" s="3133">
        <f>'[3]典型户型修正-办公'!S1129</f>
        <v>72</v>
      </c>
      <c r="K796" s="3133">
        <f>'[3]典型户型修正-办公'!R1129</f>
        <v>14318</v>
      </c>
    </row>
    <row r="797" spans="1:11">
      <c r="A797" s="3145"/>
      <c r="B797" s="3146">
        <v>779</v>
      </c>
      <c r="C797" s="3147">
        <v>16</v>
      </c>
      <c r="D797" s="3147" t="s">
        <v>3790</v>
      </c>
      <c r="E797" s="3147">
        <v>50.33</v>
      </c>
      <c r="F797" s="3147">
        <v>3</v>
      </c>
      <c r="G797" s="3147" t="s">
        <v>3408</v>
      </c>
      <c r="H797" s="3145" t="s">
        <v>21</v>
      </c>
      <c r="I797" s="3133" t="s">
        <v>3553</v>
      </c>
      <c r="J797" s="3133">
        <f>'[3]典型户型修正-办公'!S1130</f>
        <v>72</v>
      </c>
      <c r="K797" s="3133">
        <f>'[3]典型户型修正-办公'!R1130</f>
        <v>14318</v>
      </c>
    </row>
    <row r="798" spans="1:11">
      <c r="A798" s="3145"/>
      <c r="B798" s="3146">
        <v>780</v>
      </c>
      <c r="C798" s="3147">
        <v>16</v>
      </c>
      <c r="D798" s="3147" t="s">
        <v>3791</v>
      </c>
      <c r="E798" s="3147">
        <v>50.33</v>
      </c>
      <c r="F798" s="3147">
        <v>3</v>
      </c>
      <c r="G798" s="3147" t="s">
        <v>3408</v>
      </c>
      <c r="H798" s="3145" t="s">
        <v>21</v>
      </c>
      <c r="I798" s="3133" t="s">
        <v>3553</v>
      </c>
      <c r="J798" s="3133">
        <f>'[3]典型户型修正-办公'!S1131</f>
        <v>72</v>
      </c>
      <c r="K798" s="3133">
        <f>'[3]典型户型修正-办公'!R1131</f>
        <v>14318</v>
      </c>
    </row>
    <row r="799" spans="1:11">
      <c r="A799" s="3145"/>
      <c r="B799" s="3146">
        <v>781</v>
      </c>
      <c r="C799" s="3147">
        <v>16</v>
      </c>
      <c r="D799" s="3147" t="s">
        <v>3792</v>
      </c>
      <c r="E799" s="3147">
        <v>50.33</v>
      </c>
      <c r="F799" s="3147">
        <v>3</v>
      </c>
      <c r="G799" s="3147" t="s">
        <v>3408</v>
      </c>
      <c r="H799" s="3145" t="s">
        <v>21</v>
      </c>
      <c r="I799" s="3133" t="s">
        <v>3553</v>
      </c>
      <c r="J799" s="3133">
        <f>'[3]典型户型修正-办公'!S1132</f>
        <v>72</v>
      </c>
      <c r="K799" s="3133">
        <f>'[3]典型户型修正-办公'!R1132</f>
        <v>14318</v>
      </c>
    </row>
    <row r="800" spans="1:11">
      <c r="A800" s="3145"/>
      <c r="B800" s="3146">
        <v>782</v>
      </c>
      <c r="C800" s="3147">
        <v>16</v>
      </c>
      <c r="D800" s="3147" t="s">
        <v>3793</v>
      </c>
      <c r="E800" s="3147">
        <v>50.33</v>
      </c>
      <c r="F800" s="3147">
        <v>3</v>
      </c>
      <c r="G800" s="3147" t="s">
        <v>3408</v>
      </c>
      <c r="H800" s="3145" t="s">
        <v>21</v>
      </c>
      <c r="I800" s="3133" t="s">
        <v>3553</v>
      </c>
      <c r="J800" s="3133">
        <f>'[3]典型户型修正-办公'!S1133</f>
        <v>72</v>
      </c>
      <c r="K800" s="3133">
        <f>'[3]典型户型修正-办公'!R1133</f>
        <v>14318</v>
      </c>
    </row>
    <row r="801" spans="1:11">
      <c r="A801" s="3145"/>
      <c r="B801" s="3146">
        <v>783</v>
      </c>
      <c r="C801" s="3147">
        <v>16</v>
      </c>
      <c r="D801" s="3147" t="s">
        <v>3794</v>
      </c>
      <c r="E801" s="3147">
        <v>50.33</v>
      </c>
      <c r="F801" s="3147">
        <v>3</v>
      </c>
      <c r="G801" s="3147" t="s">
        <v>3408</v>
      </c>
      <c r="H801" s="3145" t="s">
        <v>21</v>
      </c>
      <c r="I801" s="3133" t="s">
        <v>3553</v>
      </c>
      <c r="J801" s="3133">
        <f>'[3]典型户型修正-办公'!S1134</f>
        <v>72</v>
      </c>
      <c r="K801" s="3133">
        <f>'[3]典型户型修正-办公'!R1134</f>
        <v>14318</v>
      </c>
    </row>
    <row r="802" spans="1:11">
      <c r="A802" s="3145"/>
      <c r="B802" s="3146">
        <v>784</v>
      </c>
      <c r="C802" s="3147">
        <v>16</v>
      </c>
      <c r="D802" s="3147" t="s">
        <v>3795</v>
      </c>
      <c r="E802" s="3147">
        <v>50.33</v>
      </c>
      <c r="F802" s="3147">
        <v>3</v>
      </c>
      <c r="G802" s="3147" t="s">
        <v>3408</v>
      </c>
      <c r="H802" s="3145" t="s">
        <v>21</v>
      </c>
      <c r="I802" s="3133" t="s">
        <v>3553</v>
      </c>
      <c r="J802" s="3133">
        <f>'[3]典型户型修正-办公'!S1135</f>
        <v>72</v>
      </c>
      <c r="K802" s="3133">
        <f>'[3]典型户型修正-办公'!R1135</f>
        <v>14318</v>
      </c>
    </row>
    <row r="803" spans="1:11">
      <c r="A803" s="3145"/>
      <c r="B803" s="3146">
        <v>785</v>
      </c>
      <c r="C803" s="3147">
        <v>16</v>
      </c>
      <c r="D803" s="3147" t="s">
        <v>3796</v>
      </c>
      <c r="E803" s="3147">
        <v>50.33</v>
      </c>
      <c r="F803" s="3147">
        <v>3</v>
      </c>
      <c r="G803" s="3147" t="s">
        <v>3408</v>
      </c>
      <c r="H803" s="3145" t="s">
        <v>21</v>
      </c>
      <c r="I803" s="3133" t="s">
        <v>3553</v>
      </c>
      <c r="J803" s="3133">
        <f>'[3]典型户型修正-办公'!S1136</f>
        <v>72</v>
      </c>
      <c r="K803" s="3133">
        <f>'[3]典型户型修正-办公'!R1136</f>
        <v>14318</v>
      </c>
    </row>
    <row r="804" spans="1:11">
      <c r="A804" s="3145"/>
      <c r="B804" s="3146">
        <v>786</v>
      </c>
      <c r="C804" s="3147">
        <v>16</v>
      </c>
      <c r="D804" s="3147" t="s">
        <v>3797</v>
      </c>
      <c r="E804" s="3147">
        <v>50.33</v>
      </c>
      <c r="F804" s="3147">
        <v>3</v>
      </c>
      <c r="G804" s="3147" t="s">
        <v>3408</v>
      </c>
      <c r="H804" s="3145" t="s">
        <v>21</v>
      </c>
      <c r="I804" s="3133" t="s">
        <v>3553</v>
      </c>
      <c r="J804" s="3133">
        <f>'[3]典型户型修正-办公'!S1137</f>
        <v>72</v>
      </c>
      <c r="K804" s="3133">
        <f>'[3]典型户型修正-办公'!R1137</f>
        <v>14318</v>
      </c>
    </row>
    <row r="805" spans="1:11">
      <c r="A805" s="3145"/>
      <c r="B805" s="3146">
        <v>787</v>
      </c>
      <c r="C805" s="3147">
        <v>16</v>
      </c>
      <c r="D805" s="3147" t="s">
        <v>3798</v>
      </c>
      <c r="E805" s="3147">
        <v>50.33</v>
      </c>
      <c r="F805" s="3147">
        <v>3</v>
      </c>
      <c r="G805" s="3147" t="s">
        <v>3408</v>
      </c>
      <c r="H805" s="3145" t="s">
        <v>21</v>
      </c>
      <c r="I805" s="3133" t="s">
        <v>3553</v>
      </c>
      <c r="J805" s="3133">
        <f>'[3]典型户型修正-办公'!S1138</f>
        <v>72</v>
      </c>
      <c r="K805" s="3133">
        <f>'[3]典型户型修正-办公'!R1138</f>
        <v>14318</v>
      </c>
    </row>
    <row r="806" spans="1:11">
      <c r="A806" s="3145"/>
      <c r="B806" s="3146">
        <v>788</v>
      </c>
      <c r="C806" s="3147">
        <v>16</v>
      </c>
      <c r="D806" s="3147" t="s">
        <v>3799</v>
      </c>
      <c r="E806" s="3147">
        <v>50.33</v>
      </c>
      <c r="F806" s="3147">
        <v>3</v>
      </c>
      <c r="G806" s="3147" t="s">
        <v>3408</v>
      </c>
      <c r="H806" s="3145" t="s">
        <v>21</v>
      </c>
      <c r="I806" s="3133" t="s">
        <v>3553</v>
      </c>
      <c r="J806" s="3133">
        <f>'[3]典型户型修正-办公'!S1139</f>
        <v>72</v>
      </c>
      <c r="K806" s="3133">
        <f>'[3]典型户型修正-办公'!R1139</f>
        <v>14318</v>
      </c>
    </row>
    <row r="807" spans="1:11">
      <c r="A807" s="3145"/>
      <c r="B807" s="3146">
        <v>789</v>
      </c>
      <c r="C807" s="3147">
        <v>16</v>
      </c>
      <c r="D807" s="3147" t="s">
        <v>3800</v>
      </c>
      <c r="E807" s="3147">
        <v>50.33</v>
      </c>
      <c r="F807" s="3147">
        <v>3</v>
      </c>
      <c r="G807" s="3147" t="s">
        <v>3408</v>
      </c>
      <c r="H807" s="3145" t="s">
        <v>21</v>
      </c>
      <c r="I807" s="3133" t="s">
        <v>3553</v>
      </c>
      <c r="J807" s="3133">
        <f>'[3]典型户型修正-办公'!S1140</f>
        <v>72</v>
      </c>
      <c r="K807" s="3133">
        <f>'[3]典型户型修正-办公'!R1140</f>
        <v>14318</v>
      </c>
    </row>
    <row r="808" spans="1:11">
      <c r="A808" s="3145"/>
      <c r="B808" s="3146">
        <v>790</v>
      </c>
      <c r="C808" s="3147">
        <v>16</v>
      </c>
      <c r="D808" s="3147" t="s">
        <v>3801</v>
      </c>
      <c r="E808" s="3147">
        <v>50.33</v>
      </c>
      <c r="F808" s="3147">
        <v>3</v>
      </c>
      <c r="G808" s="3147" t="s">
        <v>3408</v>
      </c>
      <c r="H808" s="3145" t="s">
        <v>21</v>
      </c>
      <c r="I808" s="3133" t="s">
        <v>3553</v>
      </c>
      <c r="J808" s="3133">
        <f>'[3]典型户型修正-办公'!S1141</f>
        <v>72</v>
      </c>
      <c r="K808" s="3133">
        <f>'[3]典型户型修正-办公'!R1141</f>
        <v>14318</v>
      </c>
    </row>
    <row r="809" spans="1:11">
      <c r="A809" s="3145"/>
      <c r="B809" s="3146">
        <v>791</v>
      </c>
      <c r="C809" s="3147">
        <v>16</v>
      </c>
      <c r="D809" s="3147" t="s">
        <v>3802</v>
      </c>
      <c r="E809" s="3147">
        <v>50.33</v>
      </c>
      <c r="F809" s="3147">
        <v>3</v>
      </c>
      <c r="G809" s="3147" t="s">
        <v>3408</v>
      </c>
      <c r="H809" s="3145" t="s">
        <v>21</v>
      </c>
      <c r="I809" s="3133" t="s">
        <v>3553</v>
      </c>
      <c r="J809" s="3133">
        <f>'[3]典型户型修正-办公'!S1142</f>
        <v>72</v>
      </c>
      <c r="K809" s="3133">
        <f>'[3]典型户型修正-办公'!R1142</f>
        <v>14318</v>
      </c>
    </row>
    <row r="810" spans="1:11">
      <c r="A810" s="3145"/>
      <c r="B810" s="3146">
        <v>792</v>
      </c>
      <c r="C810" s="3147">
        <v>16</v>
      </c>
      <c r="D810" s="3147" t="s">
        <v>3803</v>
      </c>
      <c r="E810" s="3147">
        <v>69.77</v>
      </c>
      <c r="F810" s="3147">
        <v>3</v>
      </c>
      <c r="G810" s="3147" t="s">
        <v>3408</v>
      </c>
      <c r="H810" s="3145" t="s">
        <v>21</v>
      </c>
      <c r="I810" s="3133" t="s">
        <v>3553</v>
      </c>
      <c r="J810" s="3133">
        <f>'[3]典型户型修正-办公'!S1143</f>
        <v>101</v>
      </c>
      <c r="K810" s="3133">
        <f>'[3]典型户型修正-办公'!R1143</f>
        <v>14461</v>
      </c>
    </row>
    <row r="811" spans="1:11">
      <c r="A811" s="3145"/>
      <c r="B811" s="3146">
        <v>793</v>
      </c>
      <c r="C811" s="3147">
        <v>16</v>
      </c>
      <c r="D811" s="3147" t="s">
        <v>3804</v>
      </c>
      <c r="E811" s="3147">
        <v>38.65</v>
      </c>
      <c r="F811" s="3147">
        <v>3</v>
      </c>
      <c r="G811" s="3147" t="s">
        <v>3408</v>
      </c>
      <c r="H811" s="3145" t="s">
        <v>21</v>
      </c>
      <c r="I811" s="3133" t="s">
        <v>3553</v>
      </c>
      <c r="J811" s="3133">
        <f>'[3]典型户型修正-办公'!S1144</f>
        <v>55</v>
      </c>
      <c r="K811" s="3133">
        <f>'[3]典型户型修正-办公'!R1144</f>
        <v>14318</v>
      </c>
    </row>
    <row r="812" spans="1:11">
      <c r="A812" s="3145"/>
      <c r="B812" s="3146">
        <v>794</v>
      </c>
      <c r="C812" s="3147">
        <v>16</v>
      </c>
      <c r="D812" s="3147" t="s">
        <v>3805</v>
      </c>
      <c r="E812" s="3147">
        <v>41.99</v>
      </c>
      <c r="F812" s="3147">
        <v>3</v>
      </c>
      <c r="G812" s="3147" t="s">
        <v>3408</v>
      </c>
      <c r="H812" s="3145" t="s">
        <v>21</v>
      </c>
      <c r="I812" s="3133" t="s">
        <v>3553</v>
      </c>
      <c r="J812" s="3133">
        <f>'[3]典型户型修正-办公'!S1145</f>
        <v>60</v>
      </c>
      <c r="K812" s="3133">
        <f>'[3]典型户型修正-办公'!R1145</f>
        <v>14318</v>
      </c>
    </row>
    <row r="813" spans="1:11">
      <c r="A813" s="3145"/>
      <c r="B813" s="3146">
        <v>795</v>
      </c>
      <c r="C813" s="3147">
        <v>16</v>
      </c>
      <c r="D813" s="3147" t="s">
        <v>3806</v>
      </c>
      <c r="E813" s="3147">
        <v>44.72</v>
      </c>
      <c r="F813" s="3147">
        <v>3</v>
      </c>
      <c r="G813" s="3147" t="s">
        <v>3408</v>
      </c>
      <c r="H813" s="3145" t="s">
        <v>21</v>
      </c>
      <c r="I813" s="3133" t="s">
        <v>3553</v>
      </c>
      <c r="J813" s="3133">
        <f>'[3]典型户型修正-办公'!S1146</f>
        <v>64</v>
      </c>
      <c r="K813" s="3133">
        <f>'[3]典型户型修正-办公'!R1146</f>
        <v>14318</v>
      </c>
    </row>
    <row r="814" spans="1:11">
      <c r="A814" s="3145"/>
      <c r="B814" s="3146">
        <v>796</v>
      </c>
      <c r="C814" s="3147">
        <v>16</v>
      </c>
      <c r="D814" s="3147" t="s">
        <v>3807</v>
      </c>
      <c r="E814" s="3147">
        <v>46.83</v>
      </c>
      <c r="F814" s="3147">
        <v>3</v>
      </c>
      <c r="G814" s="3147" t="s">
        <v>3408</v>
      </c>
      <c r="H814" s="3145" t="s">
        <v>21</v>
      </c>
      <c r="I814" s="3133" t="s">
        <v>3553</v>
      </c>
      <c r="J814" s="3133">
        <f>'[3]典型户型修正-办公'!S1147</f>
        <v>67</v>
      </c>
      <c r="K814" s="3133">
        <f>'[3]典型户型修正-办公'!R1147</f>
        <v>14318</v>
      </c>
    </row>
    <row r="815" spans="1:11">
      <c r="A815" s="3145"/>
      <c r="B815" s="3146">
        <v>797</v>
      </c>
      <c r="C815" s="3147">
        <v>16</v>
      </c>
      <c r="D815" s="3147" t="s">
        <v>3808</v>
      </c>
      <c r="E815" s="3147">
        <v>48.33</v>
      </c>
      <c r="F815" s="3147">
        <v>3</v>
      </c>
      <c r="G815" s="3147" t="s">
        <v>3408</v>
      </c>
      <c r="H815" s="3145" t="s">
        <v>21</v>
      </c>
      <c r="I815" s="3133" t="s">
        <v>3553</v>
      </c>
      <c r="J815" s="3133">
        <f>'[3]典型户型修正-办公'!S1148</f>
        <v>69</v>
      </c>
      <c r="K815" s="3133">
        <f>'[3]典型户型修正-办公'!R1148</f>
        <v>14318</v>
      </c>
    </row>
    <row r="816" spans="1:11">
      <c r="A816" s="3145"/>
      <c r="B816" s="3146">
        <v>798</v>
      </c>
      <c r="C816" s="3147">
        <v>16</v>
      </c>
      <c r="D816" s="3147" t="s">
        <v>3809</v>
      </c>
      <c r="E816" s="3147">
        <v>49.3</v>
      </c>
      <c r="F816" s="3147">
        <v>3</v>
      </c>
      <c r="G816" s="3147" t="s">
        <v>3408</v>
      </c>
      <c r="H816" s="3145" t="s">
        <v>21</v>
      </c>
      <c r="I816" s="3133" t="s">
        <v>3553</v>
      </c>
      <c r="J816" s="3133">
        <f>'[3]典型户型修正-办公'!S1149</f>
        <v>71</v>
      </c>
      <c r="K816" s="3133">
        <f>'[3]典型户型修正-办公'!R1149</f>
        <v>14318</v>
      </c>
    </row>
    <row r="817" spans="1:11">
      <c r="A817" s="3145"/>
      <c r="B817" s="3146">
        <v>799</v>
      </c>
      <c r="C817" s="3147">
        <v>16</v>
      </c>
      <c r="D817" s="3147" t="s">
        <v>3810</v>
      </c>
      <c r="E817" s="3147">
        <v>49.59</v>
      </c>
      <c r="F817" s="3147">
        <v>3</v>
      </c>
      <c r="G817" s="3147" t="s">
        <v>3408</v>
      </c>
      <c r="H817" s="3145" t="s">
        <v>21</v>
      </c>
      <c r="I817" s="3133" t="s">
        <v>3553</v>
      </c>
      <c r="J817" s="3133">
        <f>'[3]典型户型修正-办公'!S1150</f>
        <v>71</v>
      </c>
      <c r="K817" s="3133">
        <f>'[3]典型户型修正-办公'!R1150</f>
        <v>14318</v>
      </c>
    </row>
    <row r="818" spans="1:11">
      <c r="A818" s="3145"/>
      <c r="B818" s="3146">
        <v>800</v>
      </c>
      <c r="C818" s="3147">
        <v>16</v>
      </c>
      <c r="D818" s="3147" t="s">
        <v>3811</v>
      </c>
      <c r="E818" s="3147">
        <v>49.28</v>
      </c>
      <c r="F818" s="3147">
        <v>3</v>
      </c>
      <c r="G818" s="3147" t="s">
        <v>3408</v>
      </c>
      <c r="H818" s="3145" t="s">
        <v>21</v>
      </c>
      <c r="I818" s="3133" t="s">
        <v>3553</v>
      </c>
      <c r="J818" s="3133">
        <f>'[3]典型户型修正-办公'!S1151</f>
        <v>71</v>
      </c>
      <c r="K818" s="3133">
        <f>'[3]典型户型修正-办公'!R1151</f>
        <v>14318</v>
      </c>
    </row>
    <row r="819" spans="1:11">
      <c r="A819" s="3145"/>
      <c r="B819" s="3146">
        <v>801</v>
      </c>
      <c r="C819" s="3147">
        <v>16</v>
      </c>
      <c r="D819" s="3147" t="s">
        <v>3812</v>
      </c>
      <c r="E819" s="3147">
        <v>48.41</v>
      </c>
      <c r="F819" s="3147">
        <v>3</v>
      </c>
      <c r="G819" s="3147" t="s">
        <v>3408</v>
      </c>
      <c r="H819" s="3145" t="s">
        <v>21</v>
      </c>
      <c r="I819" s="3133" t="s">
        <v>3553</v>
      </c>
      <c r="J819" s="3133">
        <f>'[3]典型户型修正-办公'!S1152</f>
        <v>69</v>
      </c>
      <c r="K819" s="3133">
        <f>'[3]典型户型修正-办公'!R1152</f>
        <v>14318</v>
      </c>
    </row>
    <row r="820" spans="1:11">
      <c r="A820" s="3145"/>
      <c r="B820" s="3146">
        <v>802</v>
      </c>
      <c r="C820" s="3147">
        <v>16</v>
      </c>
      <c r="D820" s="3147" t="s">
        <v>3813</v>
      </c>
      <c r="E820" s="3147">
        <v>47.44</v>
      </c>
      <c r="F820" s="3147">
        <v>3</v>
      </c>
      <c r="G820" s="3147" t="s">
        <v>3408</v>
      </c>
      <c r="H820" s="3145" t="s">
        <v>21</v>
      </c>
      <c r="I820" s="3133" t="s">
        <v>3553</v>
      </c>
      <c r="J820" s="3133">
        <f>'[3]典型户型修正-办公'!S1153</f>
        <v>68</v>
      </c>
      <c r="K820" s="3133">
        <f>'[3]典型户型修正-办公'!R1153</f>
        <v>14318</v>
      </c>
    </row>
    <row r="821" spans="1:11">
      <c r="A821" s="3145"/>
      <c r="B821" s="3146">
        <v>803</v>
      </c>
      <c r="C821" s="3147">
        <v>17</v>
      </c>
      <c r="D821" s="3147" t="s">
        <v>3821</v>
      </c>
      <c r="E821" s="3147">
        <v>50.33</v>
      </c>
      <c r="F821" s="3147">
        <v>3</v>
      </c>
      <c r="G821" s="3147" t="s">
        <v>3408</v>
      </c>
      <c r="H821" s="3145" t="s">
        <v>21</v>
      </c>
      <c r="I821" s="3133" t="s">
        <v>3710</v>
      </c>
      <c r="J821" s="3133">
        <f>'[3]典型户型修正-办公'!S1156</f>
        <v>73</v>
      </c>
      <c r="K821" s="3133">
        <f>'[3]典型户型修正-办公'!R1156</f>
        <v>14529</v>
      </c>
    </row>
    <row r="822" spans="1:11">
      <c r="A822" s="3145"/>
      <c r="B822" s="3146">
        <v>804</v>
      </c>
      <c r="C822" s="3147">
        <v>17</v>
      </c>
      <c r="D822" s="3147" t="s">
        <v>3822</v>
      </c>
      <c r="E822" s="3147">
        <v>50.33</v>
      </c>
      <c r="F822" s="3147">
        <v>3</v>
      </c>
      <c r="G822" s="3147" t="s">
        <v>3408</v>
      </c>
      <c r="H822" s="3145" t="s">
        <v>21</v>
      </c>
      <c r="I822" s="3133" t="s">
        <v>3710</v>
      </c>
      <c r="J822" s="3133">
        <f>'[3]典型户型修正-办公'!S1160</f>
        <v>73</v>
      </c>
      <c r="K822" s="3133">
        <f>'[3]典型户型修正-办公'!R1160</f>
        <v>14529</v>
      </c>
    </row>
    <row r="823" spans="1:11">
      <c r="A823" s="3145"/>
      <c r="B823" s="3146">
        <v>805</v>
      </c>
      <c r="C823" s="3147">
        <v>17</v>
      </c>
      <c r="D823" s="3147" t="s">
        <v>3823</v>
      </c>
      <c r="E823" s="3147">
        <v>50.33</v>
      </c>
      <c r="F823" s="3147">
        <v>3</v>
      </c>
      <c r="G823" s="3147" t="s">
        <v>3408</v>
      </c>
      <c r="H823" s="3145" t="s">
        <v>21</v>
      </c>
      <c r="I823" s="3133" t="s">
        <v>3710</v>
      </c>
      <c r="J823" s="3133">
        <f>'[3]典型户型修正-办公'!S1161</f>
        <v>73</v>
      </c>
      <c r="K823" s="3133">
        <f>'[3]典型户型修正-办公'!R1161</f>
        <v>14529</v>
      </c>
    </row>
    <row r="824" spans="1:11">
      <c r="A824" s="3145"/>
      <c r="B824" s="3146">
        <v>806</v>
      </c>
      <c r="C824" s="3147">
        <v>17</v>
      </c>
      <c r="D824" s="3147" t="s">
        <v>3824</v>
      </c>
      <c r="E824" s="3147">
        <v>50.33</v>
      </c>
      <c r="F824" s="3147">
        <v>3</v>
      </c>
      <c r="G824" s="3147" t="s">
        <v>3408</v>
      </c>
      <c r="H824" s="3145" t="s">
        <v>21</v>
      </c>
      <c r="I824" s="3133" t="s">
        <v>3710</v>
      </c>
      <c r="J824" s="3133">
        <f>'[3]典型户型修正-办公'!S1163</f>
        <v>73</v>
      </c>
      <c r="K824" s="3133">
        <f>'[3]典型户型修正-办公'!R1163</f>
        <v>14529</v>
      </c>
    </row>
    <row r="825" spans="1:11">
      <c r="A825" s="3145"/>
      <c r="B825" s="3146">
        <v>807</v>
      </c>
      <c r="C825" s="3147">
        <v>17</v>
      </c>
      <c r="D825" s="3147" t="s">
        <v>3825</v>
      </c>
      <c r="E825" s="3147">
        <v>50.33</v>
      </c>
      <c r="F825" s="3147">
        <v>3</v>
      </c>
      <c r="G825" s="3147" t="s">
        <v>3408</v>
      </c>
      <c r="H825" s="3145" t="s">
        <v>21</v>
      </c>
      <c r="I825" s="3133" t="s">
        <v>3710</v>
      </c>
      <c r="J825" s="3133">
        <f>'[3]典型户型修正-办公'!S1164</f>
        <v>73</v>
      </c>
      <c r="K825" s="3133">
        <f>'[3]典型户型修正-办公'!R1164</f>
        <v>14529</v>
      </c>
    </row>
    <row r="826" spans="1:11">
      <c r="A826" s="3145"/>
      <c r="B826" s="3146">
        <v>808</v>
      </c>
      <c r="C826" s="3147">
        <v>17</v>
      </c>
      <c r="D826" s="3147" t="s">
        <v>3826</v>
      </c>
      <c r="E826" s="3147">
        <v>50.33</v>
      </c>
      <c r="F826" s="3147">
        <v>3</v>
      </c>
      <c r="G826" s="3147" t="s">
        <v>3408</v>
      </c>
      <c r="H826" s="3145" t="s">
        <v>21</v>
      </c>
      <c r="I826" s="3133" t="s">
        <v>3710</v>
      </c>
      <c r="J826" s="3133">
        <f>'[3]典型户型修正-办公'!S1165</f>
        <v>73</v>
      </c>
      <c r="K826" s="3133">
        <f>'[3]典型户型修正-办公'!R1165</f>
        <v>14529</v>
      </c>
    </row>
    <row r="827" spans="1:11">
      <c r="A827" s="3145"/>
      <c r="B827" s="3146">
        <v>809</v>
      </c>
      <c r="C827" s="3147">
        <v>17</v>
      </c>
      <c r="D827" s="3147" t="s">
        <v>3827</v>
      </c>
      <c r="E827" s="3147">
        <v>50.33</v>
      </c>
      <c r="F827" s="3147">
        <v>3</v>
      </c>
      <c r="G827" s="3147" t="s">
        <v>3408</v>
      </c>
      <c r="H827" s="3145" t="s">
        <v>21</v>
      </c>
      <c r="I827" s="3133" t="s">
        <v>3710</v>
      </c>
      <c r="J827" s="3133">
        <f>'[3]典型户型修正-办公'!S1166</f>
        <v>73</v>
      </c>
      <c r="K827" s="3133">
        <f>'[3]典型户型修正-办公'!R1166</f>
        <v>14529</v>
      </c>
    </row>
    <row r="828" spans="1:11">
      <c r="A828" s="3145"/>
      <c r="B828" s="3146">
        <v>810</v>
      </c>
      <c r="C828" s="3147">
        <v>17</v>
      </c>
      <c r="D828" s="3147" t="s">
        <v>3828</v>
      </c>
      <c r="E828" s="3147">
        <v>50.33</v>
      </c>
      <c r="F828" s="3147">
        <v>3</v>
      </c>
      <c r="G828" s="3147" t="s">
        <v>3408</v>
      </c>
      <c r="H828" s="3145" t="s">
        <v>21</v>
      </c>
      <c r="I828" s="3133" t="s">
        <v>3710</v>
      </c>
      <c r="J828" s="3133">
        <f>'[3]典型户型修正-办公'!S1167</f>
        <v>73</v>
      </c>
      <c r="K828" s="3133">
        <f>'[3]典型户型修正-办公'!R1167</f>
        <v>14529</v>
      </c>
    </row>
    <row r="829" spans="1:11">
      <c r="A829" s="3145"/>
      <c r="B829" s="3146">
        <v>811</v>
      </c>
      <c r="C829" s="3147">
        <v>17</v>
      </c>
      <c r="D829" s="3147" t="s">
        <v>3829</v>
      </c>
      <c r="E829" s="3147">
        <v>50.33</v>
      </c>
      <c r="F829" s="3147">
        <v>3</v>
      </c>
      <c r="G829" s="3147" t="s">
        <v>3408</v>
      </c>
      <c r="H829" s="3145" t="s">
        <v>21</v>
      </c>
      <c r="I829" s="3133" t="s">
        <v>3710</v>
      </c>
      <c r="J829" s="3133">
        <f>'[3]典型户型修正-办公'!S1168</f>
        <v>73</v>
      </c>
      <c r="K829" s="3133">
        <f>'[3]典型户型修正-办公'!R1168</f>
        <v>14529</v>
      </c>
    </row>
    <row r="830" spans="1:11">
      <c r="A830" s="3145"/>
      <c r="B830" s="3146">
        <v>812</v>
      </c>
      <c r="C830" s="3147">
        <v>17</v>
      </c>
      <c r="D830" s="3147" t="s">
        <v>3830</v>
      </c>
      <c r="E830" s="3147">
        <v>69.77</v>
      </c>
      <c r="F830" s="3147">
        <v>3</v>
      </c>
      <c r="G830" s="3147" t="s">
        <v>3408</v>
      </c>
      <c r="H830" s="3145" t="s">
        <v>21</v>
      </c>
      <c r="I830" s="3133" t="s">
        <v>3710</v>
      </c>
      <c r="J830" s="3133">
        <f>'[3]典型户型修正-办公'!S1169</f>
        <v>102</v>
      </c>
      <c r="K830" s="3133">
        <f>'[3]典型户型修正-办公'!R1169</f>
        <v>14674</v>
      </c>
    </row>
    <row r="831" spans="1:11">
      <c r="A831" s="3145"/>
      <c r="B831" s="3146">
        <v>813</v>
      </c>
      <c r="C831" s="3147">
        <v>17</v>
      </c>
      <c r="D831" s="3147" t="s">
        <v>3831</v>
      </c>
      <c r="E831" s="3147">
        <v>38.65</v>
      </c>
      <c r="F831" s="3147">
        <v>3</v>
      </c>
      <c r="G831" s="3147" t="s">
        <v>3408</v>
      </c>
      <c r="H831" s="3145" t="s">
        <v>21</v>
      </c>
      <c r="I831" s="3133" t="s">
        <v>3710</v>
      </c>
      <c r="J831" s="3133">
        <f>'[3]典型户型修正-办公'!S1170</f>
        <v>56</v>
      </c>
      <c r="K831" s="3133">
        <f>'[3]典型户型修正-办公'!R1170</f>
        <v>14529</v>
      </c>
    </row>
    <row r="832" spans="1:11">
      <c r="A832" s="3145"/>
      <c r="B832" s="3146">
        <v>814</v>
      </c>
      <c r="C832" s="3147">
        <v>17</v>
      </c>
      <c r="D832" s="3147" t="s">
        <v>3832</v>
      </c>
      <c r="E832" s="3147">
        <v>41.99</v>
      </c>
      <c r="F832" s="3147">
        <v>3</v>
      </c>
      <c r="G832" s="3147" t="s">
        <v>3408</v>
      </c>
      <c r="H832" s="3145" t="s">
        <v>21</v>
      </c>
      <c r="I832" s="3133" t="s">
        <v>3710</v>
      </c>
      <c r="J832" s="3133">
        <f>'[3]典型户型修正-办公'!S1171</f>
        <v>61</v>
      </c>
      <c r="K832" s="3133">
        <f>'[3]典型户型修正-办公'!R1171</f>
        <v>14529</v>
      </c>
    </row>
    <row r="833" spans="1:11">
      <c r="A833" s="3145"/>
      <c r="B833" s="3146">
        <v>815</v>
      </c>
      <c r="C833" s="3147">
        <v>17</v>
      </c>
      <c r="D833" s="3147" t="s">
        <v>3833</v>
      </c>
      <c r="E833" s="3147">
        <v>44.72</v>
      </c>
      <c r="F833" s="3147">
        <v>3</v>
      </c>
      <c r="G833" s="3147" t="s">
        <v>3408</v>
      </c>
      <c r="H833" s="3145" t="s">
        <v>21</v>
      </c>
      <c r="I833" s="3133" t="s">
        <v>3710</v>
      </c>
      <c r="J833" s="3133">
        <f>'[3]典型户型修正-办公'!S1172</f>
        <v>65</v>
      </c>
      <c r="K833" s="3133">
        <f>'[3]典型户型修正-办公'!R1172</f>
        <v>14529</v>
      </c>
    </row>
    <row r="834" spans="1:11">
      <c r="A834" s="3145"/>
      <c r="B834" s="3146">
        <v>816</v>
      </c>
      <c r="C834" s="3147">
        <v>17</v>
      </c>
      <c r="D834" s="3147" t="s">
        <v>3834</v>
      </c>
      <c r="E834" s="3147">
        <v>46.83</v>
      </c>
      <c r="F834" s="3147">
        <v>3</v>
      </c>
      <c r="G834" s="3147" t="s">
        <v>3408</v>
      </c>
      <c r="H834" s="3145" t="s">
        <v>21</v>
      </c>
      <c r="I834" s="3133" t="s">
        <v>3710</v>
      </c>
      <c r="J834" s="3133">
        <f>'[3]典型户型修正-办公'!S1173</f>
        <v>68</v>
      </c>
      <c r="K834" s="3133">
        <f>'[3]典型户型修正-办公'!R1173</f>
        <v>14529</v>
      </c>
    </row>
    <row r="835" spans="1:11">
      <c r="A835" s="3145"/>
      <c r="B835" s="3146">
        <v>817</v>
      </c>
      <c r="C835" s="3147">
        <v>17</v>
      </c>
      <c r="D835" s="3147" t="s">
        <v>3835</v>
      </c>
      <c r="E835" s="3147">
        <v>48.33</v>
      </c>
      <c r="F835" s="3147">
        <v>3</v>
      </c>
      <c r="G835" s="3147" t="s">
        <v>3408</v>
      </c>
      <c r="H835" s="3145" t="s">
        <v>21</v>
      </c>
      <c r="I835" s="3133" t="s">
        <v>3710</v>
      </c>
      <c r="J835" s="3133">
        <f>'[3]典型户型修正-办公'!S1174</f>
        <v>70</v>
      </c>
      <c r="K835" s="3133">
        <f>'[3]典型户型修正-办公'!R1174</f>
        <v>14529</v>
      </c>
    </row>
    <row r="836" spans="1:11">
      <c r="A836" s="3145"/>
      <c r="B836" s="3146">
        <v>818</v>
      </c>
      <c r="C836" s="3147">
        <v>17</v>
      </c>
      <c r="D836" s="3147" t="s">
        <v>3836</v>
      </c>
      <c r="E836" s="3147">
        <v>49.3</v>
      </c>
      <c r="F836" s="3147">
        <v>3</v>
      </c>
      <c r="G836" s="3147" t="s">
        <v>3408</v>
      </c>
      <c r="H836" s="3145" t="s">
        <v>21</v>
      </c>
      <c r="I836" s="3133" t="s">
        <v>3710</v>
      </c>
      <c r="J836" s="3133">
        <f>'[3]典型户型修正-办公'!S1175</f>
        <v>72</v>
      </c>
      <c r="K836" s="3133">
        <f>'[3]典型户型修正-办公'!R1175</f>
        <v>14529</v>
      </c>
    </row>
    <row r="837" spans="1:11">
      <c r="A837" s="3145"/>
      <c r="B837" s="3146">
        <v>819</v>
      </c>
      <c r="C837" s="3147">
        <v>17</v>
      </c>
      <c r="D837" s="3147" t="s">
        <v>3837</v>
      </c>
      <c r="E837" s="3147">
        <v>49.59</v>
      </c>
      <c r="F837" s="3147">
        <v>3</v>
      </c>
      <c r="G837" s="3147" t="s">
        <v>3408</v>
      </c>
      <c r="H837" s="3145" t="s">
        <v>21</v>
      </c>
      <c r="I837" s="3133" t="s">
        <v>3710</v>
      </c>
      <c r="J837" s="3133">
        <f>'[3]典型户型修正-办公'!S1176</f>
        <v>72</v>
      </c>
      <c r="K837" s="3133">
        <f>'[3]典型户型修正-办公'!R1176</f>
        <v>14529</v>
      </c>
    </row>
    <row r="838" spans="1:11">
      <c r="A838" s="3145"/>
      <c r="B838" s="3146">
        <v>820</v>
      </c>
      <c r="C838" s="3147">
        <v>17</v>
      </c>
      <c r="D838" s="3147" t="s">
        <v>3838</v>
      </c>
      <c r="E838" s="3147">
        <v>49.28</v>
      </c>
      <c r="F838" s="3147">
        <v>3</v>
      </c>
      <c r="G838" s="3147" t="s">
        <v>3408</v>
      </c>
      <c r="H838" s="3145" t="s">
        <v>21</v>
      </c>
      <c r="I838" s="3133" t="s">
        <v>3710</v>
      </c>
      <c r="J838" s="3133">
        <f>'[3]典型户型修正-办公'!S1177</f>
        <v>72</v>
      </c>
      <c r="K838" s="3133">
        <f>'[3]典型户型修正-办公'!R1177</f>
        <v>14529</v>
      </c>
    </row>
    <row r="839" spans="1:11">
      <c r="A839" s="3145"/>
      <c r="B839" s="3146">
        <v>821</v>
      </c>
      <c r="C839" s="3147">
        <v>17</v>
      </c>
      <c r="D839" s="3147" t="s">
        <v>3839</v>
      </c>
      <c r="E839" s="3147">
        <v>48.41</v>
      </c>
      <c r="F839" s="3147">
        <v>3</v>
      </c>
      <c r="G839" s="3147" t="s">
        <v>3408</v>
      </c>
      <c r="H839" s="3145" t="s">
        <v>21</v>
      </c>
      <c r="I839" s="3133" t="s">
        <v>3710</v>
      </c>
      <c r="J839" s="3133">
        <f>'[3]典型户型修正-办公'!S1178</f>
        <v>70</v>
      </c>
      <c r="K839" s="3133">
        <f>'[3]典型户型修正-办公'!R1178</f>
        <v>14529</v>
      </c>
    </row>
    <row r="840" spans="1:11">
      <c r="A840" s="3145"/>
      <c r="B840" s="3146">
        <v>822</v>
      </c>
      <c r="C840" s="3147">
        <v>17</v>
      </c>
      <c r="D840" s="3147" t="s">
        <v>3840</v>
      </c>
      <c r="E840" s="3147">
        <v>47.44</v>
      </c>
      <c r="F840" s="3147">
        <v>3</v>
      </c>
      <c r="G840" s="3147" t="s">
        <v>3408</v>
      </c>
      <c r="H840" s="3145" t="s">
        <v>21</v>
      </c>
      <c r="I840" s="3133" t="s">
        <v>3710</v>
      </c>
      <c r="J840" s="3133">
        <f>'[3]典型户型修正-办公'!S1179</f>
        <v>69</v>
      </c>
      <c r="K840" s="3133">
        <f>'[3]典型户型修正-办公'!R1179</f>
        <v>14529</v>
      </c>
    </row>
    <row r="841" spans="1:11">
      <c r="A841" s="3145"/>
      <c r="B841" s="3146">
        <v>823</v>
      </c>
      <c r="C841" s="3147">
        <v>18</v>
      </c>
      <c r="D841" s="3147" t="s">
        <v>3841</v>
      </c>
      <c r="E841" s="3147">
        <v>52.2</v>
      </c>
      <c r="F841" s="3147">
        <v>3</v>
      </c>
      <c r="G841" s="3147" t="s">
        <v>3408</v>
      </c>
      <c r="H841" s="3145" t="s">
        <v>21</v>
      </c>
      <c r="I841" s="3133" t="s">
        <v>3710</v>
      </c>
      <c r="J841" s="3133">
        <f>'[3]典型户型修正-办公'!S1180</f>
        <v>76</v>
      </c>
      <c r="K841" s="3133">
        <f>'[3]典型户型修正-办公'!R1180</f>
        <v>14529</v>
      </c>
    </row>
    <row r="842" spans="1:11">
      <c r="A842" s="3145"/>
      <c r="B842" s="3146">
        <v>824</v>
      </c>
      <c r="C842" s="3147">
        <v>18</v>
      </c>
      <c r="D842" s="3147" t="s">
        <v>3842</v>
      </c>
      <c r="E842" s="3147">
        <v>50.33</v>
      </c>
      <c r="F842" s="3147">
        <v>3</v>
      </c>
      <c r="G842" s="3147" t="s">
        <v>3408</v>
      </c>
      <c r="H842" s="3145" t="s">
        <v>21</v>
      </c>
      <c r="I842" s="3133" t="s">
        <v>3710</v>
      </c>
      <c r="J842" s="3133">
        <f>'[3]典型户型修正-办公'!S1181</f>
        <v>73</v>
      </c>
      <c r="K842" s="3133">
        <f>'[3]典型户型修正-办公'!R1181</f>
        <v>14529</v>
      </c>
    </row>
    <row r="843" spans="1:11">
      <c r="A843" s="3145"/>
      <c r="B843" s="3146">
        <v>825</v>
      </c>
      <c r="C843" s="3147">
        <v>18</v>
      </c>
      <c r="D843" s="3147" t="s">
        <v>3843</v>
      </c>
      <c r="E843" s="3147">
        <v>50.33</v>
      </c>
      <c r="F843" s="3147">
        <v>3</v>
      </c>
      <c r="G843" s="3147" t="s">
        <v>3408</v>
      </c>
      <c r="H843" s="3145" t="s">
        <v>21</v>
      </c>
      <c r="I843" s="3133" t="s">
        <v>3710</v>
      </c>
      <c r="J843" s="3133">
        <f>'[3]典型户型修正-办公'!S1182</f>
        <v>73</v>
      </c>
      <c r="K843" s="3133">
        <f>'[3]典型户型修正-办公'!R1182</f>
        <v>14529</v>
      </c>
    </row>
    <row r="844" spans="1:11">
      <c r="A844" s="3145"/>
      <c r="B844" s="3146">
        <v>826</v>
      </c>
      <c r="C844" s="3147">
        <v>18</v>
      </c>
      <c r="D844" s="3147" t="s">
        <v>3844</v>
      </c>
      <c r="E844" s="3147">
        <v>50.33</v>
      </c>
      <c r="F844" s="3147">
        <v>3</v>
      </c>
      <c r="G844" s="3147" t="s">
        <v>3408</v>
      </c>
      <c r="H844" s="3145" t="s">
        <v>21</v>
      </c>
      <c r="I844" s="3133" t="s">
        <v>3710</v>
      </c>
      <c r="J844" s="3133">
        <f>'[3]典型户型修正-办公'!S1183</f>
        <v>73</v>
      </c>
      <c r="K844" s="3133">
        <f>'[3]典型户型修正-办公'!R1183</f>
        <v>14529</v>
      </c>
    </row>
    <row r="845" spans="1:11">
      <c r="A845" s="3145"/>
      <c r="B845" s="3146">
        <v>827</v>
      </c>
      <c r="C845" s="3147">
        <v>18</v>
      </c>
      <c r="D845" s="3147" t="s">
        <v>3845</v>
      </c>
      <c r="E845" s="3147">
        <v>50.33</v>
      </c>
      <c r="F845" s="3147">
        <v>3</v>
      </c>
      <c r="G845" s="3147" t="s">
        <v>3408</v>
      </c>
      <c r="H845" s="3145" t="s">
        <v>21</v>
      </c>
      <c r="I845" s="3133" t="s">
        <v>3710</v>
      </c>
      <c r="J845" s="3133">
        <f>'[3]典型户型修正-办公'!S1184</f>
        <v>73</v>
      </c>
      <c r="K845" s="3133">
        <f>'[3]典型户型修正-办公'!R1184</f>
        <v>14529</v>
      </c>
    </row>
    <row r="846" spans="1:11">
      <c r="A846" s="3145"/>
      <c r="B846" s="3146">
        <v>828</v>
      </c>
      <c r="C846" s="3147">
        <v>18</v>
      </c>
      <c r="D846" s="3147" t="s">
        <v>3846</v>
      </c>
      <c r="E846" s="3147">
        <v>50.33</v>
      </c>
      <c r="F846" s="3147">
        <v>3</v>
      </c>
      <c r="G846" s="3147" t="s">
        <v>3408</v>
      </c>
      <c r="H846" s="3145" t="s">
        <v>21</v>
      </c>
      <c r="I846" s="3133" t="s">
        <v>3710</v>
      </c>
      <c r="J846" s="3133">
        <f>'[3]典型户型修正-办公'!S1185</f>
        <v>73</v>
      </c>
      <c r="K846" s="3133">
        <f>'[3]典型户型修正-办公'!R1185</f>
        <v>14529</v>
      </c>
    </row>
    <row r="847" spans="1:11">
      <c r="A847" s="3145"/>
      <c r="B847" s="3146">
        <v>829</v>
      </c>
      <c r="C847" s="3147">
        <v>18</v>
      </c>
      <c r="D847" s="3147" t="s">
        <v>3847</v>
      </c>
      <c r="E847" s="3147">
        <v>50.33</v>
      </c>
      <c r="F847" s="3147">
        <v>3</v>
      </c>
      <c r="G847" s="3147" t="s">
        <v>3408</v>
      </c>
      <c r="H847" s="3145" t="s">
        <v>21</v>
      </c>
      <c r="I847" s="3133" t="s">
        <v>3710</v>
      </c>
      <c r="J847" s="3133">
        <f>'[3]典型户型修正-办公'!S1186</f>
        <v>73</v>
      </c>
      <c r="K847" s="3133">
        <f>'[3]典型户型修正-办公'!R1186</f>
        <v>14529</v>
      </c>
    </row>
    <row r="848" spans="1:11">
      <c r="A848" s="3145"/>
      <c r="B848" s="3146">
        <v>830</v>
      </c>
      <c r="C848" s="3147">
        <v>18</v>
      </c>
      <c r="D848" s="3147" t="s">
        <v>3848</v>
      </c>
      <c r="E848" s="3147">
        <v>50.33</v>
      </c>
      <c r="F848" s="3147">
        <v>3</v>
      </c>
      <c r="G848" s="3147" t="s">
        <v>3408</v>
      </c>
      <c r="H848" s="3145" t="s">
        <v>21</v>
      </c>
      <c r="I848" s="3133" t="s">
        <v>3710</v>
      </c>
      <c r="J848" s="3133">
        <f>'[3]典型户型修正-办公'!S1187</f>
        <v>73</v>
      </c>
      <c r="K848" s="3133">
        <f>'[3]典型户型修正-办公'!R1187</f>
        <v>14529</v>
      </c>
    </row>
    <row r="849" spans="1:11">
      <c r="A849" s="3145"/>
      <c r="B849" s="3146">
        <v>831</v>
      </c>
      <c r="C849" s="3147">
        <v>18</v>
      </c>
      <c r="D849" s="3147" t="s">
        <v>3849</v>
      </c>
      <c r="E849" s="3147">
        <v>50.33</v>
      </c>
      <c r="F849" s="3147">
        <v>3</v>
      </c>
      <c r="G849" s="3147" t="s">
        <v>3408</v>
      </c>
      <c r="H849" s="3145" t="s">
        <v>21</v>
      </c>
      <c r="I849" s="3133" t="s">
        <v>3710</v>
      </c>
      <c r="J849" s="3133">
        <f>'[3]典型户型修正-办公'!S1188</f>
        <v>73</v>
      </c>
      <c r="K849" s="3133">
        <f>'[3]典型户型修正-办公'!R1188</f>
        <v>14529</v>
      </c>
    </row>
    <row r="850" spans="1:11">
      <c r="A850" s="3145"/>
      <c r="B850" s="3146">
        <v>832</v>
      </c>
      <c r="C850" s="3147">
        <v>18</v>
      </c>
      <c r="D850" s="3147" t="s">
        <v>3850</v>
      </c>
      <c r="E850" s="3147">
        <v>50.33</v>
      </c>
      <c r="F850" s="3147">
        <v>3</v>
      </c>
      <c r="G850" s="3147" t="s">
        <v>3408</v>
      </c>
      <c r="H850" s="3145" t="s">
        <v>21</v>
      </c>
      <c r="I850" s="3133" t="s">
        <v>3710</v>
      </c>
      <c r="J850" s="3133">
        <f>'[3]典型户型修正-办公'!S1189</f>
        <v>73</v>
      </c>
      <c r="K850" s="3133">
        <f>'[3]典型户型修正-办公'!R1189</f>
        <v>14529</v>
      </c>
    </row>
    <row r="851" spans="1:11">
      <c r="A851" s="3145"/>
      <c r="B851" s="3146">
        <v>833</v>
      </c>
      <c r="C851" s="3147">
        <v>18</v>
      </c>
      <c r="D851" s="3147" t="s">
        <v>3851</v>
      </c>
      <c r="E851" s="3147">
        <v>50.33</v>
      </c>
      <c r="F851" s="3147">
        <v>3</v>
      </c>
      <c r="G851" s="3147" t="s">
        <v>3408</v>
      </c>
      <c r="H851" s="3145" t="s">
        <v>21</v>
      </c>
      <c r="I851" s="3133" t="s">
        <v>3710</v>
      </c>
      <c r="J851" s="3133">
        <f>'[3]典型户型修正-办公'!S1190</f>
        <v>73</v>
      </c>
      <c r="K851" s="3133">
        <f>'[3]典型户型修正-办公'!R1190</f>
        <v>14529</v>
      </c>
    </row>
    <row r="852" spans="1:11">
      <c r="A852" s="3145"/>
      <c r="B852" s="3146">
        <v>834</v>
      </c>
      <c r="C852" s="3147">
        <v>18</v>
      </c>
      <c r="D852" s="3147" t="s">
        <v>3852</v>
      </c>
      <c r="E852" s="3147">
        <v>50.33</v>
      </c>
      <c r="F852" s="3147">
        <v>3</v>
      </c>
      <c r="G852" s="3147" t="s">
        <v>3408</v>
      </c>
      <c r="H852" s="3145" t="s">
        <v>21</v>
      </c>
      <c r="I852" s="3133" t="s">
        <v>3710</v>
      </c>
      <c r="J852" s="3133">
        <f>'[3]典型户型修正-办公'!S1191</f>
        <v>73</v>
      </c>
      <c r="K852" s="3133">
        <f>'[3]典型户型修正-办公'!R1191</f>
        <v>14529</v>
      </c>
    </row>
    <row r="853" spans="1:11">
      <c r="A853" s="3145"/>
      <c r="B853" s="3146">
        <v>835</v>
      </c>
      <c r="C853" s="3147">
        <v>18</v>
      </c>
      <c r="D853" s="3147" t="s">
        <v>3853</v>
      </c>
      <c r="E853" s="3147">
        <v>50.33</v>
      </c>
      <c r="F853" s="3147">
        <v>3</v>
      </c>
      <c r="G853" s="3147" t="s">
        <v>3408</v>
      </c>
      <c r="H853" s="3145" t="s">
        <v>21</v>
      </c>
      <c r="I853" s="3133" t="s">
        <v>3710</v>
      </c>
      <c r="J853" s="3133">
        <f>'[3]典型户型修正-办公'!S1192</f>
        <v>73</v>
      </c>
      <c r="K853" s="3133">
        <f>'[3]典型户型修正-办公'!R1192</f>
        <v>14529</v>
      </c>
    </row>
    <row r="854" spans="1:11">
      <c r="A854" s="3145"/>
      <c r="B854" s="3146">
        <v>836</v>
      </c>
      <c r="C854" s="3147">
        <v>18</v>
      </c>
      <c r="D854" s="3147" t="s">
        <v>3854</v>
      </c>
      <c r="E854" s="3147">
        <v>50.33</v>
      </c>
      <c r="F854" s="3147">
        <v>3</v>
      </c>
      <c r="G854" s="3147" t="s">
        <v>3408</v>
      </c>
      <c r="H854" s="3145" t="s">
        <v>21</v>
      </c>
      <c r="I854" s="3133" t="s">
        <v>3710</v>
      </c>
      <c r="J854" s="3133">
        <f>'[3]典型户型修正-办公'!S1193</f>
        <v>73</v>
      </c>
      <c r="K854" s="3133">
        <f>'[3]典型户型修正-办公'!R1193</f>
        <v>14529</v>
      </c>
    </row>
    <row r="855" spans="1:11">
      <c r="A855" s="3145"/>
      <c r="B855" s="3146">
        <v>837</v>
      </c>
      <c r="C855" s="3147">
        <v>18</v>
      </c>
      <c r="D855" s="3147" t="s">
        <v>3855</v>
      </c>
      <c r="E855" s="3147">
        <v>50.33</v>
      </c>
      <c r="F855" s="3147">
        <v>3</v>
      </c>
      <c r="G855" s="3147" t="s">
        <v>3408</v>
      </c>
      <c r="H855" s="3145" t="s">
        <v>21</v>
      </c>
      <c r="I855" s="3133" t="s">
        <v>3710</v>
      </c>
      <c r="J855" s="3133">
        <f>'[3]典型户型修正-办公'!S1194</f>
        <v>73</v>
      </c>
      <c r="K855" s="3133">
        <f>'[3]典型户型修正-办公'!R1194</f>
        <v>14529</v>
      </c>
    </row>
    <row r="856" spans="1:11">
      <c r="A856" s="3145"/>
      <c r="B856" s="3146">
        <v>838</v>
      </c>
      <c r="C856" s="3147">
        <v>18</v>
      </c>
      <c r="D856" s="3147" t="s">
        <v>3856</v>
      </c>
      <c r="E856" s="3147">
        <v>69.77</v>
      </c>
      <c r="F856" s="3147">
        <v>3</v>
      </c>
      <c r="G856" s="3147" t="s">
        <v>3408</v>
      </c>
      <c r="H856" s="3145" t="s">
        <v>21</v>
      </c>
      <c r="I856" s="3133" t="s">
        <v>3710</v>
      </c>
      <c r="J856" s="3133">
        <f>'[3]典型户型修正-办公'!S1195</f>
        <v>102</v>
      </c>
      <c r="K856" s="3133">
        <f>'[3]典型户型修正-办公'!R1195</f>
        <v>14674</v>
      </c>
    </row>
    <row r="857" spans="1:11">
      <c r="A857" s="3145"/>
      <c r="B857" s="3146">
        <v>839</v>
      </c>
      <c r="C857" s="3147">
        <v>18</v>
      </c>
      <c r="D857" s="3147" t="s">
        <v>3857</v>
      </c>
      <c r="E857" s="3147">
        <v>38.65</v>
      </c>
      <c r="F857" s="3147">
        <v>3</v>
      </c>
      <c r="G857" s="3147" t="s">
        <v>3408</v>
      </c>
      <c r="H857" s="3145" t="s">
        <v>21</v>
      </c>
      <c r="I857" s="3133" t="s">
        <v>3710</v>
      </c>
      <c r="J857" s="3133">
        <f>'[3]典型户型修正-办公'!S1196</f>
        <v>56</v>
      </c>
      <c r="K857" s="3133">
        <f>'[3]典型户型修正-办公'!R1196</f>
        <v>14529</v>
      </c>
    </row>
    <row r="858" spans="1:11">
      <c r="A858" s="3145"/>
      <c r="B858" s="3146">
        <v>840</v>
      </c>
      <c r="C858" s="3147">
        <v>18</v>
      </c>
      <c r="D858" s="3147" t="s">
        <v>3858</v>
      </c>
      <c r="E858" s="3147">
        <v>41.99</v>
      </c>
      <c r="F858" s="3147">
        <v>3</v>
      </c>
      <c r="G858" s="3147" t="s">
        <v>3408</v>
      </c>
      <c r="H858" s="3145" t="s">
        <v>21</v>
      </c>
      <c r="I858" s="3133" t="s">
        <v>3710</v>
      </c>
      <c r="J858" s="3133">
        <f>'[3]典型户型修正-办公'!S1197</f>
        <v>61</v>
      </c>
      <c r="K858" s="3133">
        <f>'[3]典型户型修正-办公'!R1197</f>
        <v>14529</v>
      </c>
    </row>
    <row r="859" spans="1:11">
      <c r="A859" s="3145"/>
      <c r="B859" s="3146">
        <v>841</v>
      </c>
      <c r="C859" s="3147">
        <v>18</v>
      </c>
      <c r="D859" s="3147" t="s">
        <v>3859</v>
      </c>
      <c r="E859" s="3147">
        <v>44.72</v>
      </c>
      <c r="F859" s="3147">
        <v>3</v>
      </c>
      <c r="G859" s="3147" t="s">
        <v>3408</v>
      </c>
      <c r="H859" s="3145" t="s">
        <v>21</v>
      </c>
      <c r="I859" s="3133" t="s">
        <v>3710</v>
      </c>
      <c r="J859" s="3133">
        <f>'[3]典型户型修正-办公'!S1198</f>
        <v>65</v>
      </c>
      <c r="K859" s="3133">
        <f>'[3]典型户型修正-办公'!R1198</f>
        <v>14529</v>
      </c>
    </row>
    <row r="860" spans="1:11">
      <c r="A860" s="3145"/>
      <c r="B860" s="3146">
        <v>842</v>
      </c>
      <c r="C860" s="3147">
        <v>18</v>
      </c>
      <c r="D860" s="3147" t="s">
        <v>3860</v>
      </c>
      <c r="E860" s="3147">
        <v>46.83</v>
      </c>
      <c r="F860" s="3147">
        <v>3</v>
      </c>
      <c r="G860" s="3147" t="s">
        <v>3408</v>
      </c>
      <c r="H860" s="3145" t="s">
        <v>21</v>
      </c>
      <c r="I860" s="3133" t="s">
        <v>3710</v>
      </c>
      <c r="J860" s="3133">
        <f>'[3]典型户型修正-办公'!S1199</f>
        <v>68</v>
      </c>
      <c r="K860" s="3133">
        <f>'[3]典型户型修正-办公'!R1199</f>
        <v>14529</v>
      </c>
    </row>
    <row r="861" spans="1:11">
      <c r="A861" s="3145"/>
      <c r="B861" s="3146">
        <v>843</v>
      </c>
      <c r="C861" s="3147">
        <v>18</v>
      </c>
      <c r="D861" s="3147" t="s">
        <v>3861</v>
      </c>
      <c r="E861" s="3147">
        <v>48.33</v>
      </c>
      <c r="F861" s="3147">
        <v>3</v>
      </c>
      <c r="G861" s="3147" t="s">
        <v>3408</v>
      </c>
      <c r="H861" s="3145" t="s">
        <v>21</v>
      </c>
      <c r="I861" s="3133" t="s">
        <v>3710</v>
      </c>
      <c r="J861" s="3133">
        <f>'[3]典型户型修正-办公'!S1200</f>
        <v>70</v>
      </c>
      <c r="K861" s="3133">
        <f>'[3]典型户型修正-办公'!R1200</f>
        <v>14529</v>
      </c>
    </row>
    <row r="862" spans="1:11">
      <c r="A862" s="3145"/>
      <c r="B862" s="3146">
        <v>844</v>
      </c>
      <c r="C862" s="3147">
        <v>18</v>
      </c>
      <c r="D862" s="3147" t="s">
        <v>3862</v>
      </c>
      <c r="E862" s="3147">
        <v>49.3</v>
      </c>
      <c r="F862" s="3147">
        <v>3</v>
      </c>
      <c r="G862" s="3147" t="s">
        <v>3408</v>
      </c>
      <c r="H862" s="3145" t="s">
        <v>21</v>
      </c>
      <c r="I862" s="3133" t="s">
        <v>3710</v>
      </c>
      <c r="J862" s="3133">
        <f>'[3]典型户型修正-办公'!S1201</f>
        <v>72</v>
      </c>
      <c r="K862" s="3133">
        <f>'[3]典型户型修正-办公'!R1201</f>
        <v>14529</v>
      </c>
    </row>
    <row r="863" spans="1:11">
      <c r="A863" s="3145"/>
      <c r="B863" s="3146">
        <v>845</v>
      </c>
      <c r="C863" s="3147">
        <v>18</v>
      </c>
      <c r="D863" s="3147" t="s">
        <v>3863</v>
      </c>
      <c r="E863" s="3147">
        <v>49.59</v>
      </c>
      <c r="F863" s="3147">
        <v>3</v>
      </c>
      <c r="G863" s="3147" t="s">
        <v>3408</v>
      </c>
      <c r="H863" s="3145" t="s">
        <v>21</v>
      </c>
      <c r="I863" s="3133" t="s">
        <v>3710</v>
      </c>
      <c r="J863" s="3133">
        <f>'[3]典型户型修正-办公'!S1202</f>
        <v>72</v>
      </c>
      <c r="K863" s="3133">
        <f>'[3]典型户型修正-办公'!R1202</f>
        <v>14529</v>
      </c>
    </row>
    <row r="864" spans="1:11">
      <c r="A864" s="3145"/>
      <c r="B864" s="3146">
        <v>846</v>
      </c>
      <c r="C864" s="3147">
        <v>18</v>
      </c>
      <c r="D864" s="3147" t="s">
        <v>3864</v>
      </c>
      <c r="E864" s="3147">
        <v>49.28</v>
      </c>
      <c r="F864" s="3147">
        <v>3</v>
      </c>
      <c r="G864" s="3147" t="s">
        <v>3408</v>
      </c>
      <c r="H864" s="3145" t="s">
        <v>21</v>
      </c>
      <c r="I864" s="3133" t="s">
        <v>3710</v>
      </c>
      <c r="J864" s="3133">
        <f>'[3]典型户型修正-办公'!S1203</f>
        <v>72</v>
      </c>
      <c r="K864" s="3133">
        <f>'[3]典型户型修正-办公'!R1203</f>
        <v>14529</v>
      </c>
    </row>
    <row r="865" spans="1:11">
      <c r="A865" s="3145"/>
      <c r="B865" s="3146">
        <v>847</v>
      </c>
      <c r="C865" s="3147">
        <v>18</v>
      </c>
      <c r="D865" s="3147" t="s">
        <v>3865</v>
      </c>
      <c r="E865" s="3147">
        <v>48.41</v>
      </c>
      <c r="F865" s="3147">
        <v>3</v>
      </c>
      <c r="G865" s="3147" t="s">
        <v>3408</v>
      </c>
      <c r="H865" s="3145" t="s">
        <v>21</v>
      </c>
      <c r="I865" s="3133" t="s">
        <v>3710</v>
      </c>
      <c r="J865" s="3133">
        <f>'[3]典型户型修正-办公'!S1204</f>
        <v>70</v>
      </c>
      <c r="K865" s="3133">
        <f>'[3]典型户型修正-办公'!R1204</f>
        <v>14529</v>
      </c>
    </row>
    <row r="866" spans="1:11">
      <c r="A866" s="3145"/>
      <c r="B866" s="3146">
        <v>848</v>
      </c>
      <c r="C866" s="3147">
        <v>18</v>
      </c>
      <c r="D866" s="3147" t="s">
        <v>3866</v>
      </c>
      <c r="E866" s="3147">
        <v>47.44</v>
      </c>
      <c r="F866" s="3147">
        <v>3</v>
      </c>
      <c r="G866" s="3147" t="s">
        <v>3408</v>
      </c>
      <c r="H866" s="3145" t="s">
        <v>21</v>
      </c>
      <c r="I866" s="3133" t="s">
        <v>3710</v>
      </c>
      <c r="J866" s="3133">
        <f>'[3]典型户型修正-办公'!S1205</f>
        <v>69</v>
      </c>
      <c r="K866" s="3133">
        <f>'[3]典型户型修正-办公'!R1205</f>
        <v>14529</v>
      </c>
    </row>
    <row r="867" spans="1:11">
      <c r="A867" s="3145"/>
      <c r="B867" s="3146">
        <v>849</v>
      </c>
      <c r="C867" s="3147">
        <v>19</v>
      </c>
      <c r="D867" s="3147" t="s">
        <v>3867</v>
      </c>
      <c r="E867" s="3147">
        <v>50.33</v>
      </c>
      <c r="F867" s="3147">
        <v>3</v>
      </c>
      <c r="G867" s="3147" t="s">
        <v>3408</v>
      </c>
      <c r="H867" s="3145" t="s">
        <v>21</v>
      </c>
      <c r="I867" s="3133" t="s">
        <v>3710</v>
      </c>
      <c r="J867" s="3133">
        <f>'[3]典型户型修正-办公'!S1210</f>
        <v>73</v>
      </c>
      <c r="K867" s="3133">
        <f>'[3]典型户型修正-办公'!R1210</f>
        <v>14529</v>
      </c>
    </row>
    <row r="868" spans="1:11">
      <c r="A868" s="3145"/>
      <c r="B868" s="3146">
        <v>850</v>
      </c>
      <c r="C868" s="3147">
        <v>19</v>
      </c>
      <c r="D868" s="3147" t="s">
        <v>3868</v>
      </c>
      <c r="E868" s="3147">
        <v>50.33</v>
      </c>
      <c r="F868" s="3147">
        <v>3</v>
      </c>
      <c r="G868" s="3147" t="s">
        <v>3408</v>
      </c>
      <c r="H868" s="3145" t="s">
        <v>21</v>
      </c>
      <c r="I868" s="3133" t="s">
        <v>3710</v>
      </c>
      <c r="J868" s="3133">
        <f>'[3]典型户型修正-办公'!S1211</f>
        <v>73</v>
      </c>
      <c r="K868" s="3133">
        <f>'[3]典型户型修正-办公'!R1211</f>
        <v>14529</v>
      </c>
    </row>
    <row r="869" spans="1:11">
      <c r="A869" s="3145"/>
      <c r="B869" s="3146">
        <v>851</v>
      </c>
      <c r="C869" s="3147">
        <v>19</v>
      </c>
      <c r="D869" s="3147" t="s">
        <v>3869</v>
      </c>
      <c r="E869" s="3147">
        <v>50.33</v>
      </c>
      <c r="F869" s="3147">
        <v>3</v>
      </c>
      <c r="G869" s="3147" t="s">
        <v>3408</v>
      </c>
      <c r="H869" s="3145" t="s">
        <v>21</v>
      </c>
      <c r="I869" s="3133" t="s">
        <v>3710</v>
      </c>
      <c r="J869" s="3133">
        <f>'[3]典型户型修正-办公'!S1214</f>
        <v>73</v>
      </c>
      <c r="K869" s="3133">
        <f>'[3]典型户型修正-办公'!R1214</f>
        <v>14529</v>
      </c>
    </row>
    <row r="870" spans="1:11">
      <c r="A870" s="3145"/>
      <c r="B870" s="3146">
        <v>852</v>
      </c>
      <c r="C870" s="3147">
        <v>19</v>
      </c>
      <c r="D870" s="3147" t="s">
        <v>3870</v>
      </c>
      <c r="E870" s="3147">
        <v>50.33</v>
      </c>
      <c r="F870" s="3147">
        <v>3</v>
      </c>
      <c r="G870" s="3147" t="s">
        <v>3408</v>
      </c>
      <c r="H870" s="3145" t="s">
        <v>21</v>
      </c>
      <c r="I870" s="3133" t="s">
        <v>3710</v>
      </c>
      <c r="J870" s="3133">
        <f>'[3]典型户型修正-办公'!S1215</f>
        <v>73</v>
      </c>
      <c r="K870" s="3133">
        <f>'[3]典型户型修正-办公'!R1215</f>
        <v>14529</v>
      </c>
    </row>
    <row r="871" spans="1:11">
      <c r="A871" s="3145"/>
      <c r="B871" s="3146">
        <v>853</v>
      </c>
      <c r="C871" s="3147">
        <v>19</v>
      </c>
      <c r="D871" s="3147" t="s">
        <v>3871</v>
      </c>
      <c r="E871" s="3147">
        <v>50.33</v>
      </c>
      <c r="F871" s="3147">
        <v>3</v>
      </c>
      <c r="G871" s="3147" t="s">
        <v>3408</v>
      </c>
      <c r="H871" s="3145" t="s">
        <v>21</v>
      </c>
      <c r="I871" s="3133" t="s">
        <v>3710</v>
      </c>
      <c r="J871" s="3133">
        <f>'[3]典型户型修正-办公'!S1216</f>
        <v>73</v>
      </c>
      <c r="K871" s="3133">
        <f>'[3]典型户型修正-办公'!R1216</f>
        <v>14529</v>
      </c>
    </row>
    <row r="872" spans="1:11">
      <c r="A872" s="3145"/>
      <c r="B872" s="3146">
        <v>854</v>
      </c>
      <c r="C872" s="3147">
        <v>19</v>
      </c>
      <c r="D872" s="3147" t="s">
        <v>3872</v>
      </c>
      <c r="E872" s="3147">
        <v>50.33</v>
      </c>
      <c r="F872" s="3147">
        <v>3</v>
      </c>
      <c r="G872" s="3147" t="s">
        <v>3408</v>
      </c>
      <c r="H872" s="3145" t="s">
        <v>21</v>
      </c>
      <c r="I872" s="3133" t="s">
        <v>3710</v>
      </c>
      <c r="J872" s="3133">
        <f>'[3]典型户型修正-办公'!S1217</f>
        <v>73</v>
      </c>
      <c r="K872" s="3133">
        <f>'[3]典型户型修正-办公'!R1217</f>
        <v>14529</v>
      </c>
    </row>
    <row r="873" spans="1:11">
      <c r="A873" s="3145"/>
      <c r="B873" s="3146">
        <v>855</v>
      </c>
      <c r="C873" s="3147">
        <v>19</v>
      </c>
      <c r="D873" s="3147" t="s">
        <v>3873</v>
      </c>
      <c r="E873" s="3147">
        <v>50.33</v>
      </c>
      <c r="F873" s="3147">
        <v>3</v>
      </c>
      <c r="G873" s="3147" t="s">
        <v>3408</v>
      </c>
      <c r="H873" s="3145" t="s">
        <v>21</v>
      </c>
      <c r="I873" s="3133" t="s">
        <v>3710</v>
      </c>
      <c r="J873" s="3133">
        <f>'[3]典型户型修正-办公'!S1218</f>
        <v>73</v>
      </c>
      <c r="K873" s="3133">
        <f>'[3]典型户型修正-办公'!R1218</f>
        <v>14529</v>
      </c>
    </row>
    <row r="874" spans="1:11">
      <c r="A874" s="3145"/>
      <c r="B874" s="3146">
        <v>856</v>
      </c>
      <c r="C874" s="3147">
        <v>19</v>
      </c>
      <c r="D874" s="3147" t="s">
        <v>3874</v>
      </c>
      <c r="E874" s="3147">
        <v>50.33</v>
      </c>
      <c r="F874" s="3147">
        <v>3</v>
      </c>
      <c r="G874" s="3147" t="s">
        <v>3408</v>
      </c>
      <c r="H874" s="3145" t="s">
        <v>21</v>
      </c>
      <c r="I874" s="3133" t="s">
        <v>3710</v>
      </c>
      <c r="J874" s="3133">
        <f>'[3]典型户型修正-办公'!S1219</f>
        <v>73</v>
      </c>
      <c r="K874" s="3133">
        <f>'[3]典型户型修正-办公'!R1219</f>
        <v>14529</v>
      </c>
    </row>
    <row r="875" spans="1:11">
      <c r="A875" s="3145"/>
      <c r="B875" s="3146">
        <v>857</v>
      </c>
      <c r="C875" s="3147">
        <v>19</v>
      </c>
      <c r="D875" s="3147" t="s">
        <v>3875</v>
      </c>
      <c r="E875" s="3147">
        <v>50.33</v>
      </c>
      <c r="F875" s="3147">
        <v>3</v>
      </c>
      <c r="G875" s="3147" t="s">
        <v>3408</v>
      </c>
      <c r="H875" s="3145" t="s">
        <v>21</v>
      </c>
      <c r="I875" s="3133" t="s">
        <v>3710</v>
      </c>
      <c r="J875" s="3133">
        <f>'[3]典型户型修正-办公'!S1220</f>
        <v>73</v>
      </c>
      <c r="K875" s="3133">
        <f>'[3]典型户型修正-办公'!R1220</f>
        <v>14529</v>
      </c>
    </row>
    <row r="876" spans="1:11">
      <c r="A876" s="3145"/>
      <c r="B876" s="3146">
        <v>858</v>
      </c>
      <c r="C876" s="3147">
        <v>19</v>
      </c>
      <c r="D876" s="3147" t="s">
        <v>3876</v>
      </c>
      <c r="E876" s="3147">
        <v>38.65</v>
      </c>
      <c r="F876" s="3147">
        <v>3</v>
      </c>
      <c r="G876" s="3147" t="s">
        <v>3408</v>
      </c>
      <c r="H876" s="3145" t="s">
        <v>21</v>
      </c>
      <c r="I876" s="3133" t="s">
        <v>3710</v>
      </c>
      <c r="J876" s="3133">
        <f>'[3]典型户型修正-办公'!S1222</f>
        <v>56</v>
      </c>
      <c r="K876" s="3133">
        <f>'[3]典型户型修正-办公'!R1222</f>
        <v>14529</v>
      </c>
    </row>
    <row r="877" spans="1:11">
      <c r="A877" s="3145"/>
      <c r="B877" s="3146">
        <v>859</v>
      </c>
      <c r="C877" s="3147">
        <v>19</v>
      </c>
      <c r="D877" s="3147" t="s">
        <v>3877</v>
      </c>
      <c r="E877" s="3147">
        <v>41.99</v>
      </c>
      <c r="F877" s="3147">
        <v>3</v>
      </c>
      <c r="G877" s="3147" t="s">
        <v>3408</v>
      </c>
      <c r="H877" s="3145" t="s">
        <v>21</v>
      </c>
      <c r="I877" s="3133" t="s">
        <v>3710</v>
      </c>
      <c r="J877" s="3133">
        <f>'[3]典型户型修正-办公'!S1223</f>
        <v>61</v>
      </c>
      <c r="K877" s="3133">
        <f>'[3]典型户型修正-办公'!R1223</f>
        <v>14529</v>
      </c>
    </row>
    <row r="878" spans="1:11">
      <c r="A878" s="3145"/>
      <c r="B878" s="3146">
        <v>860</v>
      </c>
      <c r="C878" s="3147">
        <v>19</v>
      </c>
      <c r="D878" s="3147" t="s">
        <v>3878</v>
      </c>
      <c r="E878" s="3147">
        <v>44.72</v>
      </c>
      <c r="F878" s="3147">
        <v>3</v>
      </c>
      <c r="G878" s="3147" t="s">
        <v>3408</v>
      </c>
      <c r="H878" s="3145" t="s">
        <v>21</v>
      </c>
      <c r="I878" s="3133" t="s">
        <v>3710</v>
      </c>
      <c r="J878" s="3133">
        <f>'[3]典型户型修正-办公'!S1224</f>
        <v>65</v>
      </c>
      <c r="K878" s="3133">
        <f>'[3]典型户型修正-办公'!R1224</f>
        <v>14529</v>
      </c>
    </row>
    <row r="879" spans="1:11">
      <c r="A879" s="3145"/>
      <c r="B879" s="3146">
        <v>861</v>
      </c>
      <c r="C879" s="3147">
        <v>19</v>
      </c>
      <c r="D879" s="3147" t="s">
        <v>3879</v>
      </c>
      <c r="E879" s="3147">
        <v>46.83</v>
      </c>
      <c r="F879" s="3147">
        <v>3</v>
      </c>
      <c r="G879" s="3147" t="s">
        <v>3408</v>
      </c>
      <c r="H879" s="3145" t="s">
        <v>21</v>
      </c>
      <c r="I879" s="3133" t="s">
        <v>3710</v>
      </c>
      <c r="J879" s="3133">
        <f>'[3]典型户型修正-办公'!S1225</f>
        <v>68</v>
      </c>
      <c r="K879" s="3133">
        <f>'[3]典型户型修正-办公'!R1225</f>
        <v>14529</v>
      </c>
    </row>
    <row r="880" spans="1:11">
      <c r="A880" s="3145"/>
      <c r="B880" s="3146">
        <v>862</v>
      </c>
      <c r="C880" s="3147">
        <v>19</v>
      </c>
      <c r="D880" s="3147" t="s">
        <v>3880</v>
      </c>
      <c r="E880" s="3147">
        <v>48.33</v>
      </c>
      <c r="F880" s="3147">
        <v>3</v>
      </c>
      <c r="G880" s="3147" t="s">
        <v>3408</v>
      </c>
      <c r="H880" s="3145" t="s">
        <v>21</v>
      </c>
      <c r="I880" s="3133" t="s">
        <v>3710</v>
      </c>
      <c r="J880" s="3133">
        <f>'[3]典型户型修正-办公'!S1226</f>
        <v>70</v>
      </c>
      <c r="K880" s="3133">
        <f>'[3]典型户型修正-办公'!R1226</f>
        <v>14529</v>
      </c>
    </row>
    <row r="881" spans="1:11">
      <c r="A881" s="3145"/>
      <c r="B881" s="3146">
        <v>863</v>
      </c>
      <c r="C881" s="3147">
        <v>19</v>
      </c>
      <c r="D881" s="3147" t="s">
        <v>3881</v>
      </c>
      <c r="E881" s="3147">
        <v>49.3</v>
      </c>
      <c r="F881" s="3147">
        <v>3</v>
      </c>
      <c r="G881" s="3147" t="s">
        <v>3408</v>
      </c>
      <c r="H881" s="3145" t="s">
        <v>21</v>
      </c>
      <c r="I881" s="3133" t="s">
        <v>3710</v>
      </c>
      <c r="J881" s="3133">
        <f>'[3]典型户型修正-办公'!S1227</f>
        <v>72</v>
      </c>
      <c r="K881" s="3133">
        <f>'[3]典型户型修正-办公'!R1227</f>
        <v>14529</v>
      </c>
    </row>
    <row r="882" spans="1:11">
      <c r="A882" s="3145"/>
      <c r="B882" s="3146">
        <v>864</v>
      </c>
      <c r="C882" s="3147">
        <v>19</v>
      </c>
      <c r="D882" s="3147" t="s">
        <v>3882</v>
      </c>
      <c r="E882" s="3147">
        <v>49.59</v>
      </c>
      <c r="F882" s="3147">
        <v>3</v>
      </c>
      <c r="G882" s="3147" t="s">
        <v>3408</v>
      </c>
      <c r="H882" s="3145" t="s">
        <v>21</v>
      </c>
      <c r="I882" s="3133" t="s">
        <v>3710</v>
      </c>
      <c r="J882" s="3133">
        <f>'[3]典型户型修正-办公'!S1228</f>
        <v>72</v>
      </c>
      <c r="K882" s="3133">
        <f>'[3]典型户型修正-办公'!R1228</f>
        <v>14529</v>
      </c>
    </row>
    <row r="883" spans="1:11">
      <c r="A883" s="3145"/>
      <c r="B883" s="3146">
        <v>865</v>
      </c>
      <c r="C883" s="3147">
        <v>19</v>
      </c>
      <c r="D883" s="3147" t="s">
        <v>3883</v>
      </c>
      <c r="E883" s="3147">
        <v>49.28</v>
      </c>
      <c r="F883" s="3147">
        <v>3</v>
      </c>
      <c r="G883" s="3147" t="s">
        <v>3408</v>
      </c>
      <c r="H883" s="3145" t="s">
        <v>21</v>
      </c>
      <c r="I883" s="3133" t="s">
        <v>3710</v>
      </c>
      <c r="J883" s="3133">
        <f>'[3]典型户型修正-办公'!S1229</f>
        <v>72</v>
      </c>
      <c r="K883" s="3133">
        <f>'[3]典型户型修正-办公'!R1229</f>
        <v>14529</v>
      </c>
    </row>
    <row r="884" spans="1:11">
      <c r="A884" s="3145"/>
      <c r="B884" s="3146">
        <v>866</v>
      </c>
      <c r="C884" s="3147">
        <v>19</v>
      </c>
      <c r="D884" s="3147" t="s">
        <v>3884</v>
      </c>
      <c r="E884" s="3147">
        <v>48.41</v>
      </c>
      <c r="F884" s="3147">
        <v>3</v>
      </c>
      <c r="G884" s="3147" t="s">
        <v>3408</v>
      </c>
      <c r="H884" s="3145" t="s">
        <v>21</v>
      </c>
      <c r="I884" s="3133" t="s">
        <v>3710</v>
      </c>
      <c r="J884" s="3133">
        <f>'[3]典型户型修正-办公'!S1230</f>
        <v>70</v>
      </c>
      <c r="K884" s="3133">
        <f>'[3]典型户型修正-办公'!R1230</f>
        <v>14529</v>
      </c>
    </row>
    <row r="885" spans="1:11">
      <c r="A885" s="3145"/>
      <c r="B885" s="3146">
        <v>867</v>
      </c>
      <c r="C885" s="3147">
        <v>19</v>
      </c>
      <c r="D885" s="3147" t="s">
        <v>3885</v>
      </c>
      <c r="E885" s="3147">
        <v>47.44</v>
      </c>
      <c r="F885" s="3147">
        <v>3</v>
      </c>
      <c r="G885" s="3147" t="s">
        <v>3408</v>
      </c>
      <c r="H885" s="3145" t="s">
        <v>21</v>
      </c>
      <c r="I885" s="3133" t="s">
        <v>3710</v>
      </c>
      <c r="J885" s="3133">
        <f>'[3]典型户型修正-办公'!S1231</f>
        <v>69</v>
      </c>
      <c r="K885" s="3133">
        <f>'[3]典型户型修正-办公'!R1231</f>
        <v>14529</v>
      </c>
    </row>
    <row r="886" spans="1:11">
      <c r="A886" s="3145"/>
      <c r="B886" s="3146">
        <v>868</v>
      </c>
      <c r="C886" s="3147">
        <v>20</v>
      </c>
      <c r="D886" s="3147" t="s">
        <v>3886</v>
      </c>
      <c r="E886" s="3147">
        <v>52.2</v>
      </c>
      <c r="F886" s="3147">
        <v>3</v>
      </c>
      <c r="G886" s="3147" t="s">
        <v>3408</v>
      </c>
      <c r="H886" s="3145" t="s">
        <v>21</v>
      </c>
      <c r="I886" s="3133" t="s">
        <v>3710</v>
      </c>
      <c r="J886" s="3133">
        <f>'[3]典型户型修正-办公'!S1232</f>
        <v>76</v>
      </c>
      <c r="K886" s="3133">
        <f>'[3]典型户型修正-办公'!R1232</f>
        <v>14529</v>
      </c>
    </row>
    <row r="887" spans="1:11">
      <c r="A887" s="3145"/>
      <c r="B887" s="3146">
        <v>869</v>
      </c>
      <c r="C887" s="3147">
        <v>20</v>
      </c>
      <c r="D887" s="3147" t="s">
        <v>3887</v>
      </c>
      <c r="E887" s="3147">
        <v>50.33</v>
      </c>
      <c r="F887" s="3147">
        <v>3</v>
      </c>
      <c r="G887" s="3147" t="s">
        <v>3408</v>
      </c>
      <c r="H887" s="3145" t="s">
        <v>21</v>
      </c>
      <c r="I887" s="3133" t="s">
        <v>3710</v>
      </c>
      <c r="J887" s="3133">
        <f>'[3]典型户型修正-办公'!S1233</f>
        <v>73</v>
      </c>
      <c r="K887" s="3133">
        <f>'[3]典型户型修正-办公'!R1233</f>
        <v>14529</v>
      </c>
    </row>
    <row r="888" spans="1:11">
      <c r="A888" s="3145"/>
      <c r="B888" s="3146">
        <v>870</v>
      </c>
      <c r="C888" s="3147">
        <v>20</v>
      </c>
      <c r="D888" s="3147" t="s">
        <v>3888</v>
      </c>
      <c r="E888" s="3147">
        <v>50.33</v>
      </c>
      <c r="F888" s="3147">
        <v>3</v>
      </c>
      <c r="G888" s="3147" t="s">
        <v>3408</v>
      </c>
      <c r="H888" s="3145" t="s">
        <v>21</v>
      </c>
      <c r="I888" s="3133" t="s">
        <v>3710</v>
      </c>
      <c r="J888" s="3133">
        <f>'[3]典型户型修正-办公'!S1234</f>
        <v>73</v>
      </c>
      <c r="K888" s="3133">
        <f>'[3]典型户型修正-办公'!R1234</f>
        <v>14529</v>
      </c>
    </row>
    <row r="889" spans="1:11">
      <c r="A889" s="3145"/>
      <c r="B889" s="3146">
        <v>871</v>
      </c>
      <c r="C889" s="3147">
        <v>20</v>
      </c>
      <c r="D889" s="3147" t="s">
        <v>3889</v>
      </c>
      <c r="E889" s="3147">
        <v>50.33</v>
      </c>
      <c r="F889" s="3147">
        <v>3</v>
      </c>
      <c r="G889" s="3147" t="s">
        <v>3408</v>
      </c>
      <c r="H889" s="3145" t="s">
        <v>21</v>
      </c>
      <c r="I889" s="3133" t="s">
        <v>3710</v>
      </c>
      <c r="J889" s="3133">
        <f>'[3]典型户型修正-办公'!S1235</f>
        <v>73</v>
      </c>
      <c r="K889" s="3133">
        <f>'[3]典型户型修正-办公'!R1235</f>
        <v>14529</v>
      </c>
    </row>
    <row r="890" spans="1:11">
      <c r="A890" s="3145"/>
      <c r="B890" s="3146">
        <v>872</v>
      </c>
      <c r="C890" s="3147">
        <v>20</v>
      </c>
      <c r="D890" s="3147" t="s">
        <v>3890</v>
      </c>
      <c r="E890" s="3147">
        <v>50.33</v>
      </c>
      <c r="F890" s="3147">
        <v>3</v>
      </c>
      <c r="G890" s="3147" t="s">
        <v>3408</v>
      </c>
      <c r="H890" s="3145" t="s">
        <v>21</v>
      </c>
      <c r="I890" s="3133" t="s">
        <v>3710</v>
      </c>
      <c r="J890" s="3133">
        <f>'[3]典型户型修正-办公'!S1236</f>
        <v>73</v>
      </c>
      <c r="K890" s="3133">
        <f>'[3]典型户型修正-办公'!R1236</f>
        <v>14529</v>
      </c>
    </row>
    <row r="891" spans="1:11">
      <c r="A891" s="3145"/>
      <c r="B891" s="3146">
        <v>873</v>
      </c>
      <c r="C891" s="3147">
        <v>20</v>
      </c>
      <c r="D891" s="3147" t="s">
        <v>3891</v>
      </c>
      <c r="E891" s="3147">
        <v>50.33</v>
      </c>
      <c r="F891" s="3147">
        <v>3</v>
      </c>
      <c r="G891" s="3147" t="s">
        <v>3408</v>
      </c>
      <c r="H891" s="3145" t="s">
        <v>21</v>
      </c>
      <c r="I891" s="3133" t="s">
        <v>3710</v>
      </c>
      <c r="J891" s="3133">
        <f>'[3]典型户型修正-办公'!S1237</f>
        <v>73</v>
      </c>
      <c r="K891" s="3133">
        <f>'[3]典型户型修正-办公'!R1237</f>
        <v>14529</v>
      </c>
    </row>
    <row r="892" spans="1:11">
      <c r="A892" s="3145"/>
      <c r="B892" s="3146">
        <v>874</v>
      </c>
      <c r="C892" s="3147">
        <v>20</v>
      </c>
      <c r="D892" s="3147" t="s">
        <v>3892</v>
      </c>
      <c r="E892" s="3147">
        <v>50.33</v>
      </c>
      <c r="F892" s="3147">
        <v>3</v>
      </c>
      <c r="G892" s="3147" t="s">
        <v>3408</v>
      </c>
      <c r="H892" s="3145" t="s">
        <v>21</v>
      </c>
      <c r="I892" s="3133" t="s">
        <v>3710</v>
      </c>
      <c r="J892" s="3133">
        <f>'[3]典型户型修正-办公'!S1238</f>
        <v>73</v>
      </c>
      <c r="K892" s="3133">
        <f>'[3]典型户型修正-办公'!R1238</f>
        <v>14529</v>
      </c>
    </row>
    <row r="893" spans="1:11">
      <c r="A893" s="3145"/>
      <c r="B893" s="3146">
        <v>875</v>
      </c>
      <c r="C893" s="3147">
        <v>20</v>
      </c>
      <c r="D893" s="3147" t="s">
        <v>3893</v>
      </c>
      <c r="E893" s="3147">
        <v>50.33</v>
      </c>
      <c r="F893" s="3147">
        <v>3</v>
      </c>
      <c r="G893" s="3147" t="s">
        <v>3408</v>
      </c>
      <c r="H893" s="3145" t="s">
        <v>21</v>
      </c>
      <c r="I893" s="3133" t="s">
        <v>3710</v>
      </c>
      <c r="J893" s="3133">
        <f>'[3]典型户型修正-办公'!S1239</f>
        <v>73</v>
      </c>
      <c r="K893" s="3133">
        <f>'[3]典型户型修正-办公'!R1239</f>
        <v>14529</v>
      </c>
    </row>
    <row r="894" spans="1:11">
      <c r="A894" s="3145"/>
      <c r="B894" s="3146">
        <v>876</v>
      </c>
      <c r="C894" s="3147">
        <v>20</v>
      </c>
      <c r="D894" s="3147" t="s">
        <v>3894</v>
      </c>
      <c r="E894" s="3147">
        <v>50.33</v>
      </c>
      <c r="F894" s="3147">
        <v>3</v>
      </c>
      <c r="G894" s="3147" t="s">
        <v>3408</v>
      </c>
      <c r="H894" s="3145" t="s">
        <v>21</v>
      </c>
      <c r="I894" s="3133" t="s">
        <v>3710</v>
      </c>
      <c r="J894" s="3133">
        <f>'[3]典型户型修正-办公'!S1240</f>
        <v>73</v>
      </c>
      <c r="K894" s="3133">
        <f>'[3]典型户型修正-办公'!R1240</f>
        <v>14529</v>
      </c>
    </row>
    <row r="895" spans="1:11">
      <c r="A895" s="3145"/>
      <c r="B895" s="3146">
        <v>877</v>
      </c>
      <c r="C895" s="3147">
        <v>20</v>
      </c>
      <c r="D895" s="3147" t="s">
        <v>3895</v>
      </c>
      <c r="E895" s="3147">
        <v>50.33</v>
      </c>
      <c r="F895" s="3147">
        <v>3</v>
      </c>
      <c r="G895" s="3147" t="s">
        <v>3408</v>
      </c>
      <c r="H895" s="3145" t="s">
        <v>21</v>
      </c>
      <c r="I895" s="3133" t="s">
        <v>3710</v>
      </c>
      <c r="J895" s="3133">
        <f>'[3]典型户型修正-办公'!S1241</f>
        <v>73</v>
      </c>
      <c r="K895" s="3133">
        <f>'[3]典型户型修正-办公'!R1241</f>
        <v>14529</v>
      </c>
    </row>
    <row r="896" spans="1:11">
      <c r="A896" s="3145"/>
      <c r="B896" s="3146">
        <v>878</v>
      </c>
      <c r="C896" s="3147">
        <v>20</v>
      </c>
      <c r="D896" s="3147" t="s">
        <v>3896</v>
      </c>
      <c r="E896" s="3147">
        <v>50.33</v>
      </c>
      <c r="F896" s="3147">
        <v>3</v>
      </c>
      <c r="G896" s="3147" t="s">
        <v>3408</v>
      </c>
      <c r="H896" s="3145" t="s">
        <v>21</v>
      </c>
      <c r="I896" s="3133" t="s">
        <v>3710</v>
      </c>
      <c r="J896" s="3133">
        <f>'[3]典型户型修正-办公'!S1242</f>
        <v>73</v>
      </c>
      <c r="K896" s="3133">
        <f>'[3]典型户型修正-办公'!R1242</f>
        <v>14529</v>
      </c>
    </row>
    <row r="897" spans="1:11">
      <c r="A897" s="3145"/>
      <c r="B897" s="3146">
        <v>879</v>
      </c>
      <c r="C897" s="3147">
        <v>20</v>
      </c>
      <c r="D897" s="3147" t="s">
        <v>3897</v>
      </c>
      <c r="E897" s="3147">
        <v>50.33</v>
      </c>
      <c r="F897" s="3147">
        <v>3</v>
      </c>
      <c r="G897" s="3147" t="s">
        <v>3408</v>
      </c>
      <c r="H897" s="3145" t="s">
        <v>21</v>
      </c>
      <c r="I897" s="3133" t="s">
        <v>3710</v>
      </c>
      <c r="J897" s="3133">
        <f>'[3]典型户型修正-办公'!S1243</f>
        <v>73</v>
      </c>
      <c r="K897" s="3133">
        <f>'[3]典型户型修正-办公'!R1243</f>
        <v>14529</v>
      </c>
    </row>
    <row r="898" spans="1:11">
      <c r="A898" s="3145"/>
      <c r="B898" s="3146">
        <v>880</v>
      </c>
      <c r="C898" s="3147">
        <v>20</v>
      </c>
      <c r="D898" s="3147" t="s">
        <v>3898</v>
      </c>
      <c r="E898" s="3147">
        <v>50.33</v>
      </c>
      <c r="F898" s="3147">
        <v>3</v>
      </c>
      <c r="G898" s="3147" t="s">
        <v>3408</v>
      </c>
      <c r="H898" s="3145" t="s">
        <v>21</v>
      </c>
      <c r="I898" s="3133" t="s">
        <v>3710</v>
      </c>
      <c r="J898" s="3133">
        <f>'[3]典型户型修正-办公'!S1244</f>
        <v>73</v>
      </c>
      <c r="K898" s="3133">
        <f>'[3]典型户型修正-办公'!R1244</f>
        <v>14529</v>
      </c>
    </row>
    <row r="899" spans="1:11">
      <c r="A899" s="3145"/>
      <c r="B899" s="3146">
        <v>881</v>
      </c>
      <c r="C899" s="3147">
        <v>20</v>
      </c>
      <c r="D899" s="3147" t="s">
        <v>3899</v>
      </c>
      <c r="E899" s="3147">
        <v>50.33</v>
      </c>
      <c r="F899" s="3147">
        <v>3</v>
      </c>
      <c r="G899" s="3147" t="s">
        <v>3408</v>
      </c>
      <c r="H899" s="3145" t="s">
        <v>21</v>
      </c>
      <c r="I899" s="3133" t="s">
        <v>3710</v>
      </c>
      <c r="J899" s="3133">
        <f>'[3]典型户型修正-办公'!S1245</f>
        <v>73</v>
      </c>
      <c r="K899" s="3133">
        <f>'[3]典型户型修正-办公'!R1245</f>
        <v>14529</v>
      </c>
    </row>
    <row r="900" spans="1:11">
      <c r="A900" s="3145"/>
      <c r="B900" s="3146">
        <v>882</v>
      </c>
      <c r="C900" s="3147">
        <v>20</v>
      </c>
      <c r="D900" s="3147" t="s">
        <v>3900</v>
      </c>
      <c r="E900" s="3147">
        <v>50.33</v>
      </c>
      <c r="F900" s="3147">
        <v>3</v>
      </c>
      <c r="G900" s="3147" t="s">
        <v>3408</v>
      </c>
      <c r="H900" s="3145" t="s">
        <v>21</v>
      </c>
      <c r="I900" s="3133" t="s">
        <v>3710</v>
      </c>
      <c r="J900" s="3133">
        <f>'[3]典型户型修正-办公'!S1246</f>
        <v>73</v>
      </c>
      <c r="K900" s="3133">
        <f>'[3]典型户型修正-办公'!R1246</f>
        <v>14529</v>
      </c>
    </row>
    <row r="901" spans="1:11">
      <c r="A901" s="3145"/>
      <c r="B901" s="3146">
        <v>883</v>
      </c>
      <c r="C901" s="3147">
        <v>20</v>
      </c>
      <c r="D901" s="3147" t="s">
        <v>3901</v>
      </c>
      <c r="E901" s="3147">
        <v>69.77</v>
      </c>
      <c r="F901" s="3147">
        <v>3</v>
      </c>
      <c r="G901" s="3147" t="s">
        <v>3408</v>
      </c>
      <c r="H901" s="3145" t="s">
        <v>21</v>
      </c>
      <c r="I901" s="3133" t="s">
        <v>3710</v>
      </c>
      <c r="J901" s="3133">
        <f>'[3]典型户型修正-办公'!S1247</f>
        <v>102</v>
      </c>
      <c r="K901" s="3133">
        <f>'[3]典型户型修正-办公'!R1247</f>
        <v>14674</v>
      </c>
    </row>
    <row r="902" spans="1:11">
      <c r="A902" s="3145"/>
      <c r="B902" s="3146">
        <v>884</v>
      </c>
      <c r="C902" s="3147">
        <v>20</v>
      </c>
      <c r="D902" s="3147" t="s">
        <v>3902</v>
      </c>
      <c r="E902" s="3147">
        <v>38.65</v>
      </c>
      <c r="F902" s="3147">
        <v>3</v>
      </c>
      <c r="G902" s="3147" t="s">
        <v>3408</v>
      </c>
      <c r="H902" s="3145" t="s">
        <v>21</v>
      </c>
      <c r="I902" s="3133" t="s">
        <v>3710</v>
      </c>
      <c r="J902" s="3133">
        <f>'[3]典型户型修正-办公'!S1248</f>
        <v>56</v>
      </c>
      <c r="K902" s="3133">
        <f>'[3]典型户型修正-办公'!R1248</f>
        <v>14529</v>
      </c>
    </row>
    <row r="903" spans="1:11">
      <c r="A903" s="3145"/>
      <c r="B903" s="3146">
        <v>885</v>
      </c>
      <c r="C903" s="3147">
        <v>20</v>
      </c>
      <c r="D903" s="3147" t="s">
        <v>3903</v>
      </c>
      <c r="E903" s="3147">
        <v>41.99</v>
      </c>
      <c r="F903" s="3147">
        <v>3</v>
      </c>
      <c r="G903" s="3147" t="s">
        <v>3408</v>
      </c>
      <c r="H903" s="3145" t="s">
        <v>21</v>
      </c>
      <c r="I903" s="3133" t="s">
        <v>3710</v>
      </c>
      <c r="J903" s="3133">
        <f>'[3]典型户型修正-办公'!S1249</f>
        <v>61</v>
      </c>
      <c r="K903" s="3133">
        <f>'[3]典型户型修正-办公'!R1249</f>
        <v>14529</v>
      </c>
    </row>
    <row r="904" spans="1:11">
      <c r="A904" s="3145"/>
      <c r="B904" s="3146">
        <v>886</v>
      </c>
      <c r="C904" s="3147">
        <v>20</v>
      </c>
      <c r="D904" s="3147" t="s">
        <v>3904</v>
      </c>
      <c r="E904" s="3147">
        <v>44.72</v>
      </c>
      <c r="F904" s="3147">
        <v>3</v>
      </c>
      <c r="G904" s="3147" t="s">
        <v>3408</v>
      </c>
      <c r="H904" s="3145" t="s">
        <v>21</v>
      </c>
      <c r="I904" s="3133" t="s">
        <v>3710</v>
      </c>
      <c r="J904" s="3133">
        <f>'[3]典型户型修正-办公'!S1250</f>
        <v>65</v>
      </c>
      <c r="K904" s="3133">
        <f>'[3]典型户型修正-办公'!R1250</f>
        <v>14529</v>
      </c>
    </row>
    <row r="905" spans="1:11">
      <c r="A905" s="3145"/>
      <c r="B905" s="3146">
        <v>887</v>
      </c>
      <c r="C905" s="3147">
        <v>20</v>
      </c>
      <c r="D905" s="3147" t="s">
        <v>3905</v>
      </c>
      <c r="E905" s="3147">
        <v>46.83</v>
      </c>
      <c r="F905" s="3147">
        <v>3</v>
      </c>
      <c r="G905" s="3147" t="s">
        <v>3408</v>
      </c>
      <c r="H905" s="3145" t="s">
        <v>21</v>
      </c>
      <c r="I905" s="3133" t="s">
        <v>3710</v>
      </c>
      <c r="J905" s="3133">
        <f>'[3]典型户型修正-办公'!S1251</f>
        <v>68</v>
      </c>
      <c r="K905" s="3133">
        <f>'[3]典型户型修正-办公'!R1251</f>
        <v>14529</v>
      </c>
    </row>
    <row r="906" spans="1:11">
      <c r="A906" s="3145"/>
      <c r="B906" s="3146">
        <v>888</v>
      </c>
      <c r="C906" s="3147">
        <v>20</v>
      </c>
      <c r="D906" s="3147" t="s">
        <v>3906</v>
      </c>
      <c r="E906" s="3147">
        <v>48.33</v>
      </c>
      <c r="F906" s="3147">
        <v>3</v>
      </c>
      <c r="G906" s="3147" t="s">
        <v>3408</v>
      </c>
      <c r="H906" s="3145" t="s">
        <v>21</v>
      </c>
      <c r="I906" s="3133" t="s">
        <v>3710</v>
      </c>
      <c r="J906" s="3133">
        <f>'[3]典型户型修正-办公'!S1252</f>
        <v>70</v>
      </c>
      <c r="K906" s="3133">
        <f>'[3]典型户型修正-办公'!R1252</f>
        <v>14529</v>
      </c>
    </row>
    <row r="907" spans="1:11">
      <c r="A907" s="3145"/>
      <c r="B907" s="3146">
        <v>889</v>
      </c>
      <c r="C907" s="3147">
        <v>20</v>
      </c>
      <c r="D907" s="3147" t="s">
        <v>3907</v>
      </c>
      <c r="E907" s="3147">
        <v>49.3</v>
      </c>
      <c r="F907" s="3147">
        <v>3</v>
      </c>
      <c r="G907" s="3147" t="s">
        <v>3408</v>
      </c>
      <c r="H907" s="3145" t="s">
        <v>21</v>
      </c>
      <c r="I907" s="3133" t="s">
        <v>3710</v>
      </c>
      <c r="J907" s="3133">
        <f>'[3]典型户型修正-办公'!S1253</f>
        <v>72</v>
      </c>
      <c r="K907" s="3133">
        <f>'[3]典型户型修正-办公'!R1253</f>
        <v>14529</v>
      </c>
    </row>
    <row r="908" spans="1:11">
      <c r="A908" s="3145"/>
      <c r="B908" s="3146">
        <v>890</v>
      </c>
      <c r="C908" s="3147">
        <v>20</v>
      </c>
      <c r="D908" s="3147" t="s">
        <v>3908</v>
      </c>
      <c r="E908" s="3147">
        <v>49.59</v>
      </c>
      <c r="F908" s="3147">
        <v>3</v>
      </c>
      <c r="G908" s="3147" t="s">
        <v>3408</v>
      </c>
      <c r="H908" s="3145" t="s">
        <v>21</v>
      </c>
      <c r="I908" s="3133" t="s">
        <v>3710</v>
      </c>
      <c r="J908" s="3133">
        <f>'[3]典型户型修正-办公'!S1254</f>
        <v>72</v>
      </c>
      <c r="K908" s="3133">
        <f>'[3]典型户型修正-办公'!R1254</f>
        <v>14529</v>
      </c>
    </row>
    <row r="909" spans="1:11">
      <c r="A909" s="3145"/>
      <c r="B909" s="3146">
        <v>891</v>
      </c>
      <c r="C909" s="3147">
        <v>20</v>
      </c>
      <c r="D909" s="3147" t="s">
        <v>3909</v>
      </c>
      <c r="E909" s="3147">
        <v>49.28</v>
      </c>
      <c r="F909" s="3147">
        <v>3</v>
      </c>
      <c r="G909" s="3147" t="s">
        <v>3408</v>
      </c>
      <c r="H909" s="3145" t="s">
        <v>21</v>
      </c>
      <c r="I909" s="3133" t="s">
        <v>3710</v>
      </c>
      <c r="J909" s="3133">
        <f>'[3]典型户型修正-办公'!S1255</f>
        <v>72</v>
      </c>
      <c r="K909" s="3133">
        <f>'[3]典型户型修正-办公'!R1255</f>
        <v>14529</v>
      </c>
    </row>
    <row r="910" spans="1:11">
      <c r="A910" s="3145"/>
      <c r="B910" s="3146">
        <v>892</v>
      </c>
      <c r="C910" s="3147">
        <v>20</v>
      </c>
      <c r="D910" s="3147" t="s">
        <v>3910</v>
      </c>
      <c r="E910" s="3147">
        <v>48.41</v>
      </c>
      <c r="F910" s="3147">
        <v>3</v>
      </c>
      <c r="G910" s="3147" t="s">
        <v>3408</v>
      </c>
      <c r="H910" s="3145" t="s">
        <v>21</v>
      </c>
      <c r="I910" s="3133" t="s">
        <v>3710</v>
      </c>
      <c r="J910" s="3133">
        <f>'[3]典型户型修正-办公'!S1256</f>
        <v>70</v>
      </c>
      <c r="K910" s="3133">
        <f>'[3]典型户型修正-办公'!R1256</f>
        <v>14529</v>
      </c>
    </row>
    <row r="911" spans="1:11">
      <c r="A911" s="3145"/>
      <c r="B911" s="3146">
        <v>893</v>
      </c>
      <c r="C911" s="3147">
        <v>20</v>
      </c>
      <c r="D911" s="3147" t="s">
        <v>3911</v>
      </c>
      <c r="E911" s="3147">
        <v>47.44</v>
      </c>
      <c r="F911" s="3147">
        <v>3</v>
      </c>
      <c r="G911" s="3147" t="s">
        <v>3408</v>
      </c>
      <c r="H911" s="3145" t="s">
        <v>21</v>
      </c>
      <c r="I911" s="3133" t="s">
        <v>3710</v>
      </c>
      <c r="J911" s="3133">
        <f>'[3]典型户型修正-办公'!S1257</f>
        <v>69</v>
      </c>
      <c r="K911" s="3133">
        <f>'[3]典型户型修正-办公'!R1257</f>
        <v>14529</v>
      </c>
    </row>
    <row r="912" spans="1:11">
      <c r="A912" s="3145"/>
      <c r="B912" s="3146">
        <v>894</v>
      </c>
      <c r="C912" s="3147">
        <v>21</v>
      </c>
      <c r="D912" s="3147" t="s">
        <v>3912</v>
      </c>
      <c r="E912" s="3147">
        <v>52.2</v>
      </c>
      <c r="F912" s="3147">
        <v>3</v>
      </c>
      <c r="G912" s="3147" t="s">
        <v>3408</v>
      </c>
      <c r="H912" s="3145" t="s">
        <v>21</v>
      </c>
      <c r="I912" s="3133" t="s">
        <v>3710</v>
      </c>
      <c r="J912" s="3133">
        <f>'[3]典型户型修正-办公'!S1258</f>
        <v>76</v>
      </c>
      <c r="K912" s="3133">
        <f>'[3]典型户型修正-办公'!R1258</f>
        <v>14529</v>
      </c>
    </row>
    <row r="913" spans="1:11">
      <c r="A913" s="3145"/>
      <c r="B913" s="3146">
        <v>895</v>
      </c>
      <c r="C913" s="3147">
        <v>21</v>
      </c>
      <c r="D913" s="3147" t="s">
        <v>3913</v>
      </c>
      <c r="E913" s="3147">
        <v>50.33</v>
      </c>
      <c r="F913" s="3147">
        <v>3</v>
      </c>
      <c r="G913" s="3147" t="s">
        <v>3408</v>
      </c>
      <c r="H913" s="3145" t="s">
        <v>21</v>
      </c>
      <c r="I913" s="3133" t="s">
        <v>3710</v>
      </c>
      <c r="J913" s="3133">
        <f>'[3]典型户型修正-办公'!S1259</f>
        <v>73</v>
      </c>
      <c r="K913" s="3133">
        <f>'[3]典型户型修正-办公'!R1259</f>
        <v>14529</v>
      </c>
    </row>
    <row r="914" spans="1:11">
      <c r="A914" s="3145"/>
      <c r="B914" s="3146">
        <v>896</v>
      </c>
      <c r="C914" s="3147">
        <v>21</v>
      </c>
      <c r="D914" s="3147" t="s">
        <v>3914</v>
      </c>
      <c r="E914" s="3147">
        <v>50.33</v>
      </c>
      <c r="F914" s="3147">
        <v>3</v>
      </c>
      <c r="G914" s="3147" t="s">
        <v>3408</v>
      </c>
      <c r="H914" s="3145" t="s">
        <v>21</v>
      </c>
      <c r="I914" s="3133" t="s">
        <v>3710</v>
      </c>
      <c r="J914" s="3133">
        <f>'[3]典型户型修正-办公'!S1260</f>
        <v>73</v>
      </c>
      <c r="K914" s="3133">
        <f>'[3]典型户型修正-办公'!R1260</f>
        <v>14529</v>
      </c>
    </row>
    <row r="915" spans="1:11">
      <c r="A915" s="3145"/>
      <c r="B915" s="3146">
        <v>897</v>
      </c>
      <c r="C915" s="3147">
        <v>21</v>
      </c>
      <c r="D915" s="3147" t="s">
        <v>3915</v>
      </c>
      <c r="E915" s="3147">
        <v>50.33</v>
      </c>
      <c r="F915" s="3147">
        <v>3</v>
      </c>
      <c r="G915" s="3147" t="s">
        <v>3408</v>
      </c>
      <c r="H915" s="3145" t="s">
        <v>21</v>
      </c>
      <c r="I915" s="3133" t="s">
        <v>3710</v>
      </c>
      <c r="J915" s="3133">
        <f>'[3]典型户型修正-办公'!S1261</f>
        <v>73</v>
      </c>
      <c r="K915" s="3133">
        <f>'[3]典型户型修正-办公'!R1261</f>
        <v>14529</v>
      </c>
    </row>
    <row r="916" spans="1:11">
      <c r="A916" s="3145"/>
      <c r="B916" s="3146">
        <v>898</v>
      </c>
      <c r="C916" s="3147">
        <v>21</v>
      </c>
      <c r="D916" s="3147" t="s">
        <v>3916</v>
      </c>
      <c r="E916" s="3147">
        <v>50.33</v>
      </c>
      <c r="F916" s="3147">
        <v>3</v>
      </c>
      <c r="G916" s="3147" t="s">
        <v>3408</v>
      </c>
      <c r="H916" s="3145" t="s">
        <v>21</v>
      </c>
      <c r="I916" s="3133" t="s">
        <v>3710</v>
      </c>
      <c r="J916" s="3133">
        <f>'[3]典型户型修正-办公'!S1262</f>
        <v>73</v>
      </c>
      <c r="K916" s="3133">
        <f>'[3]典型户型修正-办公'!R1262</f>
        <v>14529</v>
      </c>
    </row>
    <row r="917" spans="1:11">
      <c r="A917" s="3145"/>
      <c r="B917" s="3146">
        <v>899</v>
      </c>
      <c r="C917" s="3147">
        <v>21</v>
      </c>
      <c r="D917" s="3147" t="s">
        <v>3917</v>
      </c>
      <c r="E917" s="3147">
        <v>50.33</v>
      </c>
      <c r="F917" s="3147">
        <v>3</v>
      </c>
      <c r="G917" s="3147" t="s">
        <v>3408</v>
      </c>
      <c r="H917" s="3145" t="s">
        <v>21</v>
      </c>
      <c r="I917" s="3133" t="s">
        <v>3710</v>
      </c>
      <c r="J917" s="3133">
        <f>'[3]典型户型修正-办公'!S1263</f>
        <v>73</v>
      </c>
      <c r="K917" s="3133">
        <f>'[3]典型户型修正-办公'!R1263</f>
        <v>14529</v>
      </c>
    </row>
    <row r="918" spans="1:11">
      <c r="A918" s="3145"/>
      <c r="B918" s="3146">
        <v>900</v>
      </c>
      <c r="C918" s="3147">
        <v>21</v>
      </c>
      <c r="D918" s="3147" t="s">
        <v>3918</v>
      </c>
      <c r="E918" s="3147">
        <v>50.33</v>
      </c>
      <c r="F918" s="3147">
        <v>3</v>
      </c>
      <c r="G918" s="3147" t="s">
        <v>3408</v>
      </c>
      <c r="H918" s="3145" t="s">
        <v>21</v>
      </c>
      <c r="I918" s="3133" t="s">
        <v>3710</v>
      </c>
      <c r="J918" s="3133">
        <f>'[3]典型户型修正-办公'!S1264</f>
        <v>73</v>
      </c>
      <c r="K918" s="3133">
        <f>'[3]典型户型修正-办公'!R1264</f>
        <v>14529</v>
      </c>
    </row>
    <row r="919" spans="1:11">
      <c r="A919" s="3145"/>
      <c r="B919" s="3146">
        <v>901</v>
      </c>
      <c r="C919" s="3147">
        <v>21</v>
      </c>
      <c r="D919" s="3147" t="s">
        <v>3919</v>
      </c>
      <c r="E919" s="3147">
        <v>50.33</v>
      </c>
      <c r="F919" s="3147">
        <v>3</v>
      </c>
      <c r="G919" s="3147" t="s">
        <v>3408</v>
      </c>
      <c r="H919" s="3145" t="s">
        <v>21</v>
      </c>
      <c r="I919" s="3133" t="s">
        <v>3710</v>
      </c>
      <c r="J919" s="3133">
        <f>'[3]典型户型修正-办公'!S1265</f>
        <v>73</v>
      </c>
      <c r="K919" s="3133">
        <f>'[3]典型户型修正-办公'!R1265</f>
        <v>14529</v>
      </c>
    </row>
    <row r="920" spans="1:11">
      <c r="A920" s="3145"/>
      <c r="B920" s="3146">
        <v>902</v>
      </c>
      <c r="C920" s="3147">
        <v>21</v>
      </c>
      <c r="D920" s="3147" t="s">
        <v>3920</v>
      </c>
      <c r="E920" s="3147">
        <v>50.33</v>
      </c>
      <c r="F920" s="3147">
        <v>3</v>
      </c>
      <c r="G920" s="3147" t="s">
        <v>3408</v>
      </c>
      <c r="H920" s="3145" t="s">
        <v>21</v>
      </c>
      <c r="I920" s="3133" t="s">
        <v>3710</v>
      </c>
      <c r="J920" s="3133">
        <f>'[3]典型户型修正-办公'!S1266</f>
        <v>73</v>
      </c>
      <c r="K920" s="3133">
        <f>'[3]典型户型修正-办公'!R1266</f>
        <v>14529</v>
      </c>
    </row>
    <row r="921" spans="1:11">
      <c r="A921" s="3145"/>
      <c r="B921" s="3146">
        <v>903</v>
      </c>
      <c r="C921" s="3147">
        <v>21</v>
      </c>
      <c r="D921" s="3147" t="s">
        <v>3921</v>
      </c>
      <c r="E921" s="3147">
        <v>50.33</v>
      </c>
      <c r="F921" s="3147">
        <v>3</v>
      </c>
      <c r="G921" s="3147" t="s">
        <v>3408</v>
      </c>
      <c r="H921" s="3145" t="s">
        <v>21</v>
      </c>
      <c r="I921" s="3133" t="s">
        <v>3710</v>
      </c>
      <c r="J921" s="3133">
        <f>'[3]典型户型修正-办公'!S1267</f>
        <v>73</v>
      </c>
      <c r="K921" s="3133">
        <f>'[3]典型户型修正-办公'!R1267</f>
        <v>14529</v>
      </c>
    </row>
    <row r="922" spans="1:11">
      <c r="A922" s="3145"/>
      <c r="B922" s="3146">
        <v>904</v>
      </c>
      <c r="C922" s="3147">
        <v>21</v>
      </c>
      <c r="D922" s="3147" t="s">
        <v>3922</v>
      </c>
      <c r="E922" s="3147">
        <v>50.33</v>
      </c>
      <c r="F922" s="3147">
        <v>3</v>
      </c>
      <c r="G922" s="3147" t="s">
        <v>3408</v>
      </c>
      <c r="H922" s="3145" t="s">
        <v>21</v>
      </c>
      <c r="I922" s="3133" t="s">
        <v>3710</v>
      </c>
      <c r="J922" s="3133">
        <f>'[3]典型户型修正-办公'!S1268</f>
        <v>73</v>
      </c>
      <c r="K922" s="3133">
        <f>'[3]典型户型修正-办公'!R1268</f>
        <v>14529</v>
      </c>
    </row>
    <row r="923" spans="1:11">
      <c r="A923" s="3145"/>
      <c r="B923" s="3146">
        <v>905</v>
      </c>
      <c r="C923" s="3147">
        <v>21</v>
      </c>
      <c r="D923" s="3147" t="s">
        <v>3923</v>
      </c>
      <c r="E923" s="3147">
        <v>50.33</v>
      </c>
      <c r="F923" s="3147">
        <v>3</v>
      </c>
      <c r="G923" s="3147" t="s">
        <v>3408</v>
      </c>
      <c r="H923" s="3145" t="s">
        <v>21</v>
      </c>
      <c r="I923" s="3133" t="s">
        <v>3710</v>
      </c>
      <c r="J923" s="3133">
        <f>'[3]典型户型修正-办公'!S1269</f>
        <v>73</v>
      </c>
      <c r="K923" s="3133">
        <f>'[3]典型户型修正-办公'!R1269</f>
        <v>14529</v>
      </c>
    </row>
    <row r="924" spans="1:11">
      <c r="A924" s="3145"/>
      <c r="B924" s="3146">
        <v>906</v>
      </c>
      <c r="C924" s="3147">
        <v>21</v>
      </c>
      <c r="D924" s="3147" t="s">
        <v>3924</v>
      </c>
      <c r="E924" s="3147">
        <v>50.33</v>
      </c>
      <c r="F924" s="3147">
        <v>3</v>
      </c>
      <c r="G924" s="3147" t="s">
        <v>3408</v>
      </c>
      <c r="H924" s="3145" t="s">
        <v>21</v>
      </c>
      <c r="I924" s="3133" t="s">
        <v>3710</v>
      </c>
      <c r="J924" s="3133">
        <f>'[3]典型户型修正-办公'!S1270</f>
        <v>73</v>
      </c>
      <c r="K924" s="3133">
        <f>'[3]典型户型修正-办公'!R1270</f>
        <v>14529</v>
      </c>
    </row>
    <row r="925" spans="1:11">
      <c r="A925" s="3145"/>
      <c r="B925" s="3146">
        <v>907</v>
      </c>
      <c r="C925" s="3147">
        <v>21</v>
      </c>
      <c r="D925" s="3147" t="s">
        <v>3925</v>
      </c>
      <c r="E925" s="3147">
        <v>50.33</v>
      </c>
      <c r="F925" s="3147">
        <v>3</v>
      </c>
      <c r="G925" s="3147" t="s">
        <v>3408</v>
      </c>
      <c r="H925" s="3145" t="s">
        <v>21</v>
      </c>
      <c r="I925" s="3133" t="s">
        <v>3710</v>
      </c>
      <c r="J925" s="3133">
        <f>'[3]典型户型修正-办公'!S1271</f>
        <v>73</v>
      </c>
      <c r="K925" s="3133">
        <f>'[3]典型户型修正-办公'!R1271</f>
        <v>14529</v>
      </c>
    </row>
    <row r="926" spans="1:11">
      <c r="A926" s="3145"/>
      <c r="B926" s="3146">
        <v>908</v>
      </c>
      <c r="C926" s="3147">
        <v>21</v>
      </c>
      <c r="D926" s="3147" t="s">
        <v>3926</v>
      </c>
      <c r="E926" s="3147">
        <v>50.33</v>
      </c>
      <c r="F926" s="3147">
        <v>3</v>
      </c>
      <c r="G926" s="3147" t="s">
        <v>3408</v>
      </c>
      <c r="H926" s="3145" t="s">
        <v>21</v>
      </c>
      <c r="I926" s="3133" t="s">
        <v>3710</v>
      </c>
      <c r="J926" s="3133">
        <f>'[3]典型户型修正-办公'!S1272</f>
        <v>73</v>
      </c>
      <c r="K926" s="3133">
        <f>'[3]典型户型修正-办公'!R1272</f>
        <v>14529</v>
      </c>
    </row>
    <row r="927" spans="1:11">
      <c r="A927" s="3145"/>
      <c r="B927" s="3146">
        <v>909</v>
      </c>
      <c r="C927" s="3147">
        <v>21</v>
      </c>
      <c r="D927" s="3147" t="s">
        <v>3927</v>
      </c>
      <c r="E927" s="3147">
        <v>69.77</v>
      </c>
      <c r="F927" s="3147">
        <v>3</v>
      </c>
      <c r="G927" s="3147" t="s">
        <v>3408</v>
      </c>
      <c r="H927" s="3145" t="s">
        <v>21</v>
      </c>
      <c r="I927" s="3133" t="s">
        <v>3710</v>
      </c>
      <c r="J927" s="3133">
        <f>'[3]典型户型修正-办公'!S1273</f>
        <v>102</v>
      </c>
      <c r="K927" s="3133">
        <f>'[3]典型户型修正-办公'!R1273</f>
        <v>14674</v>
      </c>
    </row>
    <row r="928" spans="1:11">
      <c r="A928" s="3145"/>
      <c r="B928" s="3146">
        <v>910</v>
      </c>
      <c r="C928" s="3147">
        <v>21</v>
      </c>
      <c r="D928" s="3147" t="s">
        <v>3928</v>
      </c>
      <c r="E928" s="3147">
        <v>38.65</v>
      </c>
      <c r="F928" s="3147">
        <v>3</v>
      </c>
      <c r="G928" s="3147" t="s">
        <v>3408</v>
      </c>
      <c r="H928" s="3145" t="s">
        <v>21</v>
      </c>
      <c r="I928" s="3133" t="s">
        <v>3710</v>
      </c>
      <c r="J928" s="3133">
        <f>'[3]典型户型修正-办公'!S1274</f>
        <v>56</v>
      </c>
      <c r="K928" s="3133">
        <f>'[3]典型户型修正-办公'!R1274</f>
        <v>14529</v>
      </c>
    </row>
    <row r="929" spans="1:11">
      <c r="A929" s="3145"/>
      <c r="B929" s="3146">
        <v>911</v>
      </c>
      <c r="C929" s="3147">
        <v>21</v>
      </c>
      <c r="D929" s="3147" t="s">
        <v>3929</v>
      </c>
      <c r="E929" s="3147">
        <v>41.99</v>
      </c>
      <c r="F929" s="3147">
        <v>3</v>
      </c>
      <c r="G929" s="3147" t="s">
        <v>3408</v>
      </c>
      <c r="H929" s="3145" t="s">
        <v>21</v>
      </c>
      <c r="I929" s="3133" t="s">
        <v>3710</v>
      </c>
      <c r="J929" s="3133">
        <f>'[3]典型户型修正-办公'!S1275</f>
        <v>61</v>
      </c>
      <c r="K929" s="3133">
        <f>'[3]典型户型修正-办公'!R1275</f>
        <v>14529</v>
      </c>
    </row>
    <row r="930" spans="1:11">
      <c r="A930" s="3145"/>
      <c r="B930" s="3146">
        <v>912</v>
      </c>
      <c r="C930" s="3147">
        <v>21</v>
      </c>
      <c r="D930" s="3147" t="s">
        <v>3930</v>
      </c>
      <c r="E930" s="3147">
        <v>44.72</v>
      </c>
      <c r="F930" s="3147">
        <v>3</v>
      </c>
      <c r="G930" s="3147" t="s">
        <v>3408</v>
      </c>
      <c r="H930" s="3145" t="s">
        <v>21</v>
      </c>
      <c r="I930" s="3133" t="s">
        <v>3710</v>
      </c>
      <c r="J930" s="3133">
        <f>'[3]典型户型修正-办公'!S1276</f>
        <v>65</v>
      </c>
      <c r="K930" s="3133">
        <f>'[3]典型户型修正-办公'!R1276</f>
        <v>14529</v>
      </c>
    </row>
    <row r="931" spans="1:11">
      <c r="A931" s="3145"/>
      <c r="B931" s="3146">
        <v>913</v>
      </c>
      <c r="C931" s="3147">
        <v>21</v>
      </c>
      <c r="D931" s="3147" t="s">
        <v>3931</v>
      </c>
      <c r="E931" s="3147">
        <v>46.83</v>
      </c>
      <c r="F931" s="3147">
        <v>3</v>
      </c>
      <c r="G931" s="3147" t="s">
        <v>3408</v>
      </c>
      <c r="H931" s="3145" t="s">
        <v>21</v>
      </c>
      <c r="I931" s="3133" t="s">
        <v>3710</v>
      </c>
      <c r="J931" s="3133">
        <f>'[3]典型户型修正-办公'!S1277</f>
        <v>68</v>
      </c>
      <c r="K931" s="3133">
        <f>'[3]典型户型修正-办公'!R1277</f>
        <v>14529</v>
      </c>
    </row>
    <row r="932" spans="1:11">
      <c r="A932" s="3145"/>
      <c r="B932" s="3146">
        <v>914</v>
      </c>
      <c r="C932" s="3147">
        <v>21</v>
      </c>
      <c r="D932" s="3147" t="s">
        <v>3932</v>
      </c>
      <c r="E932" s="3147">
        <v>48.33</v>
      </c>
      <c r="F932" s="3147">
        <v>3</v>
      </c>
      <c r="G932" s="3147" t="s">
        <v>3408</v>
      </c>
      <c r="H932" s="3145" t="s">
        <v>21</v>
      </c>
      <c r="I932" s="3133" t="s">
        <v>3710</v>
      </c>
      <c r="J932" s="3133">
        <f>'[3]典型户型修正-办公'!S1278</f>
        <v>70</v>
      </c>
      <c r="K932" s="3133">
        <f>'[3]典型户型修正-办公'!R1278</f>
        <v>14529</v>
      </c>
    </row>
    <row r="933" spans="1:11">
      <c r="A933" s="3145"/>
      <c r="B933" s="3146">
        <v>915</v>
      </c>
      <c r="C933" s="3147">
        <v>21</v>
      </c>
      <c r="D933" s="3147" t="s">
        <v>3933</v>
      </c>
      <c r="E933" s="3147">
        <v>49.3</v>
      </c>
      <c r="F933" s="3147">
        <v>3</v>
      </c>
      <c r="G933" s="3147" t="s">
        <v>3408</v>
      </c>
      <c r="H933" s="3145" t="s">
        <v>21</v>
      </c>
      <c r="I933" s="3133" t="s">
        <v>3710</v>
      </c>
      <c r="J933" s="3133">
        <f>'[3]典型户型修正-办公'!S1279</f>
        <v>72</v>
      </c>
      <c r="K933" s="3133">
        <f>'[3]典型户型修正-办公'!R1279</f>
        <v>14529</v>
      </c>
    </row>
    <row r="934" spans="1:11">
      <c r="A934" s="3145"/>
      <c r="B934" s="3146">
        <v>916</v>
      </c>
      <c r="C934" s="3147">
        <v>21</v>
      </c>
      <c r="D934" s="3147" t="s">
        <v>3934</v>
      </c>
      <c r="E934" s="3147">
        <v>49.59</v>
      </c>
      <c r="F934" s="3147">
        <v>3</v>
      </c>
      <c r="G934" s="3147" t="s">
        <v>3408</v>
      </c>
      <c r="H934" s="3145" t="s">
        <v>21</v>
      </c>
      <c r="I934" s="3133" t="s">
        <v>3710</v>
      </c>
      <c r="J934" s="3133">
        <f>'[3]典型户型修正-办公'!S1280</f>
        <v>72</v>
      </c>
      <c r="K934" s="3133">
        <f>'[3]典型户型修正-办公'!R1280</f>
        <v>14529</v>
      </c>
    </row>
    <row r="935" spans="1:11">
      <c r="A935" s="3145"/>
      <c r="B935" s="3146">
        <v>917</v>
      </c>
      <c r="C935" s="3147">
        <v>21</v>
      </c>
      <c r="D935" s="3147" t="s">
        <v>3935</v>
      </c>
      <c r="E935" s="3147">
        <v>49.28</v>
      </c>
      <c r="F935" s="3147">
        <v>3</v>
      </c>
      <c r="G935" s="3147" t="s">
        <v>3408</v>
      </c>
      <c r="H935" s="3145" t="s">
        <v>21</v>
      </c>
      <c r="I935" s="3133" t="s">
        <v>3710</v>
      </c>
      <c r="J935" s="3133">
        <f>'[3]典型户型修正-办公'!S1281</f>
        <v>72</v>
      </c>
      <c r="K935" s="3133">
        <f>'[3]典型户型修正-办公'!R1281</f>
        <v>14529</v>
      </c>
    </row>
    <row r="936" spans="1:11">
      <c r="A936" s="3145"/>
      <c r="B936" s="3146">
        <v>918</v>
      </c>
      <c r="C936" s="3147">
        <v>21</v>
      </c>
      <c r="D936" s="3147" t="s">
        <v>3936</v>
      </c>
      <c r="E936" s="3147">
        <v>48.41</v>
      </c>
      <c r="F936" s="3147">
        <v>3</v>
      </c>
      <c r="G936" s="3147" t="s">
        <v>3408</v>
      </c>
      <c r="H936" s="3145" t="s">
        <v>21</v>
      </c>
      <c r="I936" s="3133" t="s">
        <v>3710</v>
      </c>
      <c r="J936" s="3133">
        <f>'[3]典型户型修正-办公'!S1282</f>
        <v>70</v>
      </c>
      <c r="K936" s="3133">
        <f>'[3]典型户型修正-办公'!R1282</f>
        <v>14529</v>
      </c>
    </row>
    <row r="937" spans="1:11">
      <c r="A937" s="3145"/>
      <c r="B937" s="3146">
        <v>919</v>
      </c>
      <c r="C937" s="3147">
        <v>21</v>
      </c>
      <c r="D937" s="3147" t="s">
        <v>3937</v>
      </c>
      <c r="E937" s="3147">
        <v>47.44</v>
      </c>
      <c r="F937" s="3147">
        <v>3</v>
      </c>
      <c r="G937" s="3147" t="s">
        <v>3408</v>
      </c>
      <c r="H937" s="3145" t="s">
        <v>21</v>
      </c>
      <c r="I937" s="3133" t="s">
        <v>3710</v>
      </c>
      <c r="J937" s="3133">
        <f>'[3]典型户型修正-办公'!S1283</f>
        <v>69</v>
      </c>
      <c r="K937" s="3133">
        <f>'[3]典型户型修正-办公'!R1283</f>
        <v>14529</v>
      </c>
    </row>
    <row r="938" spans="1:11">
      <c r="A938" s="3145"/>
      <c r="B938" s="3146">
        <v>920</v>
      </c>
      <c r="C938" s="3147">
        <v>22</v>
      </c>
      <c r="D938" s="3147" t="s">
        <v>3938</v>
      </c>
      <c r="E938" s="3147">
        <v>52.2</v>
      </c>
      <c r="F938" s="3147">
        <v>3</v>
      </c>
      <c r="G938" s="3147" t="s">
        <v>3408</v>
      </c>
      <c r="H938" s="3145" t="s">
        <v>21</v>
      </c>
      <c r="I938" s="3133" t="s">
        <v>3710</v>
      </c>
      <c r="J938" s="3133">
        <f>'[3]典型户型修正-办公'!S1284</f>
        <v>76</v>
      </c>
      <c r="K938" s="3133">
        <f>'[3]典型户型修正-办公'!R1284</f>
        <v>14529</v>
      </c>
    </row>
    <row r="939" spans="1:11">
      <c r="A939" s="3145"/>
      <c r="B939" s="3146">
        <v>921</v>
      </c>
      <c r="C939" s="3147">
        <v>22</v>
      </c>
      <c r="D939" s="3147" t="s">
        <v>3939</v>
      </c>
      <c r="E939" s="3147">
        <v>50.33</v>
      </c>
      <c r="F939" s="3147">
        <v>3</v>
      </c>
      <c r="G939" s="3147" t="s">
        <v>3408</v>
      </c>
      <c r="H939" s="3145" t="s">
        <v>21</v>
      </c>
      <c r="I939" s="3133" t="s">
        <v>3710</v>
      </c>
      <c r="J939" s="3133">
        <f>'[3]典型户型修正-办公'!S1285</f>
        <v>73</v>
      </c>
      <c r="K939" s="3133">
        <f>'[3]典型户型修正-办公'!R1285</f>
        <v>14529</v>
      </c>
    </row>
    <row r="940" spans="1:11">
      <c r="A940" s="3145"/>
      <c r="B940" s="3146">
        <v>922</v>
      </c>
      <c r="C940" s="3147">
        <v>22</v>
      </c>
      <c r="D940" s="3147" t="s">
        <v>3940</v>
      </c>
      <c r="E940" s="3147">
        <v>50.33</v>
      </c>
      <c r="F940" s="3147">
        <v>3</v>
      </c>
      <c r="G940" s="3147" t="s">
        <v>3408</v>
      </c>
      <c r="H940" s="3145" t="s">
        <v>21</v>
      </c>
      <c r="I940" s="3133" t="s">
        <v>3710</v>
      </c>
      <c r="J940" s="3133">
        <f>'[3]典型户型修正-办公'!S1286</f>
        <v>73</v>
      </c>
      <c r="K940" s="3133">
        <f>'[3]典型户型修正-办公'!R1286</f>
        <v>14529</v>
      </c>
    </row>
    <row r="941" spans="1:11">
      <c r="A941" s="3145"/>
      <c r="B941" s="3146">
        <v>923</v>
      </c>
      <c r="C941" s="3147">
        <v>22</v>
      </c>
      <c r="D941" s="3147" t="s">
        <v>3941</v>
      </c>
      <c r="E941" s="3147">
        <v>50.33</v>
      </c>
      <c r="F941" s="3147">
        <v>3</v>
      </c>
      <c r="G941" s="3147" t="s">
        <v>3408</v>
      </c>
      <c r="H941" s="3145" t="s">
        <v>21</v>
      </c>
      <c r="I941" s="3133" t="s">
        <v>3710</v>
      </c>
      <c r="J941" s="3133">
        <f>'[3]典型户型修正-办公'!S1287</f>
        <v>73</v>
      </c>
      <c r="K941" s="3133">
        <f>'[3]典型户型修正-办公'!R1287</f>
        <v>14529</v>
      </c>
    </row>
    <row r="942" spans="1:11">
      <c r="A942" s="3145"/>
      <c r="B942" s="3146">
        <v>924</v>
      </c>
      <c r="C942" s="3147">
        <v>22</v>
      </c>
      <c r="D942" s="3147" t="s">
        <v>3942</v>
      </c>
      <c r="E942" s="3147">
        <v>50.33</v>
      </c>
      <c r="F942" s="3147">
        <v>3</v>
      </c>
      <c r="G942" s="3147" t="s">
        <v>3408</v>
      </c>
      <c r="H942" s="3145" t="s">
        <v>21</v>
      </c>
      <c r="I942" s="3133" t="s">
        <v>3710</v>
      </c>
      <c r="J942" s="3133">
        <f>'[3]典型户型修正-办公'!S1288</f>
        <v>73</v>
      </c>
      <c r="K942" s="3133">
        <f>'[3]典型户型修正-办公'!R1288</f>
        <v>14529</v>
      </c>
    </row>
    <row r="943" spans="1:11">
      <c r="A943" s="3145"/>
      <c r="B943" s="3146">
        <v>925</v>
      </c>
      <c r="C943" s="3147">
        <v>22</v>
      </c>
      <c r="D943" s="3147" t="s">
        <v>3943</v>
      </c>
      <c r="E943" s="3147">
        <v>50.33</v>
      </c>
      <c r="F943" s="3147">
        <v>3</v>
      </c>
      <c r="G943" s="3147" t="s">
        <v>3408</v>
      </c>
      <c r="H943" s="3145" t="s">
        <v>21</v>
      </c>
      <c r="I943" s="3133" t="s">
        <v>3710</v>
      </c>
      <c r="J943" s="3133">
        <f>'[3]典型户型修正-办公'!S1289</f>
        <v>73</v>
      </c>
      <c r="K943" s="3133">
        <f>'[3]典型户型修正-办公'!R1289</f>
        <v>14529</v>
      </c>
    </row>
    <row r="944" spans="1:11">
      <c r="A944" s="3145"/>
      <c r="B944" s="3146">
        <v>926</v>
      </c>
      <c r="C944" s="3147">
        <v>22</v>
      </c>
      <c r="D944" s="3147" t="s">
        <v>3944</v>
      </c>
      <c r="E944" s="3147">
        <v>50.33</v>
      </c>
      <c r="F944" s="3147">
        <v>3</v>
      </c>
      <c r="G944" s="3147" t="s">
        <v>3408</v>
      </c>
      <c r="H944" s="3145" t="s">
        <v>21</v>
      </c>
      <c r="I944" s="3133" t="s">
        <v>3710</v>
      </c>
      <c r="J944" s="3133">
        <f>'[3]典型户型修正-办公'!S1290</f>
        <v>73</v>
      </c>
      <c r="K944" s="3133">
        <f>'[3]典型户型修正-办公'!R1290</f>
        <v>14529</v>
      </c>
    </row>
    <row r="945" spans="1:11">
      <c r="A945" s="3145"/>
      <c r="B945" s="3146">
        <v>927</v>
      </c>
      <c r="C945" s="3147">
        <v>22</v>
      </c>
      <c r="D945" s="3147" t="s">
        <v>3945</v>
      </c>
      <c r="E945" s="3147">
        <v>50.33</v>
      </c>
      <c r="F945" s="3147">
        <v>3</v>
      </c>
      <c r="G945" s="3147" t="s">
        <v>3408</v>
      </c>
      <c r="H945" s="3145" t="s">
        <v>21</v>
      </c>
      <c r="I945" s="3133" t="s">
        <v>3710</v>
      </c>
      <c r="J945" s="3133">
        <f>'[3]典型户型修正-办公'!S1291</f>
        <v>73</v>
      </c>
      <c r="K945" s="3133">
        <f>'[3]典型户型修正-办公'!R1291</f>
        <v>14529</v>
      </c>
    </row>
    <row r="946" spans="1:11">
      <c r="A946" s="3145"/>
      <c r="B946" s="3146">
        <v>928</v>
      </c>
      <c r="C946" s="3147">
        <v>22</v>
      </c>
      <c r="D946" s="3147" t="s">
        <v>3946</v>
      </c>
      <c r="E946" s="3147">
        <v>50.33</v>
      </c>
      <c r="F946" s="3147">
        <v>3</v>
      </c>
      <c r="G946" s="3147" t="s">
        <v>3408</v>
      </c>
      <c r="H946" s="3145" t="s">
        <v>21</v>
      </c>
      <c r="I946" s="3133" t="s">
        <v>3710</v>
      </c>
      <c r="J946" s="3133">
        <f>'[3]典型户型修正-办公'!S1292</f>
        <v>73</v>
      </c>
      <c r="K946" s="3133">
        <f>'[3]典型户型修正-办公'!R1292</f>
        <v>14529</v>
      </c>
    </row>
    <row r="947" spans="1:11">
      <c r="A947" s="3145"/>
      <c r="B947" s="3146">
        <v>929</v>
      </c>
      <c r="C947" s="3147">
        <v>22</v>
      </c>
      <c r="D947" s="3147" t="s">
        <v>3947</v>
      </c>
      <c r="E947" s="3147">
        <v>50.33</v>
      </c>
      <c r="F947" s="3147">
        <v>3</v>
      </c>
      <c r="G947" s="3147" t="s">
        <v>3408</v>
      </c>
      <c r="H947" s="3145" t="s">
        <v>21</v>
      </c>
      <c r="I947" s="3133" t="s">
        <v>3710</v>
      </c>
      <c r="J947" s="3133">
        <f>'[3]典型户型修正-办公'!S1293</f>
        <v>73</v>
      </c>
      <c r="K947" s="3133">
        <f>'[3]典型户型修正-办公'!R1293</f>
        <v>14529</v>
      </c>
    </row>
    <row r="948" spans="1:11">
      <c r="A948" s="3145"/>
      <c r="B948" s="3146">
        <v>930</v>
      </c>
      <c r="C948" s="3147">
        <v>22</v>
      </c>
      <c r="D948" s="3147" t="s">
        <v>3948</v>
      </c>
      <c r="E948" s="3147">
        <v>50.33</v>
      </c>
      <c r="F948" s="3147">
        <v>3</v>
      </c>
      <c r="G948" s="3147" t="s">
        <v>3408</v>
      </c>
      <c r="H948" s="3145" t="s">
        <v>21</v>
      </c>
      <c r="I948" s="3133" t="s">
        <v>3710</v>
      </c>
      <c r="J948" s="3133">
        <f>'[3]典型户型修正-办公'!S1294</f>
        <v>73</v>
      </c>
      <c r="K948" s="3133">
        <f>'[3]典型户型修正-办公'!R1294</f>
        <v>14529</v>
      </c>
    </row>
    <row r="949" spans="1:11">
      <c r="A949" s="3145"/>
      <c r="B949" s="3146">
        <v>931</v>
      </c>
      <c r="C949" s="3147">
        <v>22</v>
      </c>
      <c r="D949" s="3147" t="s">
        <v>3949</v>
      </c>
      <c r="E949" s="3147">
        <v>50.33</v>
      </c>
      <c r="F949" s="3147">
        <v>3</v>
      </c>
      <c r="G949" s="3147" t="s">
        <v>3408</v>
      </c>
      <c r="H949" s="3145" t="s">
        <v>21</v>
      </c>
      <c r="I949" s="3133" t="s">
        <v>3710</v>
      </c>
      <c r="J949" s="3133">
        <f>'[3]典型户型修正-办公'!S1295</f>
        <v>73</v>
      </c>
      <c r="K949" s="3133">
        <f>'[3]典型户型修正-办公'!R1295</f>
        <v>14529</v>
      </c>
    </row>
    <row r="950" spans="1:11">
      <c r="A950" s="3145"/>
      <c r="B950" s="3146">
        <v>932</v>
      </c>
      <c r="C950" s="3147">
        <v>22</v>
      </c>
      <c r="D950" s="3147" t="s">
        <v>3950</v>
      </c>
      <c r="E950" s="3147">
        <v>50.33</v>
      </c>
      <c r="F950" s="3147">
        <v>3</v>
      </c>
      <c r="G950" s="3147" t="s">
        <v>3408</v>
      </c>
      <c r="H950" s="3145" t="s">
        <v>21</v>
      </c>
      <c r="I950" s="3133" t="s">
        <v>3710</v>
      </c>
      <c r="J950" s="3133">
        <f>'[3]典型户型修正-办公'!S1296</f>
        <v>73</v>
      </c>
      <c r="K950" s="3133">
        <f>'[3]典型户型修正-办公'!R1296</f>
        <v>14529</v>
      </c>
    </row>
    <row r="951" spans="1:11">
      <c r="A951" s="3145"/>
      <c r="B951" s="3146">
        <v>933</v>
      </c>
      <c r="C951" s="3147">
        <v>22</v>
      </c>
      <c r="D951" s="3147" t="s">
        <v>3951</v>
      </c>
      <c r="E951" s="3147">
        <v>50.33</v>
      </c>
      <c r="F951" s="3147">
        <v>3</v>
      </c>
      <c r="G951" s="3147" t="s">
        <v>3408</v>
      </c>
      <c r="H951" s="3145" t="s">
        <v>21</v>
      </c>
      <c r="I951" s="3133" t="s">
        <v>3710</v>
      </c>
      <c r="J951" s="3133">
        <f>'[3]典型户型修正-办公'!S1297</f>
        <v>73</v>
      </c>
      <c r="K951" s="3133">
        <f>'[3]典型户型修正-办公'!R1297</f>
        <v>14529</v>
      </c>
    </row>
    <row r="952" spans="1:11">
      <c r="A952" s="3145"/>
      <c r="B952" s="3146">
        <v>934</v>
      </c>
      <c r="C952" s="3147">
        <v>22</v>
      </c>
      <c r="D952" s="3147" t="s">
        <v>3952</v>
      </c>
      <c r="E952" s="3147">
        <v>50.33</v>
      </c>
      <c r="F952" s="3147">
        <v>3</v>
      </c>
      <c r="G952" s="3147" t="s">
        <v>3408</v>
      </c>
      <c r="H952" s="3145" t="s">
        <v>21</v>
      </c>
      <c r="I952" s="3133" t="s">
        <v>3710</v>
      </c>
      <c r="J952" s="3133">
        <f>'[3]典型户型修正-办公'!S1298</f>
        <v>73</v>
      </c>
      <c r="K952" s="3133">
        <f>'[3]典型户型修正-办公'!R1298</f>
        <v>14529</v>
      </c>
    </row>
    <row r="953" spans="1:11">
      <c r="A953" s="3145"/>
      <c r="B953" s="3146">
        <v>935</v>
      </c>
      <c r="C953" s="3147">
        <v>22</v>
      </c>
      <c r="D953" s="3147" t="s">
        <v>3953</v>
      </c>
      <c r="E953" s="3147">
        <v>69.77</v>
      </c>
      <c r="F953" s="3147">
        <v>3</v>
      </c>
      <c r="G953" s="3147" t="s">
        <v>3408</v>
      </c>
      <c r="H953" s="3145" t="s">
        <v>21</v>
      </c>
      <c r="I953" s="3133" t="s">
        <v>3710</v>
      </c>
      <c r="J953" s="3133">
        <f>'[3]典型户型修正-办公'!S1299</f>
        <v>102</v>
      </c>
      <c r="K953" s="3133">
        <f>'[3]典型户型修正-办公'!R1299</f>
        <v>14674</v>
      </c>
    </row>
    <row r="954" spans="1:11">
      <c r="A954" s="3145"/>
      <c r="B954" s="3146">
        <v>936</v>
      </c>
      <c r="C954" s="3147">
        <v>22</v>
      </c>
      <c r="D954" s="3147" t="s">
        <v>3954</v>
      </c>
      <c r="E954" s="3147">
        <v>38.65</v>
      </c>
      <c r="F954" s="3147">
        <v>3</v>
      </c>
      <c r="G954" s="3147" t="s">
        <v>3408</v>
      </c>
      <c r="H954" s="3145" t="s">
        <v>21</v>
      </c>
      <c r="I954" s="3133" t="s">
        <v>3710</v>
      </c>
      <c r="J954" s="3133">
        <f>'[3]典型户型修正-办公'!S1300</f>
        <v>56</v>
      </c>
      <c r="K954" s="3133">
        <f>'[3]典型户型修正-办公'!R1300</f>
        <v>14529</v>
      </c>
    </row>
    <row r="955" spans="1:11">
      <c r="A955" s="3145"/>
      <c r="B955" s="3146">
        <v>937</v>
      </c>
      <c r="C955" s="3147">
        <v>22</v>
      </c>
      <c r="D955" s="3147" t="s">
        <v>3955</v>
      </c>
      <c r="E955" s="3147">
        <v>41.99</v>
      </c>
      <c r="F955" s="3147">
        <v>3</v>
      </c>
      <c r="G955" s="3147" t="s">
        <v>3408</v>
      </c>
      <c r="H955" s="3145" t="s">
        <v>21</v>
      </c>
      <c r="I955" s="3133" t="s">
        <v>3710</v>
      </c>
      <c r="J955" s="3133">
        <f>'[3]典型户型修正-办公'!S1301</f>
        <v>61</v>
      </c>
      <c r="K955" s="3133">
        <f>'[3]典型户型修正-办公'!R1301</f>
        <v>14529</v>
      </c>
    </row>
    <row r="956" spans="1:11">
      <c r="A956" s="3145"/>
      <c r="B956" s="3146">
        <v>938</v>
      </c>
      <c r="C956" s="3147">
        <v>22</v>
      </c>
      <c r="D956" s="3147" t="s">
        <v>3956</v>
      </c>
      <c r="E956" s="3147">
        <v>44.72</v>
      </c>
      <c r="F956" s="3147">
        <v>3</v>
      </c>
      <c r="G956" s="3147" t="s">
        <v>3408</v>
      </c>
      <c r="H956" s="3145" t="s">
        <v>21</v>
      </c>
      <c r="I956" s="3133" t="s">
        <v>3710</v>
      </c>
      <c r="J956" s="3133">
        <f>'[3]典型户型修正-办公'!S1302</f>
        <v>65</v>
      </c>
      <c r="K956" s="3133">
        <f>'[3]典型户型修正-办公'!R1302</f>
        <v>14529</v>
      </c>
    </row>
    <row r="957" spans="1:11">
      <c r="A957" s="3145"/>
      <c r="B957" s="3146">
        <v>939</v>
      </c>
      <c r="C957" s="3147">
        <v>22</v>
      </c>
      <c r="D957" s="3147" t="s">
        <v>3957</v>
      </c>
      <c r="E957" s="3147">
        <v>46.83</v>
      </c>
      <c r="F957" s="3147">
        <v>3</v>
      </c>
      <c r="G957" s="3147" t="s">
        <v>3408</v>
      </c>
      <c r="H957" s="3145" t="s">
        <v>21</v>
      </c>
      <c r="I957" s="3133" t="s">
        <v>3710</v>
      </c>
      <c r="J957" s="3133">
        <f>'[3]典型户型修正-办公'!S1303</f>
        <v>68</v>
      </c>
      <c r="K957" s="3133">
        <f>'[3]典型户型修正-办公'!R1303</f>
        <v>14529</v>
      </c>
    </row>
    <row r="958" spans="1:11">
      <c r="A958" s="3145"/>
      <c r="B958" s="3146">
        <v>940</v>
      </c>
      <c r="C958" s="3147">
        <v>22</v>
      </c>
      <c r="D958" s="3147" t="s">
        <v>3958</v>
      </c>
      <c r="E958" s="3147">
        <v>48.33</v>
      </c>
      <c r="F958" s="3147">
        <v>3</v>
      </c>
      <c r="G958" s="3147" t="s">
        <v>3408</v>
      </c>
      <c r="H958" s="3145" t="s">
        <v>21</v>
      </c>
      <c r="I958" s="3133" t="s">
        <v>3710</v>
      </c>
      <c r="J958" s="3133">
        <f>'[3]典型户型修正-办公'!S1304</f>
        <v>70</v>
      </c>
      <c r="K958" s="3133">
        <f>'[3]典型户型修正-办公'!R1304</f>
        <v>14529</v>
      </c>
    </row>
    <row r="959" spans="1:11">
      <c r="A959" s="3145"/>
      <c r="B959" s="3146">
        <v>941</v>
      </c>
      <c r="C959" s="3147">
        <v>22</v>
      </c>
      <c r="D959" s="3147" t="s">
        <v>3959</v>
      </c>
      <c r="E959" s="3147">
        <v>49.3</v>
      </c>
      <c r="F959" s="3147">
        <v>3</v>
      </c>
      <c r="G959" s="3147" t="s">
        <v>3408</v>
      </c>
      <c r="H959" s="3145" t="s">
        <v>21</v>
      </c>
      <c r="I959" s="3133" t="s">
        <v>3710</v>
      </c>
      <c r="J959" s="3133">
        <f>'[3]典型户型修正-办公'!S1305</f>
        <v>72</v>
      </c>
      <c r="K959" s="3133">
        <f>'[3]典型户型修正-办公'!R1305</f>
        <v>14529</v>
      </c>
    </row>
    <row r="960" spans="1:11">
      <c r="A960" s="3145"/>
      <c r="B960" s="3146">
        <v>942</v>
      </c>
      <c r="C960" s="3147">
        <v>22</v>
      </c>
      <c r="D960" s="3147" t="s">
        <v>3960</v>
      </c>
      <c r="E960" s="3147">
        <v>49.59</v>
      </c>
      <c r="F960" s="3147">
        <v>3</v>
      </c>
      <c r="G960" s="3147" t="s">
        <v>3408</v>
      </c>
      <c r="H960" s="3145" t="s">
        <v>21</v>
      </c>
      <c r="I960" s="3133" t="s">
        <v>3710</v>
      </c>
      <c r="J960" s="3133">
        <f>'[3]典型户型修正-办公'!S1306</f>
        <v>72</v>
      </c>
      <c r="K960" s="3133">
        <f>'[3]典型户型修正-办公'!R1306</f>
        <v>14529</v>
      </c>
    </row>
    <row r="961" spans="1:11">
      <c r="A961" s="3145"/>
      <c r="B961" s="3146">
        <v>943</v>
      </c>
      <c r="C961" s="3147">
        <v>22</v>
      </c>
      <c r="D961" s="3147" t="s">
        <v>3961</v>
      </c>
      <c r="E961" s="3147">
        <v>49.28</v>
      </c>
      <c r="F961" s="3147">
        <v>3</v>
      </c>
      <c r="G961" s="3147" t="s">
        <v>3408</v>
      </c>
      <c r="H961" s="3145" t="s">
        <v>21</v>
      </c>
      <c r="I961" s="3133" t="s">
        <v>3710</v>
      </c>
      <c r="J961" s="3133">
        <f>'[3]典型户型修正-办公'!S1307</f>
        <v>72</v>
      </c>
      <c r="K961" s="3133">
        <f>'[3]典型户型修正-办公'!R1307</f>
        <v>14529</v>
      </c>
    </row>
    <row r="962" spans="1:11">
      <c r="A962" s="3145"/>
      <c r="B962" s="3146">
        <v>944</v>
      </c>
      <c r="C962" s="3147">
        <v>22</v>
      </c>
      <c r="D962" s="3147" t="s">
        <v>3962</v>
      </c>
      <c r="E962" s="3147">
        <v>48.41</v>
      </c>
      <c r="F962" s="3147">
        <v>3</v>
      </c>
      <c r="G962" s="3147" t="s">
        <v>3408</v>
      </c>
      <c r="H962" s="3145" t="s">
        <v>21</v>
      </c>
      <c r="I962" s="3133" t="s">
        <v>3710</v>
      </c>
      <c r="J962" s="3133">
        <f>'[3]典型户型修正-办公'!S1308</f>
        <v>70</v>
      </c>
      <c r="K962" s="3133">
        <f>'[3]典型户型修正-办公'!R1308</f>
        <v>14529</v>
      </c>
    </row>
    <row r="963" spans="1:11">
      <c r="A963" s="3145"/>
      <c r="B963" s="3146">
        <v>945</v>
      </c>
      <c r="C963" s="3147">
        <v>22</v>
      </c>
      <c r="D963" s="3147" t="s">
        <v>3963</v>
      </c>
      <c r="E963" s="3147">
        <v>47.44</v>
      </c>
      <c r="F963" s="3147">
        <v>3</v>
      </c>
      <c r="G963" s="3147" t="s">
        <v>3408</v>
      </c>
      <c r="H963" s="3145" t="s">
        <v>21</v>
      </c>
      <c r="I963" s="3133" t="s">
        <v>3710</v>
      </c>
      <c r="J963" s="3133">
        <f>'[3]典型户型修正-办公'!S1309</f>
        <v>69</v>
      </c>
      <c r="K963" s="3133">
        <f>'[3]典型户型修正-办公'!R1309</f>
        <v>14529</v>
      </c>
    </row>
    <row r="964" spans="1:11">
      <c r="A964" s="3145"/>
      <c r="B964" s="3146">
        <v>946</v>
      </c>
      <c r="C964" s="3147">
        <v>23</v>
      </c>
      <c r="D964" s="3147" t="s">
        <v>3964</v>
      </c>
      <c r="E964" s="3147">
        <v>52.2</v>
      </c>
      <c r="F964" s="3147">
        <v>3</v>
      </c>
      <c r="G964" s="3147" t="s">
        <v>3408</v>
      </c>
      <c r="H964" s="3145" t="s">
        <v>21</v>
      </c>
      <c r="I964" s="3133" t="s">
        <v>3710</v>
      </c>
      <c r="J964" s="3133">
        <f>'[3]典型户型修正-办公'!S1310</f>
        <v>76</v>
      </c>
      <c r="K964" s="3133">
        <f>'[3]典型户型修正-办公'!R1310</f>
        <v>14529</v>
      </c>
    </row>
    <row r="965" spans="1:11">
      <c r="A965" s="3145"/>
      <c r="B965" s="3146">
        <v>947</v>
      </c>
      <c r="C965" s="3147">
        <v>23</v>
      </c>
      <c r="D965" s="3147" t="s">
        <v>3965</v>
      </c>
      <c r="E965" s="3147">
        <v>50.33</v>
      </c>
      <c r="F965" s="3147">
        <v>3</v>
      </c>
      <c r="G965" s="3147" t="s">
        <v>3408</v>
      </c>
      <c r="H965" s="3145" t="s">
        <v>21</v>
      </c>
      <c r="I965" s="3133" t="s">
        <v>3710</v>
      </c>
      <c r="J965" s="3133">
        <f>'[3]典型户型修正-办公'!S1311</f>
        <v>73</v>
      </c>
      <c r="K965" s="3133">
        <f>'[3]典型户型修正-办公'!R1311</f>
        <v>14529</v>
      </c>
    </row>
    <row r="966" spans="1:11">
      <c r="A966" s="3145"/>
      <c r="B966" s="3146">
        <v>948</v>
      </c>
      <c r="C966" s="3147">
        <v>23</v>
      </c>
      <c r="D966" s="3147" t="s">
        <v>3966</v>
      </c>
      <c r="E966" s="3147">
        <v>50.33</v>
      </c>
      <c r="F966" s="3147">
        <v>3</v>
      </c>
      <c r="G966" s="3147" t="s">
        <v>3408</v>
      </c>
      <c r="H966" s="3145" t="s">
        <v>21</v>
      </c>
      <c r="I966" s="3133" t="s">
        <v>3710</v>
      </c>
      <c r="J966" s="3133">
        <f>'[3]典型户型修正-办公'!S1312</f>
        <v>73</v>
      </c>
      <c r="K966" s="3133">
        <f>'[3]典型户型修正-办公'!R1312</f>
        <v>14529</v>
      </c>
    </row>
    <row r="967" spans="1:11">
      <c r="A967" s="3145"/>
      <c r="B967" s="3146">
        <v>949</v>
      </c>
      <c r="C967" s="3147">
        <v>23</v>
      </c>
      <c r="D967" s="3147" t="s">
        <v>3967</v>
      </c>
      <c r="E967" s="3147">
        <v>50.33</v>
      </c>
      <c r="F967" s="3147">
        <v>3</v>
      </c>
      <c r="G967" s="3147" t="s">
        <v>3408</v>
      </c>
      <c r="H967" s="3145" t="s">
        <v>21</v>
      </c>
      <c r="I967" s="3133" t="s">
        <v>3710</v>
      </c>
      <c r="J967" s="3133">
        <f>'[3]典型户型修正-办公'!S1313</f>
        <v>73</v>
      </c>
      <c r="K967" s="3133">
        <f>'[3]典型户型修正-办公'!R1313</f>
        <v>14529</v>
      </c>
    </row>
    <row r="968" spans="1:11">
      <c r="A968" s="3145"/>
      <c r="B968" s="3146">
        <v>950</v>
      </c>
      <c r="C968" s="3147">
        <v>23</v>
      </c>
      <c r="D968" s="3147" t="s">
        <v>3968</v>
      </c>
      <c r="E968" s="3147">
        <v>50.33</v>
      </c>
      <c r="F968" s="3147">
        <v>3</v>
      </c>
      <c r="G968" s="3147" t="s">
        <v>3408</v>
      </c>
      <c r="H968" s="3145" t="s">
        <v>21</v>
      </c>
      <c r="I968" s="3133" t="s">
        <v>3710</v>
      </c>
      <c r="J968" s="3133">
        <f>'[3]典型户型修正-办公'!S1314</f>
        <v>73</v>
      </c>
      <c r="K968" s="3133">
        <f>'[3]典型户型修正-办公'!R1314</f>
        <v>14529</v>
      </c>
    </row>
    <row r="969" spans="1:11">
      <c r="A969" s="3145"/>
      <c r="B969" s="3146">
        <v>951</v>
      </c>
      <c r="C969" s="3147">
        <v>23</v>
      </c>
      <c r="D969" s="3147" t="s">
        <v>3969</v>
      </c>
      <c r="E969" s="3147">
        <v>50.33</v>
      </c>
      <c r="F969" s="3147">
        <v>3</v>
      </c>
      <c r="G969" s="3147" t="s">
        <v>3408</v>
      </c>
      <c r="H969" s="3145" t="s">
        <v>21</v>
      </c>
      <c r="I969" s="3133" t="s">
        <v>3710</v>
      </c>
      <c r="J969" s="3133">
        <f>'[3]典型户型修正-办公'!S1315</f>
        <v>73</v>
      </c>
      <c r="K969" s="3133">
        <f>'[3]典型户型修正-办公'!R1315</f>
        <v>14529</v>
      </c>
    </row>
    <row r="970" spans="1:11">
      <c r="A970" s="3145"/>
      <c r="B970" s="3146">
        <v>952</v>
      </c>
      <c r="C970" s="3147">
        <v>23</v>
      </c>
      <c r="D970" s="3147" t="s">
        <v>3970</v>
      </c>
      <c r="E970" s="3147">
        <v>50.33</v>
      </c>
      <c r="F970" s="3147">
        <v>3</v>
      </c>
      <c r="G970" s="3147" t="s">
        <v>3408</v>
      </c>
      <c r="H970" s="3145" t="s">
        <v>21</v>
      </c>
      <c r="I970" s="3133" t="s">
        <v>3710</v>
      </c>
      <c r="J970" s="3133">
        <f>'[3]典型户型修正-办公'!S1316</f>
        <v>73</v>
      </c>
      <c r="K970" s="3133">
        <f>'[3]典型户型修正-办公'!R1316</f>
        <v>14529</v>
      </c>
    </row>
    <row r="971" spans="1:11">
      <c r="A971" s="3145"/>
      <c r="B971" s="3146">
        <v>953</v>
      </c>
      <c r="C971" s="3147">
        <v>23</v>
      </c>
      <c r="D971" s="3147" t="s">
        <v>3971</v>
      </c>
      <c r="E971" s="3147">
        <v>50.33</v>
      </c>
      <c r="F971" s="3147">
        <v>3</v>
      </c>
      <c r="G971" s="3147" t="s">
        <v>3408</v>
      </c>
      <c r="H971" s="3145" t="s">
        <v>21</v>
      </c>
      <c r="I971" s="3133" t="s">
        <v>3710</v>
      </c>
      <c r="J971" s="3133">
        <f>'[3]典型户型修正-办公'!S1317</f>
        <v>73</v>
      </c>
      <c r="K971" s="3133">
        <f>'[3]典型户型修正-办公'!R1317</f>
        <v>14529</v>
      </c>
    </row>
    <row r="972" spans="1:11">
      <c r="A972" s="3145"/>
      <c r="B972" s="3146">
        <v>954</v>
      </c>
      <c r="C972" s="3147">
        <v>23</v>
      </c>
      <c r="D972" s="3147" t="s">
        <v>3972</v>
      </c>
      <c r="E972" s="3147">
        <v>50.33</v>
      </c>
      <c r="F972" s="3147">
        <v>3</v>
      </c>
      <c r="G972" s="3147" t="s">
        <v>3408</v>
      </c>
      <c r="H972" s="3145" t="s">
        <v>21</v>
      </c>
      <c r="I972" s="3133" t="s">
        <v>3710</v>
      </c>
      <c r="J972" s="3133">
        <f>'[3]典型户型修正-办公'!S1318</f>
        <v>73</v>
      </c>
      <c r="K972" s="3133">
        <f>'[3]典型户型修正-办公'!R1318</f>
        <v>14529</v>
      </c>
    </row>
    <row r="973" spans="1:11">
      <c r="A973" s="3145"/>
      <c r="B973" s="3146">
        <v>955</v>
      </c>
      <c r="C973" s="3147">
        <v>23</v>
      </c>
      <c r="D973" s="3147" t="s">
        <v>3973</v>
      </c>
      <c r="E973" s="3147">
        <v>50.33</v>
      </c>
      <c r="F973" s="3147">
        <v>3</v>
      </c>
      <c r="G973" s="3147" t="s">
        <v>3408</v>
      </c>
      <c r="H973" s="3145" t="s">
        <v>21</v>
      </c>
      <c r="I973" s="3133" t="s">
        <v>3710</v>
      </c>
      <c r="J973" s="3133">
        <f>'[3]典型户型修正-办公'!S1319</f>
        <v>73</v>
      </c>
      <c r="K973" s="3133">
        <f>'[3]典型户型修正-办公'!R1319</f>
        <v>14529</v>
      </c>
    </row>
    <row r="974" spans="1:11">
      <c r="A974" s="3145"/>
      <c r="B974" s="3146">
        <v>956</v>
      </c>
      <c r="C974" s="3147">
        <v>23</v>
      </c>
      <c r="D974" s="3147" t="s">
        <v>3974</v>
      </c>
      <c r="E974" s="3147">
        <v>50.33</v>
      </c>
      <c r="F974" s="3147">
        <v>3</v>
      </c>
      <c r="G974" s="3147" t="s">
        <v>3408</v>
      </c>
      <c r="H974" s="3145" t="s">
        <v>21</v>
      </c>
      <c r="I974" s="3133" t="s">
        <v>3710</v>
      </c>
      <c r="J974" s="3133">
        <f>'[3]典型户型修正-办公'!S1320</f>
        <v>73</v>
      </c>
      <c r="K974" s="3133">
        <f>'[3]典型户型修正-办公'!R1320</f>
        <v>14529</v>
      </c>
    </row>
    <row r="975" spans="1:11">
      <c r="A975" s="3145"/>
      <c r="B975" s="3146">
        <v>957</v>
      </c>
      <c r="C975" s="3147">
        <v>23</v>
      </c>
      <c r="D975" s="3147" t="s">
        <v>3975</v>
      </c>
      <c r="E975" s="3147">
        <v>50.33</v>
      </c>
      <c r="F975" s="3147">
        <v>3</v>
      </c>
      <c r="G975" s="3147" t="s">
        <v>3408</v>
      </c>
      <c r="H975" s="3145" t="s">
        <v>21</v>
      </c>
      <c r="I975" s="3133" t="s">
        <v>3710</v>
      </c>
      <c r="J975" s="3133">
        <f>'[3]典型户型修正-办公'!S1321</f>
        <v>73</v>
      </c>
      <c r="K975" s="3133">
        <f>'[3]典型户型修正-办公'!R1321</f>
        <v>14529</v>
      </c>
    </row>
    <row r="976" spans="1:11">
      <c r="A976" s="3145"/>
      <c r="B976" s="3146">
        <v>958</v>
      </c>
      <c r="C976" s="3147">
        <v>23</v>
      </c>
      <c r="D976" s="3147" t="s">
        <v>3976</v>
      </c>
      <c r="E976" s="3147">
        <v>50.33</v>
      </c>
      <c r="F976" s="3147">
        <v>3</v>
      </c>
      <c r="G976" s="3147" t="s">
        <v>3408</v>
      </c>
      <c r="H976" s="3145" t="s">
        <v>21</v>
      </c>
      <c r="I976" s="3133" t="s">
        <v>3710</v>
      </c>
      <c r="J976" s="3133">
        <f>'[3]典型户型修正-办公'!S1322</f>
        <v>73</v>
      </c>
      <c r="K976" s="3133">
        <f>'[3]典型户型修正-办公'!R1322</f>
        <v>14529</v>
      </c>
    </row>
    <row r="977" spans="1:11">
      <c r="A977" s="3145"/>
      <c r="B977" s="3146">
        <v>959</v>
      </c>
      <c r="C977" s="3147">
        <v>23</v>
      </c>
      <c r="D977" s="3147" t="s">
        <v>3977</v>
      </c>
      <c r="E977" s="3147">
        <v>50.33</v>
      </c>
      <c r="F977" s="3147">
        <v>3</v>
      </c>
      <c r="G977" s="3147" t="s">
        <v>3408</v>
      </c>
      <c r="H977" s="3145" t="s">
        <v>21</v>
      </c>
      <c r="I977" s="3133" t="s">
        <v>3710</v>
      </c>
      <c r="J977" s="3133">
        <f>'[3]典型户型修正-办公'!S1323</f>
        <v>73</v>
      </c>
      <c r="K977" s="3133">
        <f>'[3]典型户型修正-办公'!R1323</f>
        <v>14529</v>
      </c>
    </row>
    <row r="978" spans="1:11">
      <c r="A978" s="3145"/>
      <c r="B978" s="3146">
        <v>960</v>
      </c>
      <c r="C978" s="3147">
        <v>23</v>
      </c>
      <c r="D978" s="3147" t="s">
        <v>3978</v>
      </c>
      <c r="E978" s="3147">
        <v>50.33</v>
      </c>
      <c r="F978" s="3147">
        <v>3</v>
      </c>
      <c r="G978" s="3147" t="s">
        <v>3408</v>
      </c>
      <c r="H978" s="3145" t="s">
        <v>21</v>
      </c>
      <c r="I978" s="3133" t="s">
        <v>3710</v>
      </c>
      <c r="J978" s="3133">
        <f>'[3]典型户型修正-办公'!S1324</f>
        <v>73</v>
      </c>
      <c r="K978" s="3133">
        <f>'[3]典型户型修正-办公'!R1324</f>
        <v>14529</v>
      </c>
    </row>
    <row r="979" spans="1:11">
      <c r="A979" s="3145"/>
      <c r="B979" s="3146">
        <v>961</v>
      </c>
      <c r="C979" s="3147">
        <v>23</v>
      </c>
      <c r="D979" s="3147" t="s">
        <v>3979</v>
      </c>
      <c r="E979" s="3147">
        <v>69.77</v>
      </c>
      <c r="F979" s="3147">
        <v>3</v>
      </c>
      <c r="G979" s="3147" t="s">
        <v>3408</v>
      </c>
      <c r="H979" s="3145" t="s">
        <v>21</v>
      </c>
      <c r="I979" s="3133" t="s">
        <v>3710</v>
      </c>
      <c r="J979" s="3133">
        <f>'[3]典型户型修正-办公'!S1325</f>
        <v>102</v>
      </c>
      <c r="K979" s="3133">
        <f>'[3]典型户型修正-办公'!R1325</f>
        <v>14674</v>
      </c>
    </row>
    <row r="980" spans="1:11">
      <c r="A980" s="3145"/>
      <c r="B980" s="3146">
        <v>962</v>
      </c>
      <c r="C980" s="3147">
        <v>23</v>
      </c>
      <c r="D980" s="3147" t="s">
        <v>3980</v>
      </c>
      <c r="E980" s="3147">
        <v>38.65</v>
      </c>
      <c r="F980" s="3147">
        <v>3</v>
      </c>
      <c r="G980" s="3147" t="s">
        <v>3408</v>
      </c>
      <c r="H980" s="3145" t="s">
        <v>21</v>
      </c>
      <c r="I980" s="3133" t="s">
        <v>3710</v>
      </c>
      <c r="J980" s="3133">
        <f>'[3]典型户型修正-办公'!S1326</f>
        <v>56</v>
      </c>
      <c r="K980" s="3133">
        <f>'[3]典型户型修正-办公'!R1326</f>
        <v>14529</v>
      </c>
    </row>
    <row r="981" spans="1:11">
      <c r="A981" s="3145"/>
      <c r="B981" s="3146">
        <v>963</v>
      </c>
      <c r="C981" s="3147">
        <v>23</v>
      </c>
      <c r="D981" s="3147" t="s">
        <v>3981</v>
      </c>
      <c r="E981" s="3147">
        <v>41.99</v>
      </c>
      <c r="F981" s="3147">
        <v>3</v>
      </c>
      <c r="G981" s="3147" t="s">
        <v>3408</v>
      </c>
      <c r="H981" s="3145" t="s">
        <v>21</v>
      </c>
      <c r="I981" s="3133" t="s">
        <v>3710</v>
      </c>
      <c r="J981" s="3133">
        <f>'[3]典型户型修正-办公'!S1327</f>
        <v>61</v>
      </c>
      <c r="K981" s="3133">
        <f>'[3]典型户型修正-办公'!R1327</f>
        <v>14529</v>
      </c>
    </row>
    <row r="982" spans="1:11">
      <c r="A982" s="3145"/>
      <c r="B982" s="3146">
        <v>964</v>
      </c>
      <c r="C982" s="3147">
        <v>23</v>
      </c>
      <c r="D982" s="3147" t="s">
        <v>3982</v>
      </c>
      <c r="E982" s="3147">
        <v>44.72</v>
      </c>
      <c r="F982" s="3147">
        <v>3</v>
      </c>
      <c r="G982" s="3147" t="s">
        <v>3408</v>
      </c>
      <c r="H982" s="3145" t="s">
        <v>21</v>
      </c>
      <c r="I982" s="3133" t="s">
        <v>3710</v>
      </c>
      <c r="J982" s="3133">
        <f>'[3]典型户型修正-办公'!S1328</f>
        <v>65</v>
      </c>
      <c r="K982" s="3133">
        <f>'[3]典型户型修正-办公'!R1328</f>
        <v>14529</v>
      </c>
    </row>
    <row r="983" spans="1:11">
      <c r="A983" s="3145"/>
      <c r="B983" s="3146">
        <v>965</v>
      </c>
      <c r="C983" s="3147">
        <v>23</v>
      </c>
      <c r="D983" s="3147" t="s">
        <v>3983</v>
      </c>
      <c r="E983" s="3147">
        <v>46.83</v>
      </c>
      <c r="F983" s="3147">
        <v>3</v>
      </c>
      <c r="G983" s="3147" t="s">
        <v>3408</v>
      </c>
      <c r="H983" s="3145" t="s">
        <v>21</v>
      </c>
      <c r="I983" s="3133" t="s">
        <v>3710</v>
      </c>
      <c r="J983" s="3133">
        <f>'[3]典型户型修正-办公'!S1329</f>
        <v>68</v>
      </c>
      <c r="K983" s="3133">
        <f>'[3]典型户型修正-办公'!R1329</f>
        <v>14529</v>
      </c>
    </row>
    <row r="984" spans="1:11">
      <c r="A984" s="3145"/>
      <c r="B984" s="3146">
        <v>966</v>
      </c>
      <c r="C984" s="3147">
        <v>23</v>
      </c>
      <c r="D984" s="3147" t="s">
        <v>3984</v>
      </c>
      <c r="E984" s="3147">
        <v>48.33</v>
      </c>
      <c r="F984" s="3147">
        <v>3</v>
      </c>
      <c r="G984" s="3147" t="s">
        <v>3408</v>
      </c>
      <c r="H984" s="3145" t="s">
        <v>21</v>
      </c>
      <c r="I984" s="3133" t="s">
        <v>3710</v>
      </c>
      <c r="J984" s="3133">
        <f>'[3]典型户型修正-办公'!S1330</f>
        <v>70</v>
      </c>
      <c r="K984" s="3133">
        <f>'[3]典型户型修正-办公'!R1330</f>
        <v>14529</v>
      </c>
    </row>
    <row r="985" spans="1:11">
      <c r="A985" s="3145"/>
      <c r="B985" s="3146">
        <v>967</v>
      </c>
      <c r="C985" s="3147">
        <v>23</v>
      </c>
      <c r="D985" s="3147" t="s">
        <v>3985</v>
      </c>
      <c r="E985" s="3147">
        <v>49.3</v>
      </c>
      <c r="F985" s="3147">
        <v>3</v>
      </c>
      <c r="G985" s="3147" t="s">
        <v>3408</v>
      </c>
      <c r="H985" s="3145" t="s">
        <v>21</v>
      </c>
      <c r="I985" s="3133" t="s">
        <v>3710</v>
      </c>
      <c r="J985" s="3133">
        <f>'[3]典型户型修正-办公'!S1331</f>
        <v>72</v>
      </c>
      <c r="K985" s="3133">
        <f>'[3]典型户型修正-办公'!R1331</f>
        <v>14529</v>
      </c>
    </row>
    <row r="986" spans="1:11">
      <c r="A986" s="3145"/>
      <c r="B986" s="3146">
        <v>968</v>
      </c>
      <c r="C986" s="3147">
        <v>23</v>
      </c>
      <c r="D986" s="3147" t="s">
        <v>3986</v>
      </c>
      <c r="E986" s="3147">
        <v>49.59</v>
      </c>
      <c r="F986" s="3147">
        <v>3</v>
      </c>
      <c r="G986" s="3147" t="s">
        <v>3408</v>
      </c>
      <c r="H986" s="3145" t="s">
        <v>21</v>
      </c>
      <c r="I986" s="3133" t="s">
        <v>3710</v>
      </c>
      <c r="J986" s="3133">
        <f>'[3]典型户型修正-办公'!S1332</f>
        <v>72</v>
      </c>
      <c r="K986" s="3133">
        <f>'[3]典型户型修正-办公'!R1332</f>
        <v>14529</v>
      </c>
    </row>
    <row r="987" spans="1:11">
      <c r="A987" s="3145"/>
      <c r="B987" s="3146">
        <v>969</v>
      </c>
      <c r="C987" s="3147">
        <v>23</v>
      </c>
      <c r="D987" s="3147" t="s">
        <v>3987</v>
      </c>
      <c r="E987" s="3147">
        <v>49.28</v>
      </c>
      <c r="F987" s="3147">
        <v>3</v>
      </c>
      <c r="G987" s="3147" t="s">
        <v>3408</v>
      </c>
      <c r="H987" s="3145" t="s">
        <v>21</v>
      </c>
      <c r="I987" s="3133" t="s">
        <v>3710</v>
      </c>
      <c r="J987" s="3133">
        <f>'[3]典型户型修正-办公'!S1333</f>
        <v>72</v>
      </c>
      <c r="K987" s="3133">
        <f>'[3]典型户型修正-办公'!R1333</f>
        <v>14529</v>
      </c>
    </row>
    <row r="988" spans="1:11">
      <c r="A988" s="3145"/>
      <c r="B988" s="3146">
        <v>970</v>
      </c>
      <c r="C988" s="3147">
        <v>23</v>
      </c>
      <c r="D988" s="3147" t="s">
        <v>3988</v>
      </c>
      <c r="E988" s="3147">
        <v>48.41</v>
      </c>
      <c r="F988" s="3147">
        <v>3</v>
      </c>
      <c r="G988" s="3147" t="s">
        <v>3408</v>
      </c>
      <c r="H988" s="3145" t="s">
        <v>21</v>
      </c>
      <c r="I988" s="3133" t="s">
        <v>3710</v>
      </c>
      <c r="J988" s="3133">
        <f>'[3]典型户型修正-办公'!S1334</f>
        <v>70</v>
      </c>
      <c r="K988" s="3133">
        <f>'[3]典型户型修正-办公'!R1334</f>
        <v>14529</v>
      </c>
    </row>
    <row r="989" spans="1:11">
      <c r="A989" s="3145"/>
      <c r="B989" s="3146">
        <v>971</v>
      </c>
      <c r="C989" s="3147">
        <v>23</v>
      </c>
      <c r="D989" s="3147" t="s">
        <v>3989</v>
      </c>
      <c r="E989" s="3147">
        <v>47.44</v>
      </c>
      <c r="F989" s="3147">
        <v>3</v>
      </c>
      <c r="G989" s="3147" t="s">
        <v>3408</v>
      </c>
      <c r="H989" s="3145" t="s">
        <v>21</v>
      </c>
      <c r="I989" s="3133" t="s">
        <v>3710</v>
      </c>
      <c r="J989" s="3133">
        <f>'[3]典型户型修正-办公'!S1335</f>
        <v>69</v>
      </c>
      <c r="K989" s="3133">
        <f>'[3]典型户型修正-办公'!R1335</f>
        <v>14529</v>
      </c>
    </row>
    <row r="990" spans="1:11">
      <c r="A990" s="3145"/>
      <c r="B990" s="3145" t="s">
        <v>3990</v>
      </c>
      <c r="C990" s="3145"/>
      <c r="D990" s="3145"/>
      <c r="E990" s="3145">
        <f>SUM(E19:E989)</f>
        <v>49296.620000000592</v>
      </c>
      <c r="F990" s="3145"/>
      <c r="G990" s="3145"/>
      <c r="H990" s="3145"/>
      <c r="J990" s="3145">
        <f>SUM(J19:J989)</f>
        <v>71165</v>
      </c>
    </row>
    <row r="991" spans="1:11">
      <c r="A991" s="3145"/>
    </row>
    <row r="992" spans="1:11">
      <c r="A992" s="3145"/>
    </row>
    <row r="993" spans="1:1">
      <c r="A993" s="3145"/>
    </row>
    <row r="994" spans="1:1">
      <c r="A994" s="3145"/>
    </row>
    <row r="995" spans="1:1">
      <c r="A995" s="3145"/>
    </row>
    <row r="996" spans="1:1">
      <c r="A996" s="3145"/>
    </row>
    <row r="997" spans="1:1">
      <c r="A997" s="3145"/>
    </row>
    <row r="998" spans="1:1">
      <c r="A998" s="3145"/>
    </row>
    <row r="999" spans="1:1">
      <c r="A999" s="3145"/>
    </row>
    <row r="1000" spans="1:1">
      <c r="A1000" s="3145"/>
    </row>
    <row r="1001" spans="1:1">
      <c r="A1001" s="3145"/>
    </row>
    <row r="1002" spans="1:1">
      <c r="A1002" s="3145"/>
    </row>
    <row r="1003" spans="1:1">
      <c r="A1003" s="3145"/>
    </row>
    <row r="1004" spans="1:1">
      <c r="A1004" s="3145"/>
    </row>
    <row r="1005" spans="1:1">
      <c r="A1005" s="3145"/>
    </row>
    <row r="1006" spans="1:1">
      <c r="A1006" s="3145"/>
    </row>
    <row r="1007" spans="1:1">
      <c r="A1007" s="3145"/>
    </row>
    <row r="1008" spans="1:1">
      <c r="A1008" s="3145"/>
    </row>
    <row r="1009" spans="1:1">
      <c r="A1009" s="3145"/>
    </row>
    <row r="1010" spans="1:1">
      <c r="A1010" s="3145"/>
    </row>
    <row r="1011" spans="1:1">
      <c r="A1011" s="3145"/>
    </row>
    <row r="1012" spans="1:1">
      <c r="A1012" s="3145"/>
    </row>
    <row r="1013" spans="1:1">
      <c r="A1013" s="3145"/>
    </row>
    <row r="1014" spans="1:1">
      <c r="A1014" s="3145"/>
    </row>
    <row r="1015" spans="1:1">
      <c r="A1015" s="3145"/>
    </row>
    <row r="1016" spans="1:1">
      <c r="A1016" s="3145"/>
    </row>
    <row r="1017" spans="1:1">
      <c r="A1017" s="3145"/>
    </row>
    <row r="1018" spans="1:1">
      <c r="A1018" s="3145"/>
    </row>
    <row r="1019" spans="1:1">
      <c r="A1019" s="3145"/>
    </row>
    <row r="1020" spans="1:1">
      <c r="A1020" s="3145"/>
    </row>
    <row r="1021" spans="1:1">
      <c r="A1021" s="3145"/>
    </row>
    <row r="1022" spans="1:1">
      <c r="A1022" s="3145"/>
    </row>
    <row r="1023" spans="1:1">
      <c r="A1023" s="3145"/>
    </row>
    <row r="1024" spans="1:1">
      <c r="A1024" s="3145"/>
    </row>
    <row r="1025" spans="1:1">
      <c r="A1025" s="3145"/>
    </row>
    <row r="1026" spans="1:1">
      <c r="A1026" s="3145"/>
    </row>
    <row r="1027" spans="1:1">
      <c r="A1027" s="3145"/>
    </row>
    <row r="1028" spans="1:1">
      <c r="A1028" s="3145"/>
    </row>
    <row r="1029" spans="1:1">
      <c r="A1029" s="3145"/>
    </row>
    <row r="1030" spans="1:1">
      <c r="A1030" s="3145"/>
    </row>
    <row r="1031" spans="1:1">
      <c r="A1031" s="3145"/>
    </row>
    <row r="1032" spans="1:1">
      <c r="A1032" s="3145"/>
    </row>
    <row r="1033" spans="1:1">
      <c r="A1033" s="3145"/>
    </row>
    <row r="1034" spans="1:1">
      <c r="A1034" s="3145"/>
    </row>
    <row r="1035" spans="1:1">
      <c r="A1035" s="3145"/>
    </row>
    <row r="1036" spans="1:1">
      <c r="A1036" s="3145"/>
    </row>
    <row r="1037" spans="1:1">
      <c r="A1037" s="3145"/>
    </row>
    <row r="1038" spans="1:1">
      <c r="A1038" s="3145"/>
    </row>
    <row r="1039" spans="1:1">
      <c r="A1039" s="3145"/>
    </row>
    <row r="1040" spans="1:1">
      <c r="A1040" s="3145"/>
    </row>
    <row r="1041" spans="1:1">
      <c r="A1041" s="3145"/>
    </row>
    <row r="1042" spans="1:1">
      <c r="A1042" s="3145"/>
    </row>
    <row r="1043" spans="1:1">
      <c r="A1043" s="3145"/>
    </row>
    <row r="1044" spans="1:1">
      <c r="A1044" s="3145"/>
    </row>
    <row r="1045" spans="1:1">
      <c r="A1045" s="3145"/>
    </row>
    <row r="1046" spans="1:1">
      <c r="A1046" s="3145"/>
    </row>
    <row r="1047" spans="1:1">
      <c r="A1047" s="3145"/>
    </row>
    <row r="1048" spans="1:1">
      <c r="A1048" s="3145"/>
    </row>
    <row r="1049" spans="1:1">
      <c r="A1049" s="3145"/>
    </row>
    <row r="1050" spans="1:1">
      <c r="A1050" s="3145"/>
    </row>
    <row r="1051" spans="1:1">
      <c r="A1051" s="3145"/>
    </row>
    <row r="1052" spans="1:1">
      <c r="A1052" s="3145"/>
    </row>
    <row r="1053" spans="1:1">
      <c r="A1053" s="3145"/>
    </row>
    <row r="1054" spans="1:1">
      <c r="A1054" s="3145"/>
    </row>
    <row r="1055" spans="1:1">
      <c r="A1055" s="3145"/>
    </row>
    <row r="1056" spans="1:1">
      <c r="A1056" s="3145"/>
    </row>
    <row r="1057" spans="1:1">
      <c r="A1057" s="3145"/>
    </row>
    <row r="1058" spans="1:1">
      <c r="A1058" s="3145"/>
    </row>
    <row r="1059" spans="1:1">
      <c r="A1059" s="3145"/>
    </row>
    <row r="1060" spans="1:1">
      <c r="A1060" s="3145"/>
    </row>
    <row r="1061" spans="1:1">
      <c r="A1061" s="3145"/>
    </row>
    <row r="1062" spans="1:1">
      <c r="A1062" s="3145"/>
    </row>
    <row r="1063" spans="1:1">
      <c r="A1063" s="3145"/>
    </row>
    <row r="1064" spans="1:1">
      <c r="A1064" s="3145"/>
    </row>
    <row r="1065" spans="1:1">
      <c r="A1065" s="3145"/>
    </row>
    <row r="1066" spans="1:1">
      <c r="A1066" s="3145"/>
    </row>
    <row r="1067" spans="1:1">
      <c r="A1067" s="3145"/>
    </row>
    <row r="1068" spans="1:1">
      <c r="A1068" s="3145"/>
    </row>
    <row r="1069" spans="1:1">
      <c r="A1069" s="3145"/>
    </row>
    <row r="1070" spans="1:1">
      <c r="A1070" s="3145"/>
    </row>
    <row r="1071" spans="1:1">
      <c r="A1071" s="3145"/>
    </row>
    <row r="1072" spans="1:1">
      <c r="A1072" s="3145"/>
    </row>
    <row r="1073" spans="1:1">
      <c r="A1073" s="3145"/>
    </row>
    <row r="1074" spans="1:1">
      <c r="A1074" s="3145"/>
    </row>
    <row r="1075" spans="1:1">
      <c r="A1075" s="3145"/>
    </row>
    <row r="1076" spans="1:1">
      <c r="A1076" s="3145"/>
    </row>
    <row r="1077" spans="1:1">
      <c r="A1077" s="3145"/>
    </row>
    <row r="1078" spans="1:1">
      <c r="A1078" s="3145"/>
    </row>
    <row r="1079" spans="1:1">
      <c r="A1079" s="3145"/>
    </row>
    <row r="1080" spans="1:1">
      <c r="A1080" s="3145"/>
    </row>
    <row r="1081" spans="1:1">
      <c r="A1081" s="3145"/>
    </row>
    <row r="1082" spans="1:1">
      <c r="A1082" s="3145"/>
    </row>
    <row r="1083" spans="1:1">
      <c r="A1083" s="3145"/>
    </row>
    <row r="1084" spans="1:1">
      <c r="A1084" s="3145"/>
    </row>
    <row r="1085" spans="1:1">
      <c r="A1085" s="3145"/>
    </row>
    <row r="1086" spans="1:1">
      <c r="A1086" s="3145"/>
    </row>
    <row r="1087" spans="1:1">
      <c r="A1087" s="3145"/>
    </row>
    <row r="1088" spans="1:1">
      <c r="A1088" s="3145"/>
    </row>
    <row r="1089" spans="1:1">
      <c r="A1089" s="3145"/>
    </row>
    <row r="1090" spans="1:1">
      <c r="A1090" s="3145"/>
    </row>
    <row r="1091" spans="1:1">
      <c r="A1091" s="3145"/>
    </row>
    <row r="1092" spans="1:1">
      <c r="A1092" s="3145"/>
    </row>
    <row r="1093" spans="1:1">
      <c r="A1093" s="3145"/>
    </row>
    <row r="1094" spans="1:1">
      <c r="A1094" s="3145"/>
    </row>
    <row r="1095" spans="1:1">
      <c r="A1095" s="3145"/>
    </row>
    <row r="1096" spans="1:1">
      <c r="A1096" s="3145"/>
    </row>
    <row r="1097" spans="1:1">
      <c r="A1097" s="3145"/>
    </row>
    <row r="1098" spans="1:1">
      <c r="A1098" s="3145"/>
    </row>
    <row r="1099" spans="1:1">
      <c r="A1099" s="3145"/>
    </row>
    <row r="1100" spans="1:1">
      <c r="A1100" s="3145"/>
    </row>
    <row r="1101" spans="1:1">
      <c r="A1101" s="3145"/>
    </row>
    <row r="1102" spans="1:1">
      <c r="A1102" s="3145"/>
    </row>
    <row r="1103" spans="1:1">
      <c r="A1103" s="3145"/>
    </row>
    <row r="1104" spans="1:1">
      <c r="A1104" s="3145"/>
    </row>
    <row r="1105" spans="1:1">
      <c r="A1105" s="3145"/>
    </row>
    <row r="1106" spans="1:1">
      <c r="A1106" s="3145"/>
    </row>
    <row r="1107" spans="1:1">
      <c r="A1107" s="3145"/>
    </row>
    <row r="1108" spans="1:1">
      <c r="A1108" s="3145"/>
    </row>
    <row r="1109" spans="1:1">
      <c r="A1109" s="3145"/>
    </row>
    <row r="1110" spans="1:1">
      <c r="A1110" s="3145"/>
    </row>
    <row r="1111" spans="1:1">
      <c r="A1111" s="3145"/>
    </row>
    <row r="1112" spans="1:1">
      <c r="A1112" s="3145"/>
    </row>
    <row r="1113" spans="1:1">
      <c r="A1113" s="3145"/>
    </row>
    <row r="1114" spans="1:1">
      <c r="A1114" s="3145"/>
    </row>
    <row r="1115" spans="1:1">
      <c r="A1115" s="3145"/>
    </row>
    <row r="1116" spans="1:1">
      <c r="A1116" s="3145"/>
    </row>
    <row r="1117" spans="1:1">
      <c r="A1117" s="3145"/>
    </row>
    <row r="1118" spans="1:1">
      <c r="A1118" s="3145"/>
    </row>
    <row r="1119" spans="1:1">
      <c r="A1119" s="3145"/>
    </row>
    <row r="1120" spans="1:1">
      <c r="A1120" s="3145"/>
    </row>
    <row r="1121" spans="1:1">
      <c r="A1121" s="3145"/>
    </row>
    <row r="1122" spans="1:1">
      <c r="A1122" s="3145"/>
    </row>
    <row r="1123" spans="1:1">
      <c r="A1123" s="3145"/>
    </row>
    <row r="1124" spans="1:1">
      <c r="A1124" s="3145"/>
    </row>
    <row r="1125" spans="1:1">
      <c r="A1125" s="3145"/>
    </row>
    <row r="1126" spans="1:1">
      <c r="A1126" s="3145"/>
    </row>
    <row r="1127" spans="1:1">
      <c r="A1127" s="3145"/>
    </row>
    <row r="1128" spans="1:1">
      <c r="A1128" s="3145"/>
    </row>
    <row r="1129" spans="1:1">
      <c r="A1129" s="3145"/>
    </row>
    <row r="1130" spans="1:1">
      <c r="A1130" s="3145"/>
    </row>
    <row r="1131" spans="1:1">
      <c r="A1131" s="3145"/>
    </row>
    <row r="1132" spans="1:1">
      <c r="A1132" s="3145"/>
    </row>
    <row r="1133" spans="1:1">
      <c r="A1133" s="3145"/>
    </row>
    <row r="1134" spans="1:1">
      <c r="A1134" s="3145"/>
    </row>
    <row r="1135" spans="1:1">
      <c r="A1135" s="3145"/>
    </row>
    <row r="1136" spans="1:1">
      <c r="A1136" s="3145"/>
    </row>
    <row r="1137" spans="1:1">
      <c r="A1137" s="3145"/>
    </row>
    <row r="1138" spans="1:1">
      <c r="A1138" s="3145"/>
    </row>
    <row r="1139" spans="1:1">
      <c r="A1139" s="3145"/>
    </row>
    <row r="1140" spans="1:1">
      <c r="A1140" s="3145"/>
    </row>
    <row r="1141" spans="1:1">
      <c r="A1141" s="3145"/>
    </row>
    <row r="1142" spans="1:1">
      <c r="A1142" s="3145"/>
    </row>
    <row r="1143" spans="1:1">
      <c r="A1143" s="3145"/>
    </row>
    <row r="1144" spans="1:1">
      <c r="A1144" s="3145"/>
    </row>
    <row r="1145" spans="1:1">
      <c r="A1145" s="3145"/>
    </row>
    <row r="1146" spans="1:1">
      <c r="A1146" s="3145"/>
    </row>
    <row r="1147" spans="1:1">
      <c r="A1147" s="3145"/>
    </row>
    <row r="1148" spans="1:1">
      <c r="A1148" s="3145"/>
    </row>
    <row r="1149" spans="1:1">
      <c r="A1149" s="3145"/>
    </row>
    <row r="1150" spans="1:1">
      <c r="A1150" s="3145"/>
    </row>
    <row r="1151" spans="1:1">
      <c r="A1151" s="3145"/>
    </row>
    <row r="1152" spans="1:1">
      <c r="A1152" s="3145"/>
    </row>
    <row r="1153" spans="1:1">
      <c r="A1153" s="3145"/>
    </row>
    <row r="1154" spans="1:1">
      <c r="A1154" s="3145"/>
    </row>
    <row r="1155" spans="1:1">
      <c r="A1155" s="3145"/>
    </row>
    <row r="1156" spans="1:1">
      <c r="A1156" s="3145"/>
    </row>
    <row r="1157" spans="1:1">
      <c r="A1157" s="3145"/>
    </row>
    <row r="1158" spans="1:1">
      <c r="A1158" s="3145"/>
    </row>
    <row r="1159" spans="1:1">
      <c r="A1159" s="3145"/>
    </row>
    <row r="1160" spans="1:1">
      <c r="A1160" s="3145"/>
    </row>
    <row r="1161" spans="1:1">
      <c r="A1161" s="3145"/>
    </row>
    <row r="1162" spans="1:1">
      <c r="A1162" s="3145"/>
    </row>
    <row r="1163" spans="1:1">
      <c r="A1163" s="3145"/>
    </row>
    <row r="1164" spans="1:1">
      <c r="A1164" s="3145"/>
    </row>
    <row r="1165" spans="1:1">
      <c r="A1165" s="3145"/>
    </row>
    <row r="1166" spans="1:1">
      <c r="A1166" s="3145"/>
    </row>
    <row r="1167" spans="1:1">
      <c r="A1167" s="3145"/>
    </row>
    <row r="1168" spans="1:1">
      <c r="A1168" s="3145"/>
    </row>
    <row r="1169" spans="1:1">
      <c r="A1169" s="3145"/>
    </row>
    <row r="1170" spans="1:1">
      <c r="A1170" s="3145"/>
    </row>
    <row r="1171" spans="1:1">
      <c r="A1171" s="3145"/>
    </row>
    <row r="1172" spans="1:1">
      <c r="A1172" s="3145"/>
    </row>
    <row r="1173" spans="1:1">
      <c r="A1173" s="3145"/>
    </row>
    <row r="1174" spans="1:1">
      <c r="A1174" s="3145"/>
    </row>
    <row r="1175" spans="1:1">
      <c r="A1175" s="3145"/>
    </row>
    <row r="1176" spans="1:1">
      <c r="A1176" s="3145"/>
    </row>
    <row r="1177" spans="1:1">
      <c r="A1177" s="3145"/>
    </row>
    <row r="1178" spans="1:1">
      <c r="A1178" s="3145"/>
    </row>
    <row r="1179" spans="1:1">
      <c r="A1179" s="3145"/>
    </row>
    <row r="1180" spans="1:1">
      <c r="A1180" s="3145"/>
    </row>
    <row r="1181" spans="1:1">
      <c r="A1181" s="3145"/>
    </row>
    <row r="1182" spans="1:1">
      <c r="A1182" s="3145"/>
    </row>
    <row r="1183" spans="1:1">
      <c r="A1183" s="3145"/>
    </row>
    <row r="1184" spans="1:1">
      <c r="A1184" s="3145"/>
    </row>
    <row r="1185" spans="1:1">
      <c r="A1185" s="3145"/>
    </row>
    <row r="1186" spans="1:1">
      <c r="A1186" s="3145"/>
    </row>
    <row r="1187" spans="1:1">
      <c r="A1187" s="3145"/>
    </row>
    <row r="1188" spans="1:1">
      <c r="A1188" s="3145"/>
    </row>
    <row r="1189" spans="1:1">
      <c r="A1189" s="3145"/>
    </row>
    <row r="1190" spans="1:1">
      <c r="A1190" s="3145"/>
    </row>
    <row r="1191" spans="1:1">
      <c r="A1191" s="3145"/>
    </row>
    <row r="1192" spans="1:1">
      <c r="A1192" s="3145"/>
    </row>
    <row r="1193" spans="1:1">
      <c r="A1193" s="3145"/>
    </row>
    <row r="1194" spans="1:1">
      <c r="A1194" s="3145"/>
    </row>
    <row r="1195" spans="1:1">
      <c r="A1195" s="3145"/>
    </row>
    <row r="1196" spans="1:1">
      <c r="A1196" s="3145"/>
    </row>
    <row r="1197" spans="1:1">
      <c r="A1197" s="3145"/>
    </row>
    <row r="1198" spans="1:1">
      <c r="A1198" s="3145"/>
    </row>
    <row r="1199" spans="1:1">
      <c r="A1199" s="3145"/>
    </row>
    <row r="1200" spans="1:1">
      <c r="A1200" s="3145"/>
    </row>
    <row r="1201" spans="1:1">
      <c r="A1201" s="3145"/>
    </row>
    <row r="1202" spans="1:1">
      <c r="A1202" s="3145"/>
    </row>
    <row r="1203" spans="1:1">
      <c r="A1203" s="3145"/>
    </row>
    <row r="1204" spans="1:1">
      <c r="A1204" s="3145"/>
    </row>
    <row r="1205" spans="1:1">
      <c r="A1205" s="3145"/>
    </row>
    <row r="1206" spans="1:1">
      <c r="A1206" s="3145"/>
    </row>
    <row r="1207" spans="1:1">
      <c r="A1207" s="3145"/>
    </row>
    <row r="1208" spans="1:1">
      <c r="A1208" s="3145"/>
    </row>
    <row r="1209" spans="1:1">
      <c r="A1209" s="3145"/>
    </row>
    <row r="1210" spans="1:1">
      <c r="A1210" s="3145"/>
    </row>
    <row r="1211" spans="1:1">
      <c r="A1211" s="3145"/>
    </row>
    <row r="1212" spans="1:1">
      <c r="A1212" s="3145"/>
    </row>
    <row r="1213" spans="1:1">
      <c r="A1213" s="3145"/>
    </row>
    <row r="1214" spans="1:1">
      <c r="A1214" s="3145"/>
    </row>
    <row r="1215" spans="1:1">
      <c r="A1215" s="3145"/>
    </row>
    <row r="1216" spans="1:1">
      <c r="A1216" s="3145"/>
    </row>
    <row r="1217" spans="1:1">
      <c r="A1217" s="3145"/>
    </row>
    <row r="1218" spans="1:1">
      <c r="A1218" s="3145"/>
    </row>
    <row r="1219" spans="1:1">
      <c r="A1219" s="3145"/>
    </row>
    <row r="1220" spans="1:1">
      <c r="A1220" s="3145"/>
    </row>
    <row r="1221" spans="1:1">
      <c r="A1221" s="3145"/>
    </row>
    <row r="1222" spans="1:1">
      <c r="A1222" s="3145"/>
    </row>
    <row r="1223" spans="1:1">
      <c r="A1223" s="3145"/>
    </row>
    <row r="1224" spans="1:1">
      <c r="A1224" s="3145"/>
    </row>
    <row r="1225" spans="1:1">
      <c r="A1225" s="3145"/>
    </row>
    <row r="1226" spans="1:1">
      <c r="A1226" s="3145"/>
    </row>
    <row r="1227" spans="1:1">
      <c r="A1227" s="3145"/>
    </row>
    <row r="1228" spans="1:1">
      <c r="A1228" s="3145"/>
    </row>
    <row r="1229" spans="1:1">
      <c r="A1229" s="3145"/>
    </row>
    <row r="1230" spans="1:1">
      <c r="A1230" s="3145"/>
    </row>
    <row r="1231" spans="1:1">
      <c r="A1231" s="3145"/>
    </row>
    <row r="1232" spans="1:1">
      <c r="A1232" s="3145"/>
    </row>
    <row r="1233" spans="1:1">
      <c r="A1233" s="3145"/>
    </row>
    <row r="1234" spans="1:1">
      <c r="A1234" s="3145"/>
    </row>
    <row r="1235" spans="1:1">
      <c r="A1235" s="3145"/>
    </row>
    <row r="1236" spans="1:1">
      <c r="A1236" s="3145"/>
    </row>
    <row r="1237" spans="1:1">
      <c r="A1237" s="3145"/>
    </row>
    <row r="1238" spans="1:1">
      <c r="A1238" s="3145"/>
    </row>
    <row r="1239" spans="1:1">
      <c r="A1239" s="3145"/>
    </row>
    <row r="1240" spans="1:1">
      <c r="A1240" s="3145"/>
    </row>
    <row r="1241" spans="1:1">
      <c r="A1241" s="3145"/>
    </row>
    <row r="1242" spans="1:1">
      <c r="A1242" s="3145"/>
    </row>
    <row r="1243" spans="1:1">
      <c r="A1243" s="3145"/>
    </row>
    <row r="1244" spans="1:1">
      <c r="A1244" s="3145"/>
    </row>
    <row r="1245" spans="1:1">
      <c r="A1245" s="3145"/>
    </row>
    <row r="1246" spans="1:1">
      <c r="A1246" s="3145"/>
    </row>
    <row r="1247" spans="1:1">
      <c r="A1247" s="3145"/>
    </row>
    <row r="1248" spans="1:1">
      <c r="A1248" s="3145"/>
    </row>
    <row r="1249" spans="1:1">
      <c r="A1249" s="3145"/>
    </row>
    <row r="1250" spans="1:1">
      <c r="A1250" s="3145"/>
    </row>
    <row r="1251" spans="1:1">
      <c r="A1251" s="3145"/>
    </row>
    <row r="1252" spans="1:1">
      <c r="A1252" s="3145"/>
    </row>
    <row r="1253" spans="1:1">
      <c r="A1253" s="3145"/>
    </row>
    <row r="1254" spans="1:1">
      <c r="A1254" s="3145"/>
    </row>
    <row r="1255" spans="1:1">
      <c r="A1255" s="3145"/>
    </row>
    <row r="1256" spans="1:1">
      <c r="A1256" s="3145"/>
    </row>
    <row r="1257" spans="1:1">
      <c r="A1257" s="3145"/>
    </row>
    <row r="1258" spans="1:1">
      <c r="A1258" s="3145"/>
    </row>
    <row r="1259" spans="1:1">
      <c r="A1259" s="3145"/>
    </row>
    <row r="1260" spans="1:1">
      <c r="A1260" s="3145"/>
    </row>
    <row r="1261" spans="1:1">
      <c r="A1261" s="3145"/>
    </row>
    <row r="1262" spans="1:1">
      <c r="A1262" s="3145"/>
    </row>
    <row r="1263" spans="1:1">
      <c r="A1263" s="3145"/>
    </row>
    <row r="1264" spans="1:1">
      <c r="A1264" s="3145"/>
    </row>
    <row r="1265" spans="1:1">
      <c r="A1265" s="3145"/>
    </row>
    <row r="1266" spans="1:1">
      <c r="A1266" s="3145"/>
    </row>
    <row r="1267" spans="1:1">
      <c r="A1267" s="3145"/>
    </row>
    <row r="1268" spans="1:1">
      <c r="A1268" s="3145"/>
    </row>
    <row r="1269" spans="1:1">
      <c r="A1269" s="3145"/>
    </row>
    <row r="1270" spans="1:1">
      <c r="A1270" s="3145"/>
    </row>
    <row r="1271" spans="1:1">
      <c r="A1271" s="3145"/>
    </row>
    <row r="1272" spans="1:1">
      <c r="A1272" s="3145"/>
    </row>
    <row r="1273" spans="1:1">
      <c r="A1273" s="3145"/>
    </row>
    <row r="1274" spans="1:1">
      <c r="A1274" s="3145"/>
    </row>
    <row r="1275" spans="1:1">
      <c r="A1275" s="3145"/>
    </row>
    <row r="1276" spans="1:1">
      <c r="A1276" s="3145"/>
    </row>
    <row r="1277" spans="1:1">
      <c r="A1277" s="3145"/>
    </row>
    <row r="1278" spans="1:1">
      <c r="A1278" s="3145"/>
    </row>
    <row r="1279" spans="1:1">
      <c r="A1279" s="3145"/>
    </row>
    <row r="1280" spans="1:1">
      <c r="A1280" s="3145"/>
    </row>
    <row r="1281" spans="1:1">
      <c r="A1281" s="3145"/>
    </row>
    <row r="1282" spans="1:1">
      <c r="A1282" s="3145"/>
    </row>
    <row r="1283" spans="1:1">
      <c r="A1283" s="3145"/>
    </row>
    <row r="1284" spans="1:1">
      <c r="A1284" s="3145"/>
    </row>
    <row r="1285" spans="1:1">
      <c r="A1285" s="3145"/>
    </row>
    <row r="1286" spans="1:1">
      <c r="A1286" s="3145"/>
    </row>
    <row r="1287" spans="1:1">
      <c r="A1287" s="3145"/>
    </row>
    <row r="1288" spans="1:1">
      <c r="A1288" s="3145"/>
    </row>
    <row r="1289" spans="1:1">
      <c r="A1289" s="3145"/>
    </row>
    <row r="1290" spans="1:1">
      <c r="A1290" s="3145"/>
    </row>
    <row r="1291" spans="1:1">
      <c r="A1291" s="3145"/>
    </row>
    <row r="1292" spans="1:1">
      <c r="A1292" s="3145"/>
    </row>
    <row r="1293" spans="1:1">
      <c r="A1293" s="3145"/>
    </row>
    <row r="1294" spans="1:1">
      <c r="A1294" s="3145"/>
    </row>
    <row r="1295" spans="1:1">
      <c r="A1295" s="3145"/>
    </row>
    <row r="1296" spans="1:1">
      <c r="A1296" s="3145"/>
    </row>
    <row r="1297" spans="1:1">
      <c r="A1297" s="3145"/>
    </row>
    <row r="1298" spans="1:1">
      <c r="A1298" s="3145"/>
    </row>
    <row r="1299" spans="1:1">
      <c r="A1299" s="3145"/>
    </row>
    <row r="1300" spans="1:1">
      <c r="A1300" s="3145"/>
    </row>
    <row r="1301" spans="1:1">
      <c r="A1301" s="3145"/>
    </row>
    <row r="1302" spans="1:1">
      <c r="A1302" s="3145"/>
    </row>
    <row r="1303" spans="1:1">
      <c r="A1303" s="3145"/>
    </row>
    <row r="1304" spans="1:1">
      <c r="A1304" s="3145"/>
    </row>
    <row r="1305" spans="1:1">
      <c r="A1305" s="3145"/>
    </row>
    <row r="1306" spans="1:1">
      <c r="A1306" s="3145"/>
    </row>
    <row r="1307" spans="1:1">
      <c r="A1307" s="3145"/>
    </row>
    <row r="1308" spans="1:1">
      <c r="A1308" s="3145"/>
    </row>
    <row r="1309" spans="1:1">
      <c r="A1309" s="3145"/>
    </row>
    <row r="1310" spans="1:1">
      <c r="A1310" s="3145"/>
    </row>
    <row r="1311" spans="1:1">
      <c r="A1311" s="3145"/>
    </row>
    <row r="1312" spans="1:1">
      <c r="A1312" s="3145"/>
    </row>
    <row r="1313" spans="1:1">
      <c r="A1313" s="3145"/>
    </row>
    <row r="1314" spans="1:1">
      <c r="A1314" s="3145"/>
    </row>
    <row r="1315" spans="1:1">
      <c r="A1315" s="3145"/>
    </row>
    <row r="1316" spans="1:1">
      <c r="A1316" s="3145"/>
    </row>
    <row r="1317" spans="1:1">
      <c r="A1317" s="3145"/>
    </row>
  </sheetData>
  <mergeCells count="1">
    <mergeCell ref="A13:D13"/>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D14" sqref="D14:D15"/>
    </sheetView>
  </sheetViews>
  <sheetFormatPr defaultColWidth="9" defaultRowHeight="13.5"/>
  <cols>
    <col min="1" max="1" width="25" style="2288" customWidth="1"/>
    <col min="2" max="9" width="15.75" style="2288" customWidth="1"/>
    <col min="10" max="16384" width="9" style="2288"/>
  </cols>
  <sheetData>
    <row r="1" spans="1:11" ht="16.5">
      <c r="A1" s="2287" t="s">
        <v>662</v>
      </c>
      <c r="B1" s="2287">
        <f>SUM(B14:B23)</f>
        <v>190579.65000000061</v>
      </c>
      <c r="C1" s="2449"/>
      <c r="D1" s="2449"/>
      <c r="E1" s="2449"/>
      <c r="F1" s="2449"/>
      <c r="G1" s="2450"/>
      <c r="H1" s="2450"/>
      <c r="I1" s="2450"/>
      <c r="J1" s="2450"/>
      <c r="K1" s="2450"/>
    </row>
    <row r="2" spans="1:11" ht="16.5">
      <c r="A2" s="2287" t="s">
        <v>650</v>
      </c>
      <c r="B2" s="2287">
        <f>SUM(C14:C23)</f>
        <v>123131.88</v>
      </c>
      <c r="C2" s="2449"/>
      <c r="D2" s="2449"/>
      <c r="E2" s="2449"/>
      <c r="F2" s="2449"/>
      <c r="G2" s="2450"/>
      <c r="H2" s="2450"/>
      <c r="I2" s="2450"/>
      <c r="J2" s="2450"/>
      <c r="K2" s="2450"/>
    </row>
    <row r="3" spans="1:11" ht="16.5">
      <c r="A3" s="2287" t="s">
        <v>659</v>
      </c>
      <c r="B3" s="2289">
        <f>项目基本情况!D3</f>
        <v>45596</v>
      </c>
      <c r="C3" s="2449"/>
      <c r="D3" s="2449"/>
      <c r="E3" s="2449"/>
      <c r="F3" s="2449"/>
      <c r="G3" s="2450"/>
      <c r="H3" s="2450"/>
      <c r="I3" s="2450"/>
      <c r="J3" s="2450"/>
      <c r="K3" s="2450"/>
    </row>
    <row r="4" spans="1:11" ht="33">
      <c r="A4" s="2287" t="s">
        <v>658</v>
      </c>
      <c r="B4" s="2287" t="s">
        <v>657</v>
      </c>
      <c r="C4" s="2287" t="s">
        <v>656</v>
      </c>
      <c r="D4" s="2287" t="s">
        <v>655</v>
      </c>
      <c r="E4" s="2449"/>
      <c r="F4" s="2450"/>
      <c r="G4" s="2450"/>
      <c r="H4" s="2450"/>
      <c r="I4" s="2450"/>
      <c r="J4" s="2450"/>
      <c r="K4" s="2450"/>
    </row>
    <row r="5" spans="1:11" ht="16.5">
      <c r="A5" s="2287" t="s">
        <v>654</v>
      </c>
      <c r="B5" s="2287">
        <f ca="1">SUM(D14:D23)</f>
        <v>464860</v>
      </c>
      <c r="C5" s="2287">
        <f ca="1">IF(B5=D14,结果表!H102,ROUND(B5*10000/$B$1,0))</f>
        <v>24392</v>
      </c>
      <c r="D5" s="2287">
        <f ca="1">ROUND(B5*10000/$B$2,0)</f>
        <v>37753</v>
      </c>
      <c r="E5" s="2449"/>
      <c r="F5" s="2450"/>
      <c r="G5" s="2450"/>
      <c r="H5" s="2450"/>
      <c r="I5" s="2450"/>
      <c r="J5" s="2450"/>
      <c r="K5" s="2450"/>
    </row>
    <row r="6" spans="1:11" ht="16.5">
      <c r="A6" s="2287" t="s">
        <v>653</v>
      </c>
      <c r="B6" s="2287">
        <f>SUM(G14:G23)</f>
        <v>0</v>
      </c>
      <c r="C6" s="2287">
        <f ca="1">IF(B6=G14,结果表!H108,ROUND(B6*10000/$B$1,0))</f>
        <v>0</v>
      </c>
      <c r="D6" s="2287">
        <f>ROUND(B6*10000/$B$2,0)</f>
        <v>0</v>
      </c>
      <c r="E6" s="2449"/>
      <c r="F6" s="2450"/>
      <c r="G6" s="2450"/>
      <c r="H6" s="2450"/>
      <c r="I6" s="2450"/>
      <c r="J6" s="2450"/>
      <c r="K6" s="2450"/>
    </row>
    <row r="7" spans="1:11" ht="16.5">
      <c r="A7" s="2287" t="s">
        <v>661</v>
      </c>
      <c r="B7" s="2287">
        <f>SUM(H14:H23)</f>
        <v>0</v>
      </c>
      <c r="C7" s="2287" t="str">
        <f>IF(B7=H14,结果表!H110,ROUND(B7*10000/$B$1,0))</f>
        <v>——</v>
      </c>
      <c r="D7" s="2287">
        <f>ROUND(B7*10000/$B$2,0)</f>
        <v>0</v>
      </c>
      <c r="E7" s="2449"/>
      <c r="F7" s="2450"/>
      <c r="G7" s="2450"/>
      <c r="H7" s="2450"/>
      <c r="I7" s="2450"/>
      <c r="J7" s="2450"/>
      <c r="K7" s="2450"/>
    </row>
    <row r="8" spans="1:11" ht="16.5">
      <c r="A8" s="2287" t="s">
        <v>587</v>
      </c>
      <c r="B8" s="2287">
        <f>SUM(I14:I23)</f>
        <v>0</v>
      </c>
      <c r="C8" s="2287" t="str">
        <f>IF(B8=I14,结果表!H112,ROUND(B8*10000/$B$1,0))</f>
        <v>——</v>
      </c>
      <c r="D8" s="2287">
        <f>ROUND(B8*10000/$B$2,0)</f>
        <v>0</v>
      </c>
      <c r="E8" s="2449"/>
      <c r="F8" s="2450"/>
      <c r="G8" s="2450"/>
      <c r="H8" s="2450"/>
      <c r="I8" s="2450"/>
      <c r="J8" s="2450"/>
      <c r="K8" s="2450"/>
    </row>
    <row r="9" spans="1:11" ht="16.5">
      <c r="A9" s="2287" t="s">
        <v>652</v>
      </c>
      <c r="B9" s="1234"/>
      <c r="C9" s="2449"/>
      <c r="D9" s="2449"/>
      <c r="E9" s="2449"/>
      <c r="F9" s="2450"/>
      <c r="G9" s="2450"/>
      <c r="H9" s="2450"/>
      <c r="I9" s="2450"/>
      <c r="J9" s="2450"/>
      <c r="K9" s="2450"/>
    </row>
    <row r="10" spans="1:11" ht="16.5">
      <c r="A10" s="2287" t="s">
        <v>651</v>
      </c>
      <c r="B10" s="2287">
        <f>IF(E10="",0,ROUND(B1*(E10*365/G10)/10000,0))</f>
        <v>0</v>
      </c>
      <c r="C10" s="2287" t="s">
        <v>3346</v>
      </c>
      <c r="D10" s="2287" t="s">
        <v>3347</v>
      </c>
      <c r="E10" s="3123"/>
      <c r="F10" s="3127" t="s">
        <v>3348</v>
      </c>
      <c r="G10" s="3124"/>
      <c r="H10" s="2450"/>
      <c r="I10" s="2450"/>
      <c r="J10" s="2450"/>
      <c r="K10" s="2450"/>
    </row>
    <row r="11" spans="1:11" ht="16.5">
      <c r="A11" s="2287" t="s">
        <v>667</v>
      </c>
      <c r="B11" s="1234"/>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0" t="s">
        <v>666</v>
      </c>
      <c r="B13" s="2291" t="s">
        <v>663</v>
      </c>
      <c r="C13" s="2291" t="s">
        <v>665</v>
      </c>
      <c r="D13" s="2291" t="s">
        <v>664</v>
      </c>
      <c r="E13" s="2287" t="s">
        <v>656</v>
      </c>
      <c r="F13" s="2287" t="s">
        <v>655</v>
      </c>
      <c r="G13" s="2291" t="s">
        <v>649</v>
      </c>
      <c r="H13" s="2291" t="s">
        <v>660</v>
      </c>
      <c r="I13" s="2291" t="s">
        <v>648</v>
      </c>
      <c r="J13" s="2450"/>
      <c r="K13" s="2450"/>
    </row>
    <row r="14" spans="1:11" ht="16.5">
      <c r="A14" s="2292" t="s">
        <v>4075</v>
      </c>
      <c r="B14" s="2293">
        <f>典型户型修正!B22</f>
        <v>49296.620000000592</v>
      </c>
      <c r="C14" s="2293"/>
      <c r="D14" s="2293">
        <f ca="1">典型户型修正!S22</f>
        <v>70321</v>
      </c>
      <c r="E14" s="2293">
        <f ca="1">ROUND(D14*10000/B14,0)</f>
        <v>14265</v>
      </c>
      <c r="F14" s="2293" t="e">
        <f ca="1">ROUND(D14*10000/C14,0)</f>
        <v>#DIV/0!</v>
      </c>
      <c r="G14" s="2293"/>
      <c r="H14" s="2293"/>
      <c r="I14" s="2293"/>
      <c r="J14" s="2450"/>
      <c r="K14" s="2450"/>
    </row>
    <row r="15" spans="1:11" ht="16.5">
      <c r="A15" s="2292" t="s">
        <v>4076</v>
      </c>
      <c r="B15" s="2293">
        <f>典型户型修正商!B22</f>
        <v>1815.06</v>
      </c>
      <c r="C15" s="2293"/>
      <c r="D15" s="2293">
        <f ca="1">典型户型修正商!S22</f>
        <v>4084</v>
      </c>
      <c r="E15" s="2293">
        <f t="shared" ref="E15:E23" ca="1" si="0">ROUND(D15*10000/B15,0)</f>
        <v>22501</v>
      </c>
      <c r="F15" s="2293" t="e">
        <f t="shared" ref="F15:F23" ca="1" si="1">ROUND(D15*10000/C15,0)</f>
        <v>#DIV/0!</v>
      </c>
      <c r="G15" s="1234"/>
      <c r="H15" s="1234"/>
      <c r="I15" s="2294"/>
      <c r="J15" s="2450"/>
      <c r="K15" s="2450"/>
    </row>
    <row r="16" spans="1:11" ht="16.5">
      <c r="A16" s="2292" t="s">
        <v>4077</v>
      </c>
      <c r="B16" s="2293">
        <f>[4]系统读取表!$B$14</f>
        <v>139467.97</v>
      </c>
      <c r="C16" s="2293">
        <f>[4]系统读取表!$C$14</f>
        <v>123131.88</v>
      </c>
      <c r="D16" s="2293">
        <f>[5]系统读取表!$D$14</f>
        <v>390455</v>
      </c>
      <c r="E16" s="2293">
        <f t="shared" si="0"/>
        <v>27996</v>
      </c>
      <c r="F16" s="2293">
        <f t="shared" si="1"/>
        <v>31710</v>
      </c>
      <c r="G16" s="1234"/>
      <c r="H16" s="1234"/>
      <c r="I16" s="2294"/>
      <c r="J16" s="2450"/>
      <c r="K16" s="2450"/>
    </row>
    <row r="17" spans="1:11" ht="16.5">
      <c r="A17" s="2292" t="s">
        <v>647</v>
      </c>
      <c r="B17" s="2294"/>
      <c r="C17" s="2294"/>
      <c r="D17" s="2294"/>
      <c r="E17" s="2293" t="e">
        <f t="shared" si="0"/>
        <v>#DIV/0!</v>
      </c>
      <c r="F17" s="2293" t="e">
        <f t="shared" si="1"/>
        <v>#DIV/0!</v>
      </c>
      <c r="G17" s="1234"/>
      <c r="H17" s="1234"/>
      <c r="I17" s="2294"/>
      <c r="J17" s="2450"/>
      <c r="K17" s="2450"/>
    </row>
    <row r="18" spans="1:11" ht="16.5">
      <c r="A18" s="2292" t="s">
        <v>646</v>
      </c>
      <c r="B18" s="2294"/>
      <c r="C18" s="2294"/>
      <c r="D18" s="2294"/>
      <c r="E18" s="2293" t="e">
        <f t="shared" si="0"/>
        <v>#DIV/0!</v>
      </c>
      <c r="F18" s="2293" t="e">
        <f t="shared" si="1"/>
        <v>#DIV/0!</v>
      </c>
      <c r="G18" s="2294"/>
      <c r="H18" s="2294"/>
      <c r="I18" s="2294"/>
      <c r="J18" s="2450"/>
      <c r="K18" s="2450"/>
    </row>
    <row r="19" spans="1:11" ht="16.5">
      <c r="A19" s="2292" t="s">
        <v>645</v>
      </c>
      <c r="B19" s="2294"/>
      <c r="C19" s="2294"/>
      <c r="D19" s="2294"/>
      <c r="E19" s="2293" t="e">
        <f t="shared" si="0"/>
        <v>#DIV/0!</v>
      </c>
      <c r="F19" s="2293" t="e">
        <f t="shared" si="1"/>
        <v>#DIV/0!</v>
      </c>
      <c r="G19" s="2294"/>
      <c r="H19" s="2294"/>
      <c r="I19" s="2294"/>
      <c r="J19" s="2450"/>
      <c r="K19" s="2450"/>
    </row>
    <row r="20" spans="1:11" ht="16.5">
      <c r="A20" s="2292" t="s">
        <v>644</v>
      </c>
      <c r="B20" s="2294"/>
      <c r="C20" s="2294"/>
      <c r="D20" s="2294"/>
      <c r="E20" s="2293" t="e">
        <f t="shared" si="0"/>
        <v>#DIV/0!</v>
      </c>
      <c r="F20" s="2293" t="e">
        <f t="shared" si="1"/>
        <v>#DIV/0!</v>
      </c>
      <c r="G20" s="2294"/>
      <c r="H20" s="2294"/>
      <c r="I20" s="2294"/>
      <c r="J20" s="2450"/>
      <c r="K20" s="2450"/>
    </row>
    <row r="21" spans="1:11" ht="16.5">
      <c r="A21" s="2292" t="s">
        <v>643</v>
      </c>
      <c r="B21" s="2294"/>
      <c r="C21" s="2294"/>
      <c r="D21" s="2294"/>
      <c r="E21" s="2293" t="e">
        <f t="shared" si="0"/>
        <v>#DIV/0!</v>
      </c>
      <c r="F21" s="2293" t="e">
        <f t="shared" si="1"/>
        <v>#DIV/0!</v>
      </c>
      <c r="G21" s="2294"/>
      <c r="H21" s="2294"/>
      <c r="I21" s="2294"/>
      <c r="J21" s="2450"/>
      <c r="K21" s="2450"/>
    </row>
    <row r="22" spans="1:11" ht="16.5">
      <c r="A22" s="2292" t="s">
        <v>642</v>
      </c>
      <c r="B22" s="2294"/>
      <c r="C22" s="2294"/>
      <c r="D22" s="2294"/>
      <c r="E22" s="2293" t="e">
        <f t="shared" si="0"/>
        <v>#DIV/0!</v>
      </c>
      <c r="F22" s="2293" t="e">
        <f t="shared" si="1"/>
        <v>#DIV/0!</v>
      </c>
      <c r="G22" s="2294"/>
      <c r="H22" s="2294"/>
      <c r="I22" s="2294"/>
      <c r="J22" s="2450"/>
      <c r="K22" s="2450"/>
    </row>
    <row r="23" spans="1:11" ht="16.5">
      <c r="A23" s="2292" t="s">
        <v>641</v>
      </c>
      <c r="B23" s="2294"/>
      <c r="C23" s="2294"/>
      <c r="D23" s="2294"/>
      <c r="E23" s="1234" t="e">
        <f t="shared" si="0"/>
        <v>#DIV/0!</v>
      </c>
      <c r="F23" s="1234" t="e">
        <f t="shared" si="1"/>
        <v>#DIV/0!</v>
      </c>
      <c r="G23" s="2294"/>
      <c r="H23" s="2294"/>
      <c r="I23" s="2294"/>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4037</v>
      </c>
      <c r="H1" s="1610" t="str">
        <f>IF(G1="现房","——","估价对象范围")</f>
        <v>——</v>
      </c>
      <c r="I1" s="1611" t="s">
        <v>4038</v>
      </c>
    </row>
    <row r="2" spans="1:12" ht="21.75" customHeight="1" thickBot="1">
      <c r="A2" s="3357" t="str">
        <f>项目基本情况!S2</f>
        <v>北京市房地产</v>
      </c>
      <c r="B2" s="3358"/>
      <c r="C2" s="3358"/>
      <c r="D2" s="3358"/>
      <c r="E2" s="3358"/>
      <c r="F2" s="3358"/>
      <c r="G2" s="3358"/>
      <c r="H2" s="3358"/>
      <c r="I2" s="3359"/>
    </row>
    <row r="3" spans="1:12" ht="12.75">
      <c r="A3" s="3361" t="s">
        <v>1261</v>
      </c>
      <c r="B3" s="3362"/>
      <c r="C3" s="3362"/>
      <c r="D3" s="3362"/>
      <c r="E3" s="3362"/>
      <c r="F3" s="3362"/>
      <c r="G3" s="3362"/>
      <c r="H3" s="3362"/>
      <c r="I3" s="3362"/>
    </row>
    <row r="4" spans="1:12" ht="14.25">
      <c r="A4" s="1613" t="s">
        <v>1262</v>
      </c>
      <c r="B4" s="1614" t="s">
        <v>1263</v>
      </c>
      <c r="C4" s="1615" t="s">
        <v>4039</v>
      </c>
      <c r="D4" s="1615" t="s">
        <v>3998</v>
      </c>
      <c r="E4" s="3366" t="s">
        <v>1264</v>
      </c>
      <c r="F4" s="3367"/>
      <c r="G4" s="3367"/>
      <c r="H4" s="3367"/>
      <c r="I4" s="336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5" t="s">
        <v>1265</v>
      </c>
      <c r="B5" s="3360">
        <v>25</v>
      </c>
      <c r="C5" s="3363"/>
      <c r="D5" s="3351"/>
      <c r="E5" s="122" t="s">
        <v>1266</v>
      </c>
      <c r="F5" s="1616"/>
      <c r="G5" s="1616"/>
      <c r="H5" s="1616"/>
      <c r="I5" s="1270"/>
    </row>
    <row r="6" spans="1:12" ht="12.75">
      <c r="A6" s="3305"/>
      <c r="B6" s="3360"/>
      <c r="C6" s="3365"/>
      <c r="D6" s="3351"/>
      <c r="E6" s="122" t="s">
        <v>1267</v>
      </c>
      <c r="F6" s="1616"/>
      <c r="G6" s="1616"/>
      <c r="H6" s="1616"/>
      <c r="I6" s="1270"/>
    </row>
    <row r="7" spans="1:12" ht="12.75">
      <c r="A7" s="3305"/>
      <c r="B7" s="3360"/>
      <c r="C7" s="3364"/>
      <c r="D7" s="3351"/>
      <c r="E7" s="122" t="s">
        <v>1268</v>
      </c>
      <c r="F7" s="1616"/>
      <c r="G7" s="1616"/>
      <c r="H7" s="1616"/>
      <c r="I7" s="1270"/>
    </row>
    <row r="8" spans="1:12" ht="12.75">
      <c r="A8" s="3305" t="s">
        <v>1269</v>
      </c>
      <c r="B8" s="3360">
        <v>15</v>
      </c>
      <c r="C8" s="3363"/>
      <c r="D8" s="3351"/>
      <c r="E8" s="122" t="s">
        <v>1270</v>
      </c>
      <c r="F8" s="1616"/>
      <c r="G8" s="1616"/>
      <c r="H8" s="1616"/>
      <c r="I8" s="1270"/>
    </row>
    <row r="9" spans="1:12" ht="12.75">
      <c r="A9" s="3305"/>
      <c r="B9" s="3360"/>
      <c r="C9" s="3364"/>
      <c r="D9" s="3351"/>
      <c r="E9" s="122" t="s">
        <v>1271</v>
      </c>
      <c r="F9" s="1616"/>
      <c r="G9" s="1616"/>
      <c r="H9" s="1616"/>
      <c r="I9" s="1270"/>
    </row>
    <row r="10" spans="1:12" ht="12.75">
      <c r="A10" s="3305" t="s">
        <v>1272</v>
      </c>
      <c r="B10" s="3360">
        <v>15</v>
      </c>
      <c r="C10" s="3363"/>
      <c r="D10" s="3351"/>
      <c r="E10" s="122" t="s">
        <v>1273</v>
      </c>
      <c r="F10" s="1616"/>
      <c r="G10" s="1616"/>
      <c r="H10" s="1616"/>
      <c r="I10" s="1270"/>
    </row>
    <row r="11" spans="1:12" ht="12.75">
      <c r="A11" s="3305"/>
      <c r="B11" s="3360"/>
      <c r="C11" s="3364"/>
      <c r="D11" s="3351"/>
      <c r="E11" s="122" t="s">
        <v>1274</v>
      </c>
      <c r="F11" s="1616"/>
      <c r="G11" s="1616"/>
      <c r="H11" s="1616"/>
      <c r="I11" s="1270"/>
    </row>
    <row r="12" spans="1:12" ht="12.75">
      <c r="A12" s="3305" t="s">
        <v>1275</v>
      </c>
      <c r="B12" s="3360">
        <v>15</v>
      </c>
      <c r="C12" s="3363"/>
      <c r="D12" s="3351"/>
      <c r="E12" s="122" t="s">
        <v>1276</v>
      </c>
      <c r="F12" s="1616"/>
      <c r="G12" s="1616"/>
      <c r="H12" s="1616"/>
      <c r="I12" s="1270"/>
    </row>
    <row r="13" spans="1:12" ht="12.75">
      <c r="A13" s="3305"/>
      <c r="B13" s="3360"/>
      <c r="C13" s="3364"/>
      <c r="D13" s="3351"/>
      <c r="E13" s="122" t="s">
        <v>1277</v>
      </c>
      <c r="F13" s="1616"/>
      <c r="G13" s="1616"/>
      <c r="H13" s="1616"/>
      <c r="I13" s="1270"/>
    </row>
    <row r="14" spans="1:12" ht="12.75">
      <c r="A14" s="3305" t="s">
        <v>1278</v>
      </c>
      <c r="B14" s="3360">
        <v>30</v>
      </c>
      <c r="C14" s="3363">
        <v>6</v>
      </c>
      <c r="D14" s="3351">
        <v>4</v>
      </c>
      <c r="E14" s="122" t="s">
        <v>1279</v>
      </c>
      <c r="F14" s="1616"/>
      <c r="G14" s="1616"/>
      <c r="H14" s="1616"/>
      <c r="I14" s="1270"/>
    </row>
    <row r="15" spans="1:12" ht="12.75">
      <c r="A15" s="3305"/>
      <c r="B15" s="3360"/>
      <c r="C15" s="3365"/>
      <c r="D15" s="3351"/>
      <c r="E15" s="122" t="s">
        <v>1280</v>
      </c>
      <c r="F15" s="1616"/>
      <c r="G15" s="1616"/>
      <c r="H15" s="1616"/>
      <c r="I15" s="1270"/>
    </row>
    <row r="16" spans="1:12" ht="12.75">
      <c r="A16" s="3305"/>
      <c r="B16" s="3360"/>
      <c r="C16" s="3364"/>
      <c r="D16" s="3351"/>
      <c r="E16" s="122" t="s">
        <v>1281</v>
      </c>
      <c r="F16" s="1616"/>
      <c r="G16" s="1616"/>
      <c r="H16" s="1616"/>
      <c r="I16" s="1270"/>
    </row>
    <row r="17" spans="1:36" ht="15">
      <c r="A17" s="1617" t="s">
        <v>1282</v>
      </c>
      <c r="B17" s="54"/>
      <c r="C17" s="123">
        <f>SUM(C5:C16)</f>
        <v>6</v>
      </c>
      <c r="D17" s="123">
        <f>SUM(D5:D16)</f>
        <v>4</v>
      </c>
      <c r="E17" s="120"/>
      <c r="F17" s="120"/>
      <c r="G17" s="120"/>
      <c r="H17" s="120"/>
      <c r="I17" s="120"/>
      <c r="K17" s="293"/>
      <c r="L17" s="293" t="s">
        <v>1283</v>
      </c>
      <c r="M17" s="293" t="s">
        <v>1284</v>
      </c>
    </row>
    <row r="18" spans="1:36" ht="31.9" customHeight="1" thickBot="1">
      <c r="A18" s="1618" t="s">
        <v>1285</v>
      </c>
      <c r="B18" s="1531"/>
      <c r="C18" s="124">
        <f>ROUND(C17/SUM(C17:D17),2)</f>
        <v>0.6</v>
      </c>
      <c r="D18" s="124">
        <f>1-C18</f>
        <v>0.4</v>
      </c>
      <c r="E18" s="3382" t="s">
        <v>2123</v>
      </c>
      <c r="F18" s="3383"/>
      <c r="G18" s="3383"/>
      <c r="H18" s="3383"/>
      <c r="I18" s="3383"/>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SUMIF(INDIRECT("'"&amp;C4&amp;"'"&amp;"!A:A"),结果表!B19,INDIRECT("'"&amp;C4&amp;"'"&amp;"!B:B"))</f>
        <v>85.047899999999998</v>
      </c>
      <c r="D19" s="126">
        <f ca="1">SUMIF(INDIRECT("'"&amp;D4&amp;"'"&amp;"!A:A"),结果表!B19,INDIRECT("'"&amp;D4&amp;"'"&amp;"!B:B"))</f>
        <v>54.47</v>
      </c>
      <c r="E19" s="1619" t="s">
        <v>1289</v>
      </c>
      <c r="F19" s="1620" t="s">
        <v>1288</v>
      </c>
      <c r="G19" s="127">
        <f ca="1">ROUND(C19*$C$18+D19*$D$18,0)</f>
        <v>73</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SUMIF(INDIRECT("'"&amp;C4&amp;"'"&amp;"!A:A"),结果表!B20,INDIRECT("'"&amp;C4&amp;"'"&amp;"!B:B"))</f>
        <v>16527</v>
      </c>
      <c r="D20" s="129">
        <f ca="1">SUMIF(INDIRECT("'"&amp;D4&amp;"'"&amp;"!A:A"),结果表!B20,INDIRECT("'"&amp;D4&amp;"'"&amp;"!B:B"))</f>
        <v>10585</v>
      </c>
      <c r="E20" s="1622"/>
      <c r="F20" s="43" t="s">
        <v>1292</v>
      </c>
      <c r="G20" s="130">
        <f ca="1">ROUND(C20*$C$18+D20*$D$18,0)</f>
        <v>14150</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0.56137139709932082</v>
      </c>
      <c r="E22" s="120"/>
      <c r="F22" s="120"/>
      <c r="G22" s="120"/>
      <c r="H22" s="120"/>
      <c r="I22" s="120"/>
    </row>
    <row r="23" spans="1:36" ht="13.5" thickBot="1">
      <c r="A23" s="642"/>
      <c r="B23" s="642"/>
      <c r="C23" s="642"/>
      <c r="D23" s="642"/>
      <c r="E23" s="120"/>
      <c r="F23" s="120"/>
      <c r="G23" s="120"/>
      <c r="H23" s="120"/>
      <c r="I23" s="120"/>
    </row>
    <row r="24" spans="1:36" ht="14.25">
      <c r="A24" s="3375" t="s">
        <v>1296</v>
      </c>
      <c r="B24" s="1620" t="s">
        <v>1288</v>
      </c>
      <c r="C24" s="127">
        <f>IF(B30=0,0,D30)</f>
        <v>0</v>
      </c>
      <c r="D24" s="1626"/>
      <c r="E24" s="120"/>
      <c r="F24" s="120"/>
      <c r="G24" s="120"/>
      <c r="H24" s="120"/>
      <c r="I24" s="120"/>
    </row>
    <row r="25" spans="1:36" ht="14.25">
      <c r="A25" s="3376"/>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14150</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52" t="s">
        <v>1309</v>
      </c>
      <c r="B36" s="1641" t="s">
        <v>1310</v>
      </c>
      <c r="C36" s="136"/>
      <c r="D36" s="1642"/>
      <c r="E36" s="1556"/>
      <c r="F36" s="1643"/>
      <c r="G36" s="120"/>
      <c r="H36" s="120"/>
      <c r="I36" s="120"/>
    </row>
    <row r="37" spans="1:15" ht="15.75" thickBot="1">
      <c r="A37" s="3353"/>
      <c r="B37" s="1544" t="s">
        <v>1311</v>
      </c>
      <c r="C37" s="138"/>
      <c r="D37" s="1061"/>
      <c r="E37" s="1061"/>
      <c r="F37" s="1643"/>
      <c r="G37" s="120"/>
      <c r="H37" s="120"/>
      <c r="I37" s="120"/>
    </row>
    <row r="38" spans="1:15" ht="15.75" thickBot="1">
      <c r="A38" s="3354"/>
      <c r="B38" s="1644" t="s">
        <v>1312</v>
      </c>
      <c r="C38" s="637"/>
      <c r="D38" s="1645" t="s">
        <v>1313</v>
      </c>
      <c r="E38" s="1061"/>
      <c r="F38" s="1643"/>
      <c r="G38" s="120"/>
      <c r="H38" s="120"/>
      <c r="I38" s="120"/>
    </row>
    <row r="39" spans="1:15" ht="15">
      <c r="A39" s="1622" t="s">
        <v>1314</v>
      </c>
      <c r="B39" s="1646" t="s">
        <v>1315</v>
      </c>
      <c r="C39" s="1647" t="s">
        <v>1316</v>
      </c>
      <c r="D39" s="1647" t="s">
        <v>1317</v>
      </c>
      <c r="E39" s="1648" t="s">
        <v>1318</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72" t="s">
        <v>1323</v>
      </c>
      <c r="B45" s="3373"/>
      <c r="C45" s="3374"/>
      <c r="D45" s="146" t="e">
        <f ca="1">ROUND(H101*F45,0)</f>
        <v>#REF!</v>
      </c>
      <c r="E45" s="147" t="s">
        <v>1324</v>
      </c>
      <c r="F45" s="148">
        <v>1</v>
      </c>
      <c r="G45" s="149" t="s">
        <v>1325</v>
      </c>
      <c r="H45" s="120"/>
      <c r="I45" s="120"/>
      <c r="J45" s="3292" t="s">
        <v>1326</v>
      </c>
      <c r="K45" s="3292"/>
      <c r="L45" s="3292"/>
      <c r="M45" s="3292"/>
      <c r="N45" s="3292"/>
      <c r="O45" s="3292"/>
    </row>
    <row r="46" spans="1:15" ht="14.25" customHeight="1">
      <c r="A46" s="3369" t="s">
        <v>1327</v>
      </c>
      <c r="B46" s="3370"/>
      <c r="C46" s="3370"/>
      <c r="D46" s="3370"/>
      <c r="E46" s="3370"/>
      <c r="F46" s="3370"/>
      <c r="G46" s="3371"/>
      <c r="H46" s="1657"/>
      <c r="I46" s="150"/>
      <c r="J46" s="2297">
        <v>1</v>
      </c>
      <c r="K46" s="3293" t="s">
        <v>1328</v>
      </c>
      <c r="L46" s="3293"/>
      <c r="M46" s="3294"/>
      <c r="N46" s="3294"/>
      <c r="O46" s="3294"/>
    </row>
    <row r="47" spans="1:15" ht="12" customHeight="1">
      <c r="A47" s="151" t="s">
        <v>1329</v>
      </c>
      <c r="B47" s="152"/>
      <c r="C47" s="153"/>
      <c r="D47" s="1014" t="s">
        <v>1330</v>
      </c>
      <c r="E47" s="293" t="s">
        <v>1331</v>
      </c>
      <c r="F47" s="154" t="s">
        <v>1332</v>
      </c>
      <c r="G47" s="2320" t="s">
        <v>1333</v>
      </c>
      <c r="H47" s="2321"/>
      <c r="I47" s="150"/>
      <c r="J47" s="2297">
        <v>2</v>
      </c>
      <c r="K47" s="3293" t="s">
        <v>1334</v>
      </c>
      <c r="L47" s="3293"/>
      <c r="M47" s="3295">
        <f>'数据-取费表'!B2</f>
        <v>45596</v>
      </c>
      <c r="N47" s="3295"/>
      <c r="O47" s="3295"/>
    </row>
    <row r="48" spans="1:15" ht="25.5">
      <c r="A48" s="3355" t="s">
        <v>1335</v>
      </c>
      <c r="B48" s="3356"/>
      <c r="C48" s="3356"/>
      <c r="D48" s="12" t="b">
        <f>IF(H48="情况1",0,IF(H48="情况2",D52,IF(H48="情况3",D53,IF(H48="情况4",D54))))</f>
        <v>0</v>
      </c>
      <c r="E48" s="1245" t="str">
        <f>IF(H48="情况4","(销售额-原购置价)×税（费）率","销售额×税（费）率")</f>
        <v>销售额×税（费）率</v>
      </c>
      <c r="F48" s="2322">
        <f>IF(H48="情况1","免征",'数据-取费表'!B41)</f>
        <v>5.6000000000000001E-2</v>
      </c>
      <c r="G48" s="2323" t="s">
        <v>1336</v>
      </c>
      <c r="H48" s="2324"/>
      <c r="I48" s="1657"/>
      <c r="J48" s="2297">
        <v>3</v>
      </c>
      <c r="K48" s="3293" t="s">
        <v>1337</v>
      </c>
      <c r="L48" s="3293"/>
      <c r="M48" s="3296" t="e">
        <f ca="1">H101</f>
        <v>#REF!</v>
      </c>
      <c r="N48" s="3296"/>
      <c r="O48" s="3296"/>
    </row>
    <row r="49" spans="1:35" ht="25.5" customHeight="1">
      <c r="A49" s="2141" t="s">
        <v>1338</v>
      </c>
      <c r="B49" s="3341" t="s">
        <v>1339</v>
      </c>
      <c r="C49" s="3341"/>
      <c r="D49" s="1467">
        <v>0</v>
      </c>
      <c r="E49" s="315" t="s">
        <v>1340</v>
      </c>
      <c r="F49" s="2222" t="s">
        <v>28</v>
      </c>
      <c r="G49" s="3324"/>
      <c r="H49" s="2123" t="s">
        <v>2126</v>
      </c>
      <c r="I49" s="2124"/>
      <c r="J49" s="2297">
        <v>4</v>
      </c>
      <c r="K49" s="3293" t="str">
        <f>IF(项目基本情况!E8="房地产抵押价值","房地产抵押价值","抵押担保权已注销时的房地产抵押价值")</f>
        <v>抵押担保权已注销时的房地产抵押价值</v>
      </c>
      <c r="L49" s="3293"/>
      <c r="M49" s="3296" t="str">
        <f>IF(项目基本情况!E8="房地产抵押价值",H107,H109)</f>
        <v>——</v>
      </c>
      <c r="N49" s="3296"/>
      <c r="O49" s="3296"/>
    </row>
    <row r="50" spans="1:35" ht="25.5" customHeight="1">
      <c r="A50" s="2325"/>
      <c r="B50" s="3341" t="s">
        <v>1341</v>
      </c>
      <c r="C50" s="3341"/>
      <c r="D50" s="2178"/>
      <c r="E50" s="322"/>
      <c r="F50" s="2222"/>
      <c r="G50" s="3325"/>
      <c r="H50" s="2125" t="s">
        <v>2127</v>
      </c>
      <c r="I50" s="2124"/>
      <c r="J50" s="3292" t="s">
        <v>1342</v>
      </c>
      <c r="K50" s="3292"/>
      <c r="L50" s="3292"/>
      <c r="M50" s="3292"/>
      <c r="N50" s="3292"/>
      <c r="O50" s="3292"/>
    </row>
    <row r="51" spans="1:35" ht="20.45" customHeight="1">
      <c r="A51" s="2326"/>
      <c r="B51" s="3341" t="s">
        <v>1343</v>
      </c>
      <c r="C51" s="3341"/>
      <c r="D51" s="1014"/>
      <c r="E51" s="318"/>
      <c r="F51" s="2222"/>
      <c r="G51" s="3326"/>
      <c r="H51" s="2125" t="s">
        <v>2128</v>
      </c>
      <c r="I51" s="2124"/>
      <c r="J51" s="2298" t="s">
        <v>1344</v>
      </c>
      <c r="K51" s="3293" t="s">
        <v>1345</v>
      </c>
      <c r="L51" s="3293"/>
      <c r="M51" s="2298" t="s">
        <v>1346</v>
      </c>
      <c r="N51" s="2298" t="s">
        <v>1347</v>
      </c>
      <c r="O51" s="2298" t="s">
        <v>1348</v>
      </c>
    </row>
    <row r="52" spans="1:35" ht="24" customHeight="1">
      <c r="A52" s="2142" t="s">
        <v>1349</v>
      </c>
      <c r="B52" s="3341" t="s">
        <v>1350</v>
      </c>
      <c r="C52" s="3341"/>
      <c r="D52" s="1014" t="e">
        <f ca="1">ROUND(D45*'数据-取费表'!B41/(1+'数据-取费表'!C42),0)</f>
        <v>#REF!</v>
      </c>
      <c r="E52" s="1245" t="s">
        <v>1351</v>
      </c>
      <c r="F52" s="2327">
        <f>'数据-取费表'!B41</f>
        <v>5.6000000000000001E-2</v>
      </c>
      <c r="G52" s="2328"/>
      <c r="H52" s="2318"/>
      <c r="I52" s="1658"/>
      <c r="J52" s="2297">
        <v>1</v>
      </c>
      <c r="K52" s="3318" t="s">
        <v>1352</v>
      </c>
      <c r="L52" s="3318"/>
      <c r="M52" s="2299" t="b">
        <f>D48</f>
        <v>0</v>
      </c>
      <c r="N52" s="2297" t="str">
        <f>E48</f>
        <v>销售额×税（费）率</v>
      </c>
      <c r="O52" s="2300">
        <f>F48</f>
        <v>5.6000000000000001E-2</v>
      </c>
    </row>
    <row r="53" spans="1:35" ht="12" customHeight="1">
      <c r="A53" s="2142" t="s">
        <v>1353</v>
      </c>
      <c r="B53" s="3342" t="s">
        <v>2279</v>
      </c>
      <c r="C53" s="3343"/>
      <c r="D53" s="1014" t="e">
        <f ca="1">ROUND(D45*'数据-取费表'!B41/(1+'数据-取费表'!C42),0)</f>
        <v>#REF!</v>
      </c>
      <c r="E53" s="1245" t="s">
        <v>1351</v>
      </c>
      <c r="F53" s="2327">
        <f>'数据-取费表'!B41</f>
        <v>5.6000000000000001E-2</v>
      </c>
      <c r="G53" s="2328"/>
      <c r="H53" s="2318"/>
      <c r="I53" s="1658"/>
      <c r="J53" s="2297">
        <v>2</v>
      </c>
      <c r="K53" s="3318" t="s">
        <v>1354</v>
      </c>
      <c r="L53" s="3318"/>
      <c r="M53" s="2299" t="e">
        <f t="shared" ref="M53:O54" ca="1" si="0">D55</f>
        <v>#REF!</v>
      </c>
      <c r="N53" s="2297" t="str">
        <f t="shared" si="0"/>
        <v>销售额×税（费）率</v>
      </c>
      <c r="O53" s="2300" t="str">
        <f t="shared" si="0"/>
        <v>免征</v>
      </c>
    </row>
    <row r="54" spans="1:35" ht="12" customHeight="1">
      <c r="A54" s="2142" t="s">
        <v>1355</v>
      </c>
      <c r="B54" s="3342" t="s">
        <v>2280</v>
      </c>
      <c r="C54" s="3343"/>
      <c r="D54" s="1014" t="e">
        <f ca="1">C68</f>
        <v>#REF!</v>
      </c>
      <c r="E54" s="318" t="s">
        <v>1356</v>
      </c>
      <c r="F54" s="2327">
        <f>'数据-取费表'!B41</f>
        <v>5.6000000000000001E-2</v>
      </c>
      <c r="G54" s="2328"/>
      <c r="H54" s="2329"/>
      <c r="I54" s="1658"/>
      <c r="J54" s="2297">
        <v>3</v>
      </c>
      <c r="K54" s="3318" t="s">
        <v>1357</v>
      </c>
      <c r="L54" s="3318"/>
      <c r="M54" s="2299" t="e">
        <f t="shared" ca="1" si="0"/>
        <v>#REF!</v>
      </c>
      <c r="N54" s="2297" t="str">
        <f t="shared" si="0"/>
        <v>增值额×税（费）率</v>
      </c>
      <c r="O54" s="2301" t="str">
        <f t="shared" si="0"/>
        <v>免征</v>
      </c>
    </row>
    <row r="55" spans="1:35" ht="24" customHeight="1">
      <c r="A55" s="3378" t="s">
        <v>1358</v>
      </c>
      <c r="B55" s="3356"/>
      <c r="C55" s="3356"/>
      <c r="D55" s="12" t="e">
        <f ca="1">IF(H55="个人住宅",0,ROUND(D45*I55,0))</f>
        <v>#REF!</v>
      </c>
      <c r="E55" s="1245" t="s">
        <v>1359</v>
      </c>
      <c r="F55" s="2327" t="str">
        <f>IF(H55="正常",I55,"免征")</f>
        <v>免征</v>
      </c>
      <c r="G55" s="2328"/>
      <c r="H55" s="2324"/>
      <c r="I55" s="156">
        <f>'数据-取费表'!B49</f>
        <v>5.0000000000000001E-4</v>
      </c>
      <c r="J55" s="2297">
        <f>IF(H59="非个人房产","",4)</f>
        <v>4</v>
      </c>
      <c r="K55" s="3318" t="str">
        <f>IF(H59="非个人房产","——","个人所得税")</f>
        <v>个人所得税</v>
      </c>
      <c r="L55" s="3318"/>
      <c r="M55" s="2302" t="e">
        <f ca="1">D59</f>
        <v>#REF!</v>
      </c>
      <c r="N55" s="1872" t="str">
        <f>E59</f>
        <v>差额计税</v>
      </c>
      <c r="O55" s="2303">
        <f>F59</f>
        <v>0.01</v>
      </c>
    </row>
    <row r="56" spans="1:35" ht="24.75">
      <c r="A56" s="3378" t="s">
        <v>1360</v>
      </c>
      <c r="B56" s="3356"/>
      <c r="C56" s="3356"/>
      <c r="D56" s="12" t="e">
        <f ca="1">IF(H56="个人住宅",D57,D58)</f>
        <v>#REF!</v>
      </c>
      <c r="E56" s="1245" t="s">
        <v>1361</v>
      </c>
      <c r="F56" s="2327" t="str">
        <f>IF(H56="正常",F58,"免征")</f>
        <v>免征</v>
      </c>
      <c r="G56" s="2330" t="s">
        <v>1362</v>
      </c>
      <c r="H56" s="2331"/>
      <c r="I56" s="1659"/>
      <c r="J56" s="2297" t="str">
        <f>IF(项目基本情况!K6="上海银行",IF(J55="",4,J55+1),"")</f>
        <v/>
      </c>
      <c r="K56" s="3299" t="str">
        <f>IF(项目基本情况!K6="上海银行","其他处置费用","")</f>
        <v/>
      </c>
      <c r="L56" s="3300"/>
      <c r="M56" s="2299" t="str">
        <f>IF(项目基本情况!K6="上海银行",M69,"")</f>
        <v/>
      </c>
      <c r="N56" s="3299" t="str">
        <f>IF(项目基本情况!K6="上海银行","包含处置中涉及的律师、诉讼、拍卖、评估等费用","")</f>
        <v/>
      </c>
      <c r="O56" s="3302"/>
    </row>
    <row r="57" spans="1:35" ht="12.75">
      <c r="A57" s="2142" t="s">
        <v>1338</v>
      </c>
      <c r="B57" s="3342" t="s">
        <v>1363</v>
      </c>
      <c r="C57" s="3343"/>
      <c r="D57" s="1467">
        <v>0</v>
      </c>
      <c r="E57" s="315" t="s">
        <v>1340</v>
      </c>
      <c r="F57" s="293"/>
      <c r="G57" s="2328"/>
      <c r="H57" s="2332"/>
      <c r="I57" s="1659"/>
      <c r="J57" s="3318">
        <f>IF(AND(J55="",J56=""),4,IF(项目基本情况!K6="上海银行",结果表!J56+1,结果表!J55+1))</f>
        <v>5</v>
      </c>
      <c r="K57" s="3318" t="s">
        <v>1364</v>
      </c>
      <c r="L57" s="2304" t="s">
        <v>1365</v>
      </c>
      <c r="M57" s="2305"/>
      <c r="N57" s="2306">
        <f ca="1">SUMIF(M52:M56,"&lt;9e307")</f>
        <v>0</v>
      </c>
      <c r="O57" s="2307"/>
      <c r="P57" s="2452" t="e">
        <f ca="1">N57/M49</f>
        <v>#VALUE!</v>
      </c>
    </row>
    <row r="58" spans="1:35" ht="24.75">
      <c r="A58" s="2142" t="s">
        <v>1349</v>
      </c>
      <c r="B58" s="3342" t="s">
        <v>1366</v>
      </c>
      <c r="C58" s="3341"/>
      <c r="D58" s="12" t="e">
        <f ca="1">IF(H58="转让取得",C81,C97)</f>
        <v>#REF!</v>
      </c>
      <c r="E58" s="1245" t="s">
        <v>1361</v>
      </c>
      <c r="F58" s="293" t="s">
        <v>28</v>
      </c>
      <c r="G58" s="2328"/>
      <c r="H58" s="2331"/>
      <c r="I58" s="1659"/>
      <c r="J58" s="3318"/>
      <c r="K58" s="3318"/>
      <c r="L58" s="2304" t="s">
        <v>1367</v>
      </c>
      <c r="M58" s="2308"/>
      <c r="N58" s="2309" t="str">
        <f ca="1">NUMBERSTRING(INT(N57*10000),2)&amp;"元整"</f>
        <v>零元整</v>
      </c>
      <c r="O58" s="2310"/>
    </row>
    <row r="59" spans="1:35" ht="24.75" thickBot="1">
      <c r="A59" s="3322" t="s">
        <v>1368</v>
      </c>
      <c r="B59" s="3323"/>
      <c r="C59" s="3323"/>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20">
        <f>J57+1</f>
        <v>6</v>
      </c>
      <c r="K59" s="3318" t="s">
        <v>1369</v>
      </c>
      <c r="L59" s="2297" t="s">
        <v>1365</v>
      </c>
      <c r="M59" s="2311"/>
      <c r="N59" s="2312" t="e">
        <f ca="1">M49-N57</f>
        <v>#VALUE!</v>
      </c>
      <c r="O59" s="2313"/>
    </row>
    <row r="60" spans="1:35" ht="12" customHeight="1">
      <c r="A60" s="1660"/>
      <c r="B60" s="642"/>
      <c r="C60" s="642"/>
      <c r="D60" s="642"/>
      <c r="E60" s="1455"/>
      <c r="F60" s="1659"/>
      <c r="G60" s="1659"/>
      <c r="H60" s="150"/>
      <c r="I60" s="120"/>
      <c r="J60" s="3321"/>
      <c r="K60" s="3318"/>
      <c r="L60" s="2304" t="s">
        <v>1367</v>
      </c>
      <c r="M60" s="2308"/>
      <c r="N60" s="2309" t="e">
        <f ca="1">NUMBERSTRING(INT(N59*10000),2)&amp;"元整"</f>
        <v>#VALUE!</v>
      </c>
      <c r="O60" s="2310"/>
    </row>
    <row r="61" spans="1:35" ht="13.5" thickBot="1">
      <c r="A61" s="3377" t="s">
        <v>1370</v>
      </c>
      <c r="B61" s="3377"/>
      <c r="C61" s="3377"/>
      <c r="D61" s="3377"/>
      <c r="E61" s="3377"/>
      <c r="F61" s="1659"/>
      <c r="G61" s="1659"/>
      <c r="H61" s="150"/>
      <c r="I61" s="120"/>
      <c r="J61" s="2297">
        <f>J59+1</f>
        <v>7</v>
      </c>
      <c r="K61" s="3318" t="s">
        <v>1371</v>
      </c>
      <c r="L61" s="3318"/>
      <c r="M61" s="2314"/>
      <c r="N61" s="2315" t="e">
        <f ca="1">ROUND(N59*10000/'数据-汇总表'!E3,0)</f>
        <v>#VALUE!</v>
      </c>
      <c r="O61" s="2316"/>
    </row>
    <row r="62" spans="1:35" ht="12.75">
      <c r="A62" s="3337" t="s">
        <v>1372</v>
      </c>
      <c r="B62" s="3338"/>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01"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01"/>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01"/>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01"/>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01"/>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5.6000000000000001E-2</v>
      </c>
      <c r="E68" s="169"/>
      <c r="F68" s="1659"/>
      <c r="G68" s="1659"/>
      <c r="H68" s="150"/>
      <c r="I68" s="120"/>
      <c r="J68" s="3301"/>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01"/>
      <c r="K69" s="1235" t="s">
        <v>1390</v>
      </c>
      <c r="L69" s="1235"/>
      <c r="M69" s="293" t="e">
        <f>ROUND(SUM(M63:M68),0)</f>
        <v>#VALUE!</v>
      </c>
      <c r="N69" s="2319" t="e">
        <f>M69/M49</f>
        <v>#VALUE!</v>
      </c>
      <c r="Z69" s="1612"/>
      <c r="AI69" s="1550"/>
    </row>
    <row r="70" spans="1:35" s="638" customFormat="1" ht="15" thickBot="1">
      <c r="A70" s="3345" t="s">
        <v>1391</v>
      </c>
      <c r="B70" s="3346"/>
      <c r="C70" s="3346"/>
      <c r="D70" s="3346"/>
      <c r="E70" s="3346"/>
      <c r="F70" s="3346"/>
      <c r="G70" s="3346"/>
      <c r="H70" s="3346"/>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37" t="s">
        <v>1372</v>
      </c>
      <c r="B71" s="3338"/>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42" t="s">
        <v>1399</v>
      </c>
      <c r="F76" s="3341"/>
      <c r="G76" s="3341"/>
      <c r="H76" s="334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6.000000000000001E-3</v>
      </c>
      <c r="E78" s="3334" t="s">
        <v>1403</v>
      </c>
      <c r="F78" s="3335"/>
      <c r="G78" s="3335"/>
      <c r="H78" s="3336"/>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334</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5" t="s">
        <v>1407</v>
      </c>
      <c r="B83" s="3346"/>
      <c r="C83" s="3346"/>
      <c r="D83" s="3346"/>
      <c r="E83" s="3346"/>
      <c r="F83" s="3346"/>
      <c r="G83" s="3346"/>
      <c r="H83" s="334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37" t="s">
        <v>1372</v>
      </c>
      <c r="B84" s="3338"/>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03" t="s">
        <v>2121</v>
      </c>
      <c r="H90" s="3304"/>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334" t="s">
        <v>1416</v>
      </c>
      <c r="F91" s="3335"/>
      <c r="G91" s="3335"/>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334" t="s">
        <v>1419</v>
      </c>
      <c r="F92" s="3335"/>
      <c r="G92" s="3335"/>
      <c r="H92" s="3336"/>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6.000000000000001E-3</v>
      </c>
      <c r="E93" s="3334" t="s">
        <v>1403</v>
      </c>
      <c r="F93" s="3335"/>
      <c r="G93" s="3335"/>
      <c r="H93" s="3336"/>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79" t="s">
        <v>1423</v>
      </c>
      <c r="F94" s="3380"/>
      <c r="G94" s="3380"/>
      <c r="H94" s="3381"/>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334</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3" t="s">
        <v>1425</v>
      </c>
      <c r="B100" s="3284"/>
      <c r="C100" s="3284"/>
      <c r="D100" s="3319"/>
      <c r="E100" s="3284" t="s">
        <v>1426</v>
      </c>
      <c r="F100" s="3284"/>
      <c r="G100" s="3284"/>
      <c r="H100" s="3319"/>
      <c r="I100" s="120"/>
    </row>
    <row r="101" spans="1:35" ht="18.75" customHeight="1">
      <c r="A101" s="3327" t="s">
        <v>1427</v>
      </c>
      <c r="B101" s="3328"/>
      <c r="C101" s="2358" t="str">
        <f>C4</f>
        <v>比较法-办公</v>
      </c>
      <c r="D101" s="2359" t="str">
        <f>D4</f>
        <v>收益法 (元)</v>
      </c>
      <c r="E101" s="3297" t="s">
        <v>1428</v>
      </c>
      <c r="F101" s="3298"/>
      <c r="G101" s="1676" t="s">
        <v>1429</v>
      </c>
      <c r="H101" s="2368" t="e">
        <f ca="1">H118</f>
        <v>#REF!</v>
      </c>
      <c r="I101" s="120"/>
    </row>
    <row r="102" spans="1:35" ht="18.75" customHeight="1">
      <c r="A102" s="3329" t="s">
        <v>1430</v>
      </c>
      <c r="B102" s="2357" t="s">
        <v>1429</v>
      </c>
      <c r="C102" s="2358">
        <f ca="1">IF(D32="楼面单价",ROUND(C19,0),C19)</f>
        <v>85.047899999999998</v>
      </c>
      <c r="D102" s="2359">
        <f ca="1">IF(D32="楼面单价",ROUND(D19,0),D19)</f>
        <v>54.47</v>
      </c>
      <c r="E102" s="3297"/>
      <c r="F102" s="3298"/>
      <c r="G102" s="1676" t="s">
        <v>1431</v>
      </c>
      <c r="H102" s="2328" t="e">
        <f ca="1">I118</f>
        <v>#REF!</v>
      </c>
      <c r="I102" s="120"/>
    </row>
    <row r="103" spans="1:35" ht="42.75" customHeight="1">
      <c r="A103" s="3329"/>
      <c r="B103" s="2357" t="s">
        <v>1431</v>
      </c>
      <c r="C103" s="2360">
        <f ca="1">C20</f>
        <v>16527</v>
      </c>
      <c r="D103" s="2361">
        <f ca="1">D20</f>
        <v>10585</v>
      </c>
      <c r="E103" s="3290" t="s">
        <v>1432</v>
      </c>
      <c r="F103" s="3291"/>
      <c r="G103" s="1677" t="s">
        <v>1433</v>
      </c>
      <c r="H103" s="2368">
        <f>IF(D36="正常操作",H104+H105+H106,H105+H106)</f>
        <v>0</v>
      </c>
      <c r="I103" s="120"/>
    </row>
    <row r="104" spans="1:35" ht="18.75" customHeight="1">
      <c r="A104" s="3329"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9"/>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0" t="str">
        <f>IF(项目基本情况!E8="已注销","——","3.房地产抵押价值")</f>
        <v>3.房地产抵押价值</v>
      </c>
      <c r="F107" s="3298"/>
      <c r="G107" s="1676" t="s">
        <v>1429</v>
      </c>
      <c r="H107" s="2368" t="e">
        <f ca="1">IF(E107="——","——",H101-H103)</f>
        <v>#REF!</v>
      </c>
      <c r="I107" s="120"/>
    </row>
    <row r="108" spans="1:35" ht="18.75" customHeight="1">
      <c r="A108" s="120"/>
      <c r="B108" s="120"/>
      <c r="C108" s="120"/>
      <c r="D108" s="120"/>
      <c r="E108" s="3330"/>
      <c r="F108" s="3298"/>
      <c r="G108" s="1676" t="s">
        <v>1431</v>
      </c>
      <c r="H108" s="2328">
        <f ca="1">IF(H107=H101,H102,ROUND(H107*10000/'数据-汇总表'!E3,0))</f>
        <v>0</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298"/>
      <c r="G109" s="1676" t="s">
        <v>1429</v>
      </c>
      <c r="H109" s="2371" t="str">
        <f>IF(E109="——","——",H101-H105-H106)</f>
        <v>——</v>
      </c>
      <c r="I109" s="120"/>
    </row>
    <row r="110" spans="1:35" ht="18.75" customHeight="1">
      <c r="A110" s="120"/>
      <c r="B110" s="120"/>
      <c r="C110" s="120"/>
      <c r="D110" s="120"/>
      <c r="E110" s="3330"/>
      <c r="F110" s="3298"/>
      <c r="G110" s="1676" t="s">
        <v>1431</v>
      </c>
      <c r="H110" s="2328" t="str">
        <f>IF(H109="——","——",ROUND(H109*10000/'数据-汇总表'!E3,0))</f>
        <v>——</v>
      </c>
      <c r="I110" s="120"/>
    </row>
    <row r="111" spans="1:35" ht="18.75" customHeight="1">
      <c r="A111" s="120"/>
      <c r="B111" s="120"/>
      <c r="C111" s="120"/>
      <c r="D111" s="120"/>
      <c r="E111" s="3331" t="str">
        <f>IF(项目基本情况!E9="抵押净值",IF(OR(项目基本情况!E8="已注销",项目基本情况!E8="房地产抵押价值"),"4.抵押净值","5.抵押净值"),"——")</f>
        <v>——</v>
      </c>
      <c r="F111" s="3317"/>
      <c r="G111" s="1676" t="s">
        <v>1429</v>
      </c>
      <c r="H111" s="2368" t="str">
        <f>IF(E111="——","——",N59)</f>
        <v>——</v>
      </c>
      <c r="I111" s="120"/>
    </row>
    <row r="112" spans="1:35" ht="18.75" customHeight="1" thickBot="1">
      <c r="A112" s="120"/>
      <c r="B112" s="120"/>
      <c r="C112" s="120"/>
      <c r="D112" s="120"/>
      <c r="E112" s="3332"/>
      <c r="F112" s="3333"/>
      <c r="G112" s="1679" t="s">
        <v>1431</v>
      </c>
      <c r="H112" s="2372" t="str">
        <f>IF(E111="——","——",N61)</f>
        <v>——</v>
      </c>
      <c r="I112" s="120"/>
    </row>
    <row r="113" spans="1:27" ht="18.75" customHeight="1">
      <c r="A113" s="120"/>
      <c r="B113" s="120"/>
      <c r="C113" s="120"/>
      <c r="D113" s="120"/>
      <c r="E113" s="3340" t="s">
        <v>1437</v>
      </c>
      <c r="F113" s="3340"/>
      <c r="G113" s="3340"/>
      <c r="H113" s="3340"/>
      <c r="I113" s="120"/>
    </row>
    <row r="114" spans="1:27" ht="3.75" customHeight="1">
      <c r="A114" s="642"/>
      <c r="B114" s="642"/>
      <c r="C114" s="642"/>
      <c r="D114" s="642"/>
      <c r="E114" s="1660"/>
      <c r="F114" s="1660"/>
      <c r="G114" s="1660"/>
      <c r="H114" s="1660"/>
      <c r="I114" s="642"/>
    </row>
    <row r="115" spans="1:27" ht="18.75" customHeight="1">
      <c r="A115" s="3348" t="s">
        <v>1439</v>
      </c>
      <c r="B115" s="3349"/>
      <c r="C115" s="3349"/>
      <c r="D115" s="3349"/>
      <c r="E115" s="3349"/>
      <c r="F115" s="3349"/>
      <c r="G115" s="3349"/>
      <c r="H115" s="3349"/>
      <c r="I115" s="3350"/>
    </row>
    <row r="116" spans="1:27" ht="27" customHeight="1">
      <c r="A116" s="3305" t="s">
        <v>1440</v>
      </c>
      <c r="B116" s="3309" t="s">
        <v>1441</v>
      </c>
      <c r="C116" s="3309" t="s">
        <v>1442</v>
      </c>
      <c r="D116" s="3315" t="s">
        <v>1443</v>
      </c>
      <c r="E116" s="3316"/>
      <c r="F116" s="3347" t="s">
        <v>1444</v>
      </c>
      <c r="G116" s="3347"/>
      <c r="H116" s="3305" t="s">
        <v>1445</v>
      </c>
      <c r="I116" s="3305"/>
    </row>
    <row r="117" spans="1:27" ht="18.75" customHeight="1">
      <c r="A117" s="3305"/>
      <c r="B117" s="3310"/>
      <c r="C117" s="3310"/>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5" t="s">
        <v>1449</v>
      </c>
      <c r="B119" s="3305"/>
      <c r="C119" s="3305"/>
      <c r="D119" s="3311" t="e">
        <f ca="1">NUMBERSTRING(INT(D118*10000),2)&amp;"元整"</f>
        <v>#REF!</v>
      </c>
      <c r="E119" s="3312"/>
      <c r="F119" s="3311" t="e">
        <f ca="1">NUMBERSTRING(INT(F118*10000),2)&amp;"元整"</f>
        <v>#REF!</v>
      </c>
      <c r="G119" s="3312"/>
      <c r="H119" s="3311" t="e">
        <f ca="1">NUMBERSTRING(INT(H118*10000),2)&amp;"元整"</f>
        <v>#REF!</v>
      </c>
      <c r="I119" s="3312"/>
    </row>
    <row r="120" spans="1:27" ht="18.75" customHeight="1">
      <c r="A120" s="3306" t="str">
        <f>IF(项目基本情况!B9="房地产市场价值","",MID(E103,3,LEN(E103)-2))</f>
        <v/>
      </c>
      <c r="B120" s="3307"/>
      <c r="C120" s="3308"/>
      <c r="D120" s="3306">
        <f>H103</f>
        <v>0</v>
      </c>
      <c r="E120" s="3307"/>
      <c r="F120" s="3307"/>
      <c r="G120" s="3307"/>
      <c r="H120" s="3307"/>
      <c r="I120" s="3308"/>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11" t="s">
        <v>1449</v>
      </c>
      <c r="B121" s="3313"/>
      <c r="C121" s="3312"/>
      <c r="D121" s="3311" t="str">
        <f>IF(D120=0,"零元整",NUMBERSTRING(INT(D120*10000),2)&amp;"元整")</f>
        <v>零元整</v>
      </c>
      <c r="E121" s="3313"/>
      <c r="F121" s="3313"/>
      <c r="G121" s="3313"/>
      <c r="H121" s="3313"/>
      <c r="I121" s="3312"/>
      <c r="AA121" s="680"/>
    </row>
    <row r="122" spans="1:27" ht="18.75" customHeight="1">
      <c r="A122" s="3317" t="str">
        <f>IF(项目基本情况!B9="房地产市场价值","",MID(E107,3,LEN(E107)-2))</f>
        <v/>
      </c>
      <c r="B122" s="3317"/>
      <c r="C122" s="3317"/>
      <c r="D122" s="3306" t="e">
        <f ca="1">H107</f>
        <v>#REF!</v>
      </c>
      <c r="E122" s="3307"/>
      <c r="F122" s="3307"/>
      <c r="G122" s="3307"/>
      <c r="H122" s="3307"/>
      <c r="I122" s="3308"/>
      <c r="AA122" s="680"/>
    </row>
    <row r="123" spans="1:27" ht="18.75" customHeight="1">
      <c r="A123" s="3305" t="s">
        <v>1449</v>
      </c>
      <c r="B123" s="3305"/>
      <c r="C123" s="3305"/>
      <c r="D123" s="3311" t="e">
        <f ca="1">NUMBERSTRING(INT(D122*10000),2)&amp;"元整"</f>
        <v>#REF!</v>
      </c>
      <c r="E123" s="3313"/>
      <c r="F123" s="3313"/>
      <c r="G123" s="3313"/>
      <c r="H123" s="3313"/>
      <c r="I123" s="3312"/>
      <c r="AA123" s="680"/>
    </row>
    <row r="124" spans="1:27" ht="18.75" customHeight="1">
      <c r="A124" s="3317" t="str">
        <f>IF(项目基本情况!B9="房地产市场价值","",MID(E109,3,LEN(E109)-2))</f>
        <v/>
      </c>
      <c r="B124" s="3317"/>
      <c r="C124" s="3317"/>
      <c r="D124" s="3306" t="str">
        <f>H109</f>
        <v>——</v>
      </c>
      <c r="E124" s="3307"/>
      <c r="F124" s="3307"/>
      <c r="G124" s="3307"/>
      <c r="H124" s="3307"/>
      <c r="I124" s="3308"/>
      <c r="AA124" s="680"/>
    </row>
    <row r="125" spans="1:27" ht="18.75" customHeight="1">
      <c r="A125" s="3305" t="s">
        <v>1449</v>
      </c>
      <c r="B125" s="3305"/>
      <c r="C125" s="3305"/>
      <c r="D125" s="3311" t="e">
        <f>NUMBERSTRING(INT(D124*10000),2)&amp;"元整"</f>
        <v>#VALUE!</v>
      </c>
      <c r="E125" s="3313"/>
      <c r="F125" s="3313"/>
      <c r="G125" s="3313"/>
      <c r="H125" s="3313"/>
      <c r="I125" s="3312"/>
      <c r="AA125" s="680"/>
    </row>
    <row r="126" spans="1:27" ht="18.75" customHeight="1">
      <c r="A126" s="3317" t="str">
        <f>IF(项目基本情况!B9="房地产市场价值","",MID(E111,3,LEN(E111)-2))</f>
        <v/>
      </c>
      <c r="B126" s="3317"/>
      <c r="C126" s="3317"/>
      <c r="D126" s="3306" t="str">
        <f>H111</f>
        <v>——</v>
      </c>
      <c r="E126" s="3307"/>
      <c r="F126" s="3307"/>
      <c r="G126" s="3307"/>
      <c r="H126" s="3307"/>
      <c r="I126" s="3308"/>
      <c r="AA126" s="680"/>
    </row>
    <row r="127" spans="1:27" ht="18.75" customHeight="1">
      <c r="A127" s="3305" t="s">
        <v>1449</v>
      </c>
      <c r="B127" s="3305"/>
      <c r="C127" s="3305"/>
      <c r="D127" s="3311" t="e">
        <f>NUMBERSTRING(INT(D126*10000),2)&amp;"元整"</f>
        <v>#VALUE!</v>
      </c>
      <c r="E127" s="3313"/>
      <c r="F127" s="3313"/>
      <c r="G127" s="3313"/>
      <c r="H127" s="3313"/>
      <c r="I127" s="3312"/>
      <c r="AA127" s="680"/>
    </row>
    <row r="128" spans="1:27" ht="21.75" customHeight="1">
      <c r="A128" s="3314" t="s">
        <v>1450</v>
      </c>
      <c r="B128" s="3314"/>
      <c r="C128" s="3314"/>
      <c r="D128" s="3314"/>
      <c r="E128" s="3314"/>
      <c r="F128" s="3314"/>
      <c r="G128" s="3314"/>
      <c r="H128" s="3314"/>
      <c r="I128" s="3314"/>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D7">
    <cfRule type="cellIs" dxfId="177" priority="10" stopIfTrue="1" operator="equal">
      <formula>25</formula>
    </cfRule>
  </conditionalFormatting>
  <conditionalFormatting sqref="C8:D13">
    <cfRule type="cellIs" dxfId="176" priority="8" stopIfTrue="1" operator="equal">
      <formula>15</formula>
    </cfRule>
  </conditionalFormatting>
  <conditionalFormatting sqref="C14:D16">
    <cfRule type="cellIs" dxfId="175" priority="6" stopIfTrue="1" operator="equal">
      <formula>30</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201" t="str">
        <f>项目基本情况!B1</f>
        <v>北京市房地产市场价值预评估</v>
      </c>
      <c r="C37" s="3201"/>
      <c r="D37" s="3201"/>
      <c r="E37" s="3201"/>
      <c r="F37" s="3201"/>
      <c r="G37" s="3201"/>
      <c r="H37" s="3201"/>
      <c r="I37" s="3201"/>
    </row>
    <row r="38" spans="1:9">
      <c r="A38" s="788"/>
      <c r="B38" s="788"/>
    </row>
    <row r="39" spans="1:9">
      <c r="A39" s="786" t="s">
        <v>371</v>
      </c>
      <c r="B39" s="786" t="s">
        <v>373</v>
      </c>
    </row>
    <row r="40" spans="1:9">
      <c r="A40" s="786"/>
      <c r="B40" s="1367">
        <f>项目基本情况!B5</f>
        <v>0</v>
      </c>
    </row>
    <row r="41" spans="1:9">
      <c r="A41" s="786"/>
      <c r="B41" s="786"/>
    </row>
    <row r="42" spans="1:9">
      <c r="A42" s="786" t="s">
        <v>371</v>
      </c>
      <c r="B42" s="786" t="s">
        <v>374</v>
      </c>
    </row>
    <row r="43" spans="1:9">
      <c r="A43" s="786"/>
      <c r="B43" s="1367" t="s">
        <v>375</v>
      </c>
    </row>
    <row r="44" spans="1:9">
      <c r="A44" s="786"/>
      <c r="B44" s="786"/>
    </row>
    <row r="45" spans="1:9">
      <c r="A45" s="786" t="s">
        <v>371</v>
      </c>
      <c r="B45" s="786" t="s">
        <v>376</v>
      </c>
    </row>
    <row r="46" spans="1:9" s="786" customFormat="1" ht="12.75">
      <c r="B46" s="1367" t="str">
        <f ca="1">项目基本情况!K4</f>
        <v>郑燚（注册号：1120070131)、吴薇（注册号：1419970001)</v>
      </c>
    </row>
    <row r="47" spans="1:9">
      <c r="A47" s="786"/>
      <c r="B47" s="786" t="str">
        <f>项目基本情况!K5</f>
        <v>（注册号：0)、（注册号：0)</v>
      </c>
    </row>
    <row r="48" spans="1:9">
      <c r="A48" s="786" t="s">
        <v>371</v>
      </c>
      <c r="B48" s="786"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D1" zoomScaleNormal="70" zoomScaleSheetLayoutView="100" workbookViewId="0">
      <selection activeCell="G10" sqref="G1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4026</v>
      </c>
      <c r="F1" s="1724" t="s">
        <v>4027</v>
      </c>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f>IF(E1="项目模式",IF(C2="——",ROUND(C50*D3/10000,0),ROUND(C50*D3/10000,0)-D2),IF(E1="单套模式",IF(C2="——",ROUND(C50*D3/10000,4),ROUND(C50*D3/10000,4)-D2)))</f>
        <v>85.047899999999998</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f>IF(C2="——",C50,ROUND(B2*10000/D3,0))</f>
        <v>16527</v>
      </c>
      <c r="C3" s="343" t="s">
        <v>1765</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10" t="s">
        <v>1772</v>
      </c>
      <c r="Q4" s="3411"/>
      <c r="R4" s="3389" t="s">
        <v>1768</v>
      </c>
      <c r="S4" s="3390"/>
      <c r="T4" s="3389" t="s">
        <v>1769</v>
      </c>
      <c r="U4" s="3390"/>
      <c r="V4" s="3418" t="s">
        <v>1770</v>
      </c>
      <c r="W4" s="3418"/>
      <c r="X4" s="1798"/>
      <c r="Y4" s="3389" t="s">
        <v>1772</v>
      </c>
      <c r="Z4" s="3390"/>
      <c r="AA4" s="3384" t="s">
        <v>1768</v>
      </c>
      <c r="AB4" s="3384" t="s">
        <v>1769</v>
      </c>
      <c r="AC4" s="3403" t="s">
        <v>1770</v>
      </c>
    </row>
    <row r="5" spans="1:29" ht="15">
      <c r="A5" s="347"/>
      <c r="B5" s="348"/>
      <c r="C5" s="3395" t="s">
        <v>1670</v>
      </c>
      <c r="D5" s="3396"/>
      <c r="E5" s="3393" t="s">
        <v>4003</v>
      </c>
      <c r="F5" s="3394"/>
      <c r="G5" s="3393" t="s">
        <v>4078</v>
      </c>
      <c r="H5" s="3394"/>
      <c r="I5" s="3399" t="s">
        <v>4004</v>
      </c>
      <c r="J5" s="3396"/>
      <c r="K5" s="536"/>
      <c r="L5" s="2474"/>
      <c r="M5" s="2475"/>
      <c r="N5" s="2475"/>
      <c r="O5" s="2475"/>
      <c r="P5" s="3412"/>
      <c r="Q5" s="3413"/>
      <c r="R5" s="3391"/>
      <c r="S5" s="3392"/>
      <c r="T5" s="3391"/>
      <c r="U5" s="3392"/>
      <c r="V5" s="3419"/>
      <c r="W5" s="3419"/>
      <c r="X5" s="1254"/>
      <c r="Y5" s="3391"/>
      <c r="Z5" s="3392"/>
      <c r="AA5" s="3385"/>
      <c r="AB5" s="3385"/>
      <c r="AC5" s="3404"/>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14"/>
      <c r="Q6" s="3415"/>
      <c r="R6" s="3391"/>
      <c r="S6" s="3392"/>
      <c r="T6" s="3416"/>
      <c r="U6" s="3417"/>
      <c r="V6" s="3419"/>
      <c r="W6" s="3419"/>
      <c r="X6" s="1254"/>
      <c r="Y6" s="3416"/>
      <c r="Z6" s="3417"/>
      <c r="AA6" s="3386"/>
      <c r="AB6" s="3386"/>
      <c r="AC6" s="3405"/>
    </row>
    <row r="7" spans="1:29" s="102" customFormat="1" ht="15.75" thickBot="1">
      <c r="A7" s="351" t="s">
        <v>1676</v>
      </c>
      <c r="B7" s="352"/>
      <c r="C7" s="353">
        <f>'数据-取费表'!B2</f>
        <v>45596</v>
      </c>
      <c r="D7" s="354">
        <v>100</v>
      </c>
      <c r="E7" s="355">
        <v>45566</v>
      </c>
      <c r="F7" s="356">
        <f>SUMIF(59:59,YEAR(E7)&amp;"-"&amp;MONTH(E7),60:60)</f>
        <v>100</v>
      </c>
      <c r="G7" s="355">
        <v>45413</v>
      </c>
      <c r="H7" s="354">
        <f>SUMIF(59:59,YEAR(G7)&amp;"-"&amp;MONTH(G7),60:60)</f>
        <v>100</v>
      </c>
      <c r="I7" s="355">
        <v>45566</v>
      </c>
      <c r="J7" s="354">
        <f>SUMIF(59:59,YEAR(I7)&amp;"-"&amp;MONTH(I7),60:60)</f>
        <v>100</v>
      </c>
      <c r="K7" s="38"/>
      <c r="L7" s="2476"/>
      <c r="M7" s="2427"/>
      <c r="N7" s="2427"/>
      <c r="O7" s="2427"/>
      <c r="P7" s="3420"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796">
        <f>D7/J7</f>
        <v>1</v>
      </c>
    </row>
    <row r="8" spans="1:29" s="102" customFormat="1" ht="15.75" thickBot="1">
      <c r="A8" s="351" t="s">
        <v>1678</v>
      </c>
      <c r="B8" s="352"/>
      <c r="C8" s="357" t="s">
        <v>4010</v>
      </c>
      <c r="D8" s="354">
        <v>100</v>
      </c>
      <c r="E8" s="357" t="s">
        <v>4010</v>
      </c>
      <c r="F8" s="356">
        <f>SUMIF(62:62,E8,63:63)-SUMIF(62:62,C8,63:63)+100</f>
        <v>100</v>
      </c>
      <c r="G8" s="357" t="s">
        <v>4010</v>
      </c>
      <c r="H8" s="354">
        <f>SUMIF(62:62,G8,63:63)-SUMIF(62:62,C8,63:63)+100</f>
        <v>100</v>
      </c>
      <c r="I8" s="357" t="s">
        <v>4028</v>
      </c>
      <c r="J8" s="354">
        <f>SUMIF(62:62,I8,63:63)-SUMIF(62:62,C8,63:63)+100</f>
        <v>102</v>
      </c>
      <c r="K8" s="38"/>
      <c r="L8" s="2476"/>
      <c r="M8" s="2427"/>
      <c r="N8" s="2427"/>
      <c r="O8" s="2427"/>
      <c r="P8" s="3420" t="s">
        <v>1680</v>
      </c>
      <c r="Q8" s="3388"/>
      <c r="R8" s="660" t="s">
        <v>14</v>
      </c>
      <c r="S8" s="661">
        <f t="shared" si="0"/>
        <v>100</v>
      </c>
      <c r="T8" s="660" t="s">
        <v>14</v>
      </c>
      <c r="U8" s="661">
        <f t="shared" si="1"/>
        <v>100</v>
      </c>
      <c r="V8" s="660" t="s">
        <v>14</v>
      </c>
      <c r="W8" s="661">
        <f t="shared" si="2"/>
        <v>102</v>
      </c>
      <c r="X8" s="662"/>
      <c r="Y8" s="3387" t="s">
        <v>1680</v>
      </c>
      <c r="Z8" s="3388"/>
      <c r="AA8" s="50">
        <f t="shared" ref="AA8:AA47" si="3">D8/F8</f>
        <v>1</v>
      </c>
      <c r="AB8" s="50">
        <f t="shared" ref="AB8:AB47" si="4">D8/H8</f>
        <v>1</v>
      </c>
      <c r="AC8" s="796">
        <f t="shared" ref="AC8:AC47" si="5">D8/J8</f>
        <v>0.98039215686274506</v>
      </c>
    </row>
    <row r="9" spans="1:29" s="102" customFormat="1">
      <c r="A9" s="358" t="s">
        <v>1681</v>
      </c>
      <c r="B9" s="60" t="s">
        <v>1682</v>
      </c>
      <c r="C9" s="3164" t="s">
        <v>4021</v>
      </c>
      <c r="D9" s="59">
        <v>100</v>
      </c>
      <c r="E9" s="361" t="s">
        <v>21</v>
      </c>
      <c r="F9" s="59">
        <f>SUMIF(64:64,E9,65:65)-SUMIF(64:64,C9,65:65)+100</f>
        <v>100</v>
      </c>
      <c r="G9" s="361" t="s">
        <v>21</v>
      </c>
      <c r="H9" s="59">
        <f>SUMIF(64:64,G9,65:65)-SUMIF(64:64,C9,65:65)+100</f>
        <v>100</v>
      </c>
      <c r="I9" s="361" t="s">
        <v>21</v>
      </c>
      <c r="J9" s="59">
        <f>SUMIF(64:64,I9,65:65)-SUMIF(64:64,C9,65:65)+100</f>
        <v>100</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796">
        <f t="shared" si="5"/>
        <v>1</v>
      </c>
    </row>
    <row r="10" spans="1:29" s="365" customFormat="1" ht="27">
      <c r="A10" s="362"/>
      <c r="B10" s="363" t="s">
        <v>1685</v>
      </c>
      <c r="C10" s="367" t="s">
        <v>4030</v>
      </c>
      <c r="D10" s="118">
        <v>100</v>
      </c>
      <c r="E10" s="367" t="s">
        <v>4030</v>
      </c>
      <c r="F10" s="118">
        <f>SUMIF(66:66,E10,67:67)-SUMIF(66:66,C10,67:67)+100</f>
        <v>100</v>
      </c>
      <c r="G10" s="3167" t="s">
        <v>4031</v>
      </c>
      <c r="H10" s="118">
        <f>SUMIF(66:66,G10,67:67)-SUMIF(66:66,C10,67:67)+100</f>
        <v>102</v>
      </c>
      <c r="I10" s="367" t="s">
        <v>4030</v>
      </c>
      <c r="J10" s="118">
        <f>SUMIF(66:66,I10,67:67)-SUMIF(66:66,C10,67:67)+100</f>
        <v>100</v>
      </c>
      <c r="K10" s="38"/>
      <c r="L10" s="2477"/>
      <c r="M10" s="2478"/>
      <c r="N10" s="2478"/>
      <c r="O10" s="2478"/>
      <c r="P10" s="3402"/>
      <c r="Q10" s="529" t="str">
        <f t="shared" si="6"/>
        <v>土地使用年限（年）</v>
      </c>
      <c r="R10" s="660" t="s">
        <v>14</v>
      </c>
      <c r="S10" s="661">
        <f t="shared" si="0"/>
        <v>100</v>
      </c>
      <c r="T10" s="660" t="s">
        <v>14</v>
      </c>
      <c r="U10" s="661">
        <f t="shared" si="1"/>
        <v>102</v>
      </c>
      <c r="V10" s="660" t="s">
        <v>14</v>
      </c>
      <c r="W10" s="661">
        <f t="shared" si="2"/>
        <v>100</v>
      </c>
      <c r="X10" s="662"/>
      <c r="Y10" s="3360"/>
      <c r="Z10" s="50" t="str">
        <f t="shared" si="7"/>
        <v>土地使用年限（年）</v>
      </c>
      <c r="AA10" s="50">
        <f t="shared" si="3"/>
        <v>1</v>
      </c>
      <c r="AB10" s="50">
        <f t="shared" si="4"/>
        <v>0.98039215686274506</v>
      </c>
      <c r="AC10" s="796">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422" t="s">
        <v>1688</v>
      </c>
      <c r="Q15" s="1252" t="str">
        <f t="shared" si="6"/>
        <v>办公集聚程度</v>
      </c>
      <c r="R15" s="663" t="s">
        <v>14</v>
      </c>
      <c r="S15" s="664">
        <f t="shared" si="0"/>
        <v>100</v>
      </c>
      <c r="T15" s="663" t="s">
        <v>14</v>
      </c>
      <c r="U15" s="664">
        <f t="shared" si="1"/>
        <v>100</v>
      </c>
      <c r="V15" s="663" t="s">
        <v>14</v>
      </c>
      <c r="W15" s="664">
        <f t="shared" si="2"/>
        <v>100</v>
      </c>
      <c r="X15" s="1254"/>
      <c r="Y15" s="3424" t="s">
        <v>1688</v>
      </c>
      <c r="Z15" s="1253" t="str">
        <f t="shared" si="7"/>
        <v>办公集聚程度</v>
      </c>
      <c r="AA15" s="1253">
        <f t="shared" si="3"/>
        <v>1</v>
      </c>
      <c r="AB15" s="1253">
        <f t="shared" si="4"/>
        <v>1</v>
      </c>
      <c r="AC15" s="1801">
        <f t="shared" si="5"/>
        <v>1</v>
      </c>
    </row>
    <row r="16" spans="1:29" ht="15">
      <c r="A16" s="366"/>
      <c r="B16" s="554"/>
      <c r="C16" s="1747" t="s">
        <v>4005</v>
      </c>
      <c r="D16" s="386"/>
      <c r="E16" s="1747" t="s">
        <v>4005</v>
      </c>
      <c r="F16" s="386"/>
      <c r="G16" s="1747" t="s">
        <v>4005</v>
      </c>
      <c r="H16" s="388"/>
      <c r="I16" s="1747" t="s">
        <v>4005</v>
      </c>
      <c r="J16" s="386"/>
      <c r="K16" s="540"/>
      <c r="L16" s="2480"/>
      <c r="M16" s="2475"/>
      <c r="N16" s="2475"/>
      <c r="O16" s="2475"/>
      <c r="P16" s="3423"/>
      <c r="Q16" s="1252"/>
      <c r="R16" s="663"/>
      <c r="S16" s="664"/>
      <c r="T16" s="663"/>
      <c r="U16" s="664"/>
      <c r="V16" s="663"/>
      <c r="W16" s="664"/>
      <c r="X16" s="1254"/>
      <c r="Y16" s="3425"/>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102</v>
      </c>
      <c r="K17" s="539">
        <v>2</v>
      </c>
      <c r="L17" s="2480"/>
      <c r="M17" s="2475"/>
      <c r="N17" s="2475"/>
      <c r="O17" s="2475"/>
      <c r="P17" s="3423"/>
      <c r="Q17" s="1252" t="str">
        <f>B17</f>
        <v>交通便捷度</v>
      </c>
      <c r="R17" s="663" t="s">
        <v>14</v>
      </c>
      <c r="S17" s="664">
        <f>F17</f>
        <v>100</v>
      </c>
      <c r="T17" s="663" t="s">
        <v>14</v>
      </c>
      <c r="U17" s="664">
        <f>H17</f>
        <v>100</v>
      </c>
      <c r="V17" s="663" t="s">
        <v>14</v>
      </c>
      <c r="W17" s="664">
        <f>J17</f>
        <v>102</v>
      </c>
      <c r="X17" s="1254"/>
      <c r="Y17" s="3425"/>
      <c r="Z17" s="1253" t="str">
        <f>Q17</f>
        <v>交通便捷度</v>
      </c>
      <c r="AA17" s="1253">
        <f t="shared" si="3"/>
        <v>1</v>
      </c>
      <c r="AB17" s="1253">
        <f t="shared" si="4"/>
        <v>1</v>
      </c>
      <c r="AC17" s="1801">
        <f t="shared" si="5"/>
        <v>0.98039215686274506</v>
      </c>
    </row>
    <row r="18" spans="1:29" ht="15">
      <c r="A18" s="366"/>
      <c r="B18" s="400"/>
      <c r="C18" s="1747" t="s">
        <v>4005</v>
      </c>
      <c r="D18" s="388"/>
      <c r="E18" s="1747" t="s">
        <v>4005</v>
      </c>
      <c r="F18" s="388"/>
      <c r="G18" s="1747" t="s">
        <v>4005</v>
      </c>
      <c r="H18" s="386"/>
      <c r="I18" s="1746" t="s">
        <v>4024</v>
      </c>
      <c r="J18" s="386"/>
      <c r="K18" s="540"/>
      <c r="L18" s="2480"/>
      <c r="M18" s="2475"/>
      <c r="N18" s="2475"/>
      <c r="O18" s="2475"/>
      <c r="P18" s="3423"/>
      <c r="Q18" s="1252"/>
      <c r="R18" s="663"/>
      <c r="S18" s="664"/>
      <c r="T18" s="663"/>
      <c r="U18" s="664"/>
      <c r="V18" s="663"/>
      <c r="W18" s="664"/>
      <c r="X18" s="1254"/>
      <c r="Y18" s="3425"/>
      <c r="Z18" s="1253"/>
      <c r="AA18" s="1253">
        <v>1</v>
      </c>
      <c r="AB18" s="1253">
        <v>1</v>
      </c>
      <c r="AC18" s="1801">
        <v>1</v>
      </c>
    </row>
    <row r="19" spans="1:29" ht="15">
      <c r="A19" s="366"/>
      <c r="B19" s="555" t="s">
        <v>1809</v>
      </c>
      <c r="C19" s="1802" t="str">
        <f>估价对象房地状况!C7</f>
        <v>较好</v>
      </c>
      <c r="D19" s="393">
        <v>100</v>
      </c>
      <c r="E19" s="397"/>
      <c r="F19" s="393">
        <f>SUMIF(81:81,E20,82:82)-SUMIF(81:81,C20,82:82)+100</f>
        <v>100</v>
      </c>
      <c r="G19" s="397"/>
      <c r="H19" s="388">
        <f>SUMIF(81:81,G20,82:82)-SUMIF(81:81,C20,82:82)+100</f>
        <v>100</v>
      </c>
      <c r="I19" s="395"/>
      <c r="J19" s="388">
        <f>SUMIF(81:81,I20,82:82)-SUMIF(81:81,C20,82:82)+100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801">
        <f t="shared" si="5"/>
        <v>1</v>
      </c>
    </row>
    <row r="20" spans="1:29" ht="15">
      <c r="A20" s="366"/>
      <c r="B20" s="400"/>
      <c r="C20" s="1747" t="s">
        <v>4024</v>
      </c>
      <c r="D20" s="386"/>
      <c r="E20" s="1747" t="s">
        <v>4024</v>
      </c>
      <c r="F20" s="386"/>
      <c r="G20" s="1747" t="s">
        <v>4024</v>
      </c>
      <c r="H20" s="386"/>
      <c r="I20" s="1746" t="s">
        <v>4024</v>
      </c>
      <c r="J20" s="386"/>
      <c r="K20" s="540"/>
      <c r="L20" s="2480"/>
      <c r="M20" s="2475"/>
      <c r="N20" s="2475"/>
      <c r="O20" s="2475"/>
      <c r="P20" s="3423"/>
      <c r="Q20" s="1252"/>
      <c r="R20" s="663"/>
      <c r="S20" s="664"/>
      <c r="T20" s="663"/>
      <c r="U20" s="664"/>
      <c r="V20" s="663"/>
      <c r="W20" s="664"/>
      <c r="X20" s="1254"/>
      <c r="Y20" s="3425"/>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801">
        <f t="shared" ref="AC21" si="10">D21/J21</f>
        <v>1</v>
      </c>
    </row>
    <row r="22" spans="1:29" ht="15">
      <c r="A22" s="366"/>
      <c r="B22" s="556"/>
      <c r="C22" s="1803" t="s">
        <v>4007</v>
      </c>
      <c r="D22" s="386"/>
      <c r="E22" s="1803" t="s">
        <v>4007</v>
      </c>
      <c r="F22" s="386"/>
      <c r="G22" s="1803" t="s">
        <v>4007</v>
      </c>
      <c r="H22" s="386"/>
      <c r="I22" s="1803" t="s">
        <v>4007</v>
      </c>
      <c r="J22" s="386"/>
      <c r="K22" s="1054"/>
      <c r="L22" s="2480"/>
      <c r="M22" s="2475"/>
      <c r="N22" s="2475"/>
      <c r="O22" s="2475"/>
      <c r="P22" s="3423"/>
      <c r="Q22" s="1252"/>
      <c r="R22" s="663"/>
      <c r="S22" s="664"/>
      <c r="T22" s="663"/>
      <c r="U22" s="664"/>
      <c r="V22" s="663"/>
      <c r="W22" s="664"/>
      <c r="X22" s="1254"/>
      <c r="Y22" s="3425"/>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102</v>
      </c>
      <c r="I23" s="390"/>
      <c r="J23" s="388">
        <f>SUMIF(85:85,I24,86:86)-SUMIF(85:85,C24,86:86)+100</f>
        <v>102</v>
      </c>
      <c r="K23" s="539">
        <v>2</v>
      </c>
      <c r="L23" s="2480"/>
      <c r="M23" s="2475"/>
      <c r="N23" s="2475"/>
      <c r="O23" s="2475"/>
      <c r="P23" s="3423"/>
      <c r="Q23" s="1252" t="str">
        <f>B23</f>
        <v>环境质量</v>
      </c>
      <c r="R23" s="663" t="s">
        <v>14</v>
      </c>
      <c r="S23" s="664">
        <f>F23</f>
        <v>100</v>
      </c>
      <c r="T23" s="663" t="s">
        <v>14</v>
      </c>
      <c r="U23" s="664">
        <f>H23</f>
        <v>102</v>
      </c>
      <c r="V23" s="663" t="s">
        <v>14</v>
      </c>
      <c r="W23" s="664">
        <f>J23</f>
        <v>102</v>
      </c>
      <c r="X23" s="1254"/>
      <c r="Y23" s="3425"/>
      <c r="Z23" s="1253" t="str">
        <f>Q23</f>
        <v>环境质量</v>
      </c>
      <c r="AA23" s="1253">
        <f t="shared" si="3"/>
        <v>1</v>
      </c>
      <c r="AB23" s="1253">
        <f t="shared" si="4"/>
        <v>0.98039215686274506</v>
      </c>
      <c r="AC23" s="1801">
        <f t="shared" si="5"/>
        <v>0.98039215686274506</v>
      </c>
    </row>
    <row r="24" spans="1:29" ht="15">
      <c r="A24" s="366"/>
      <c r="B24" s="556"/>
      <c r="C24" s="1747" t="s">
        <v>4005</v>
      </c>
      <c r="D24" s="386"/>
      <c r="E24" s="1747" t="s">
        <v>4005</v>
      </c>
      <c r="F24" s="386"/>
      <c r="G24" s="1747" t="s">
        <v>4024</v>
      </c>
      <c r="H24" s="386"/>
      <c r="I24" s="1746" t="s">
        <v>4024</v>
      </c>
      <c r="J24" s="386"/>
      <c r="K24" s="540"/>
      <c r="L24" s="2480"/>
      <c r="M24" s="2475"/>
      <c r="N24" s="2475"/>
      <c r="O24" s="2475"/>
      <c r="P24" s="3423"/>
      <c r="Q24" s="1252"/>
      <c r="R24" s="663"/>
      <c r="S24" s="664"/>
      <c r="T24" s="663"/>
      <c r="U24" s="664"/>
      <c r="V24" s="663"/>
      <c r="W24" s="664"/>
      <c r="X24" s="1254"/>
      <c r="Y24" s="3425"/>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423"/>
      <c r="Q25" s="1252" t="str">
        <f>B25</f>
        <v>毗邻道路的类型与等级</v>
      </c>
      <c r="R25" s="663" t="s">
        <v>14</v>
      </c>
      <c r="S25" s="664">
        <f>F25</f>
        <v>100</v>
      </c>
      <c r="T25" s="663" t="s">
        <v>14</v>
      </c>
      <c r="U25" s="664">
        <f>H25</f>
        <v>100</v>
      </c>
      <c r="V25" s="663" t="s">
        <v>14</v>
      </c>
      <c r="W25" s="664">
        <f>J25</f>
        <v>100</v>
      </c>
      <c r="X25" s="1254"/>
      <c r="Y25" s="3425"/>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423"/>
      <c r="Q26" s="1252"/>
      <c r="R26" s="663"/>
      <c r="S26" s="664"/>
      <c r="T26" s="663"/>
      <c r="U26" s="664"/>
      <c r="V26" s="663"/>
      <c r="W26" s="664"/>
      <c r="X26" s="1254"/>
      <c r="Y26" s="3425"/>
      <c r="Z26" s="1253"/>
      <c r="AA26" s="1253">
        <v>1</v>
      </c>
      <c r="AB26" s="1253">
        <v>1</v>
      </c>
      <c r="AC26" s="1801">
        <v>1</v>
      </c>
    </row>
    <row r="27" spans="1:29" ht="15">
      <c r="A27" s="366"/>
      <c r="B27" s="400" t="s">
        <v>1780</v>
      </c>
      <c r="C27" s="557" t="s">
        <v>3409</v>
      </c>
      <c r="D27" s="373">
        <v>100</v>
      </c>
      <c r="E27" s="541" t="s">
        <v>3710</v>
      </c>
      <c r="F27" s="373">
        <f>SUMIF(89:89,E27,90:90)-SUMIF(89:89,C27,90:90)+100</f>
        <v>104</v>
      </c>
      <c r="G27" s="557" t="s">
        <v>3409</v>
      </c>
      <c r="H27" s="373">
        <f>SUMIF(89:89,G27,90:90)-SUMIF(89:89,C27,90:90)+100</f>
        <v>100</v>
      </c>
      <c r="I27" s="541" t="s">
        <v>3553</v>
      </c>
      <c r="J27" s="373">
        <f>SUMIF(89:89,I27,90:90)-SUMIF(89:89,C27,90:90)+100</f>
        <v>102</v>
      </c>
      <c r="K27" s="537">
        <v>2</v>
      </c>
      <c r="L27" s="2480"/>
      <c r="M27" s="2475"/>
      <c r="N27" s="2475"/>
      <c r="O27" s="2475"/>
      <c r="P27" s="3423"/>
      <c r="Q27" s="1252" t="str">
        <f t="shared" ref="Q27:Q47" si="11">B27</f>
        <v>楼层</v>
      </c>
      <c r="R27" s="663" t="s">
        <v>14</v>
      </c>
      <c r="S27" s="664">
        <f>F27</f>
        <v>104</v>
      </c>
      <c r="T27" s="663" t="s">
        <v>14</v>
      </c>
      <c r="U27" s="664">
        <f>H27</f>
        <v>100</v>
      </c>
      <c r="V27" s="663" t="s">
        <v>14</v>
      </c>
      <c r="W27" s="664">
        <f>J27</f>
        <v>102</v>
      </c>
      <c r="X27" s="1254"/>
      <c r="Y27" s="3425"/>
      <c r="Z27" s="1253" t="str">
        <f>Q27</f>
        <v>楼层</v>
      </c>
      <c r="AA27" s="1253">
        <f t="shared" si="3"/>
        <v>0.96153846153846156</v>
      </c>
      <c r="AB27" s="1253">
        <f t="shared" si="4"/>
        <v>1</v>
      </c>
      <c r="AC27" s="1801">
        <f t="shared" si="5"/>
        <v>0.98039215686274506</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423"/>
      <c r="Q28" s="529" t="str">
        <f t="shared" si="11"/>
        <v>朝向</v>
      </c>
      <c r="R28" s="660" t="s">
        <v>14</v>
      </c>
      <c r="S28" s="661">
        <f>F28</f>
        <v>100</v>
      </c>
      <c r="T28" s="660" t="s">
        <v>14</v>
      </c>
      <c r="U28" s="661">
        <f>H28</f>
        <v>100</v>
      </c>
      <c r="V28" s="660" t="s">
        <v>14</v>
      </c>
      <c r="W28" s="661">
        <f>J28</f>
        <v>100</v>
      </c>
      <c r="X28" s="662"/>
      <c r="Y28" s="3425"/>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423"/>
      <c r="Q29" s="1252">
        <f t="shared" si="11"/>
        <v>111</v>
      </c>
      <c r="R29" s="663" t="s">
        <v>14</v>
      </c>
      <c r="S29" s="664">
        <f t="shared" ref="S29:S47" si="12">F29</f>
        <v>100</v>
      </c>
      <c r="T29" s="663" t="s">
        <v>14</v>
      </c>
      <c r="U29" s="664">
        <f t="shared" ref="U29:U47" si="13">H29</f>
        <v>100</v>
      </c>
      <c r="V29" s="663" t="s">
        <v>14</v>
      </c>
      <c r="W29" s="664">
        <f t="shared" ref="W29:W47" si="14">J29</f>
        <v>100</v>
      </c>
      <c r="X29" s="1254"/>
      <c r="Y29" s="3425"/>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423"/>
      <c r="Q32" s="1252">
        <f t="shared" si="11"/>
        <v>111</v>
      </c>
      <c r="R32" s="663" t="s">
        <v>14</v>
      </c>
      <c r="S32" s="664">
        <f t="shared" si="12"/>
        <v>100</v>
      </c>
      <c r="T32" s="663" t="s">
        <v>14</v>
      </c>
      <c r="U32" s="664">
        <f t="shared" si="13"/>
        <v>100</v>
      </c>
      <c r="V32" s="663" t="s">
        <v>14</v>
      </c>
      <c r="W32" s="664">
        <f t="shared" si="14"/>
        <v>100</v>
      </c>
      <c r="X32" s="1254"/>
      <c r="Y32" s="3425"/>
      <c r="Z32" s="1253">
        <f t="shared" si="15"/>
        <v>111</v>
      </c>
      <c r="AA32" s="1253">
        <f t="shared" si="3"/>
        <v>1</v>
      </c>
      <c r="AB32" s="1253">
        <f t="shared" si="4"/>
        <v>1</v>
      </c>
      <c r="AC32" s="1801">
        <f t="shared" si="5"/>
        <v>1</v>
      </c>
    </row>
    <row r="33" spans="1:29" ht="15">
      <c r="A33" s="378" t="s">
        <v>1691</v>
      </c>
      <c r="B33" s="60" t="s">
        <v>1814</v>
      </c>
      <c r="C33" s="1753" t="s">
        <v>4023</v>
      </c>
      <c r="D33" s="404">
        <v>100</v>
      </c>
      <c r="E33" s="1753" t="s">
        <v>4023</v>
      </c>
      <c r="F33" s="399">
        <f>SUMIF(101:101,E33,102:102)-SUMIF(101:101,C33,102:102)+100</f>
        <v>100</v>
      </c>
      <c r="G33" s="1753" t="s">
        <v>4025</v>
      </c>
      <c r="H33" s="373">
        <f>SUMIF(101:101,G33,102:102)-SUMIF(101:101,C33,102:102)+100</f>
        <v>105</v>
      </c>
      <c r="I33" s="1753" t="s">
        <v>4023</v>
      </c>
      <c r="J33" s="404">
        <f>SUMIF(101:101,I33,102:102)-SUMIF(101:101,C33,102:102)+100</f>
        <v>100</v>
      </c>
      <c r="K33" s="537">
        <v>5</v>
      </c>
      <c r="L33" s="2480"/>
      <c r="M33" s="2475"/>
      <c r="N33" s="2475"/>
      <c r="O33" s="2475"/>
      <c r="P33" s="3426" t="s">
        <v>1693</v>
      </c>
      <c r="Q33" s="1252" t="str">
        <f t="shared" si="11"/>
        <v>建筑类型</v>
      </c>
      <c r="R33" s="663" t="s">
        <v>14</v>
      </c>
      <c r="S33" s="664">
        <f t="shared" si="12"/>
        <v>100</v>
      </c>
      <c r="T33" s="663" t="s">
        <v>14</v>
      </c>
      <c r="U33" s="664">
        <f t="shared" si="13"/>
        <v>105</v>
      </c>
      <c r="V33" s="663" t="s">
        <v>14</v>
      </c>
      <c r="W33" s="664">
        <f t="shared" si="14"/>
        <v>100</v>
      </c>
      <c r="X33" s="1254"/>
      <c r="Y33" s="3429" t="s">
        <v>1693</v>
      </c>
      <c r="Z33" s="1253" t="str">
        <f t="shared" si="15"/>
        <v>建筑类型</v>
      </c>
      <c r="AA33" s="1253">
        <f t="shared" si="3"/>
        <v>1</v>
      </c>
      <c r="AB33" s="1253">
        <f t="shared" si="4"/>
        <v>0.95238095238095233</v>
      </c>
      <c r="AC33" s="1801">
        <f t="shared" si="5"/>
        <v>1</v>
      </c>
    </row>
    <row r="34" spans="1:29" s="407" customFormat="1" ht="15">
      <c r="A34" s="405"/>
      <c r="B34" s="363" t="s">
        <v>1694</v>
      </c>
      <c r="C34" s="406">
        <f>'[1]典型户型修正-办公'!B24</f>
        <v>51.46</v>
      </c>
      <c r="D34" s="118">
        <v>100</v>
      </c>
      <c r="E34" s="406">
        <v>50</v>
      </c>
      <c r="F34" s="363">
        <f>LOOKUP(E34,104:104,105:105)-LOOKUP(C34,104:104,105:105)+100</f>
        <v>100</v>
      </c>
      <c r="G34" s="367">
        <v>1568.38</v>
      </c>
      <c r="H34" s="118">
        <f>LOOKUP(G34,104:104,105:105)-LOOKUP(C34,104:104,105:105)+100</f>
        <v>100</v>
      </c>
      <c r="I34" s="367">
        <v>41.79</v>
      </c>
      <c r="J34" s="118">
        <f>LOOKUP(I34,104:104,105:105)-LOOKUP(C34,104:104,105:105)+100</f>
        <v>100</v>
      </c>
      <c r="K34" s="538"/>
      <c r="L34" s="2479"/>
      <c r="M34" s="2481"/>
      <c r="N34" s="2481"/>
      <c r="O34" s="2481"/>
      <c r="P34" s="3427"/>
      <c r="Q34" s="530" t="str">
        <f t="shared" si="11"/>
        <v>项目建筑规模</v>
      </c>
      <c r="R34" s="665" t="s">
        <v>14</v>
      </c>
      <c r="S34" s="666">
        <f t="shared" si="12"/>
        <v>100</v>
      </c>
      <c r="T34" s="665" t="s">
        <v>14</v>
      </c>
      <c r="U34" s="666">
        <f t="shared" si="13"/>
        <v>100</v>
      </c>
      <c r="V34" s="665" t="s">
        <v>14</v>
      </c>
      <c r="W34" s="666">
        <f t="shared" si="14"/>
        <v>100</v>
      </c>
      <c r="X34" s="667"/>
      <c r="Y34" s="3429"/>
      <c r="Z34" s="668" t="str">
        <f t="shared" si="15"/>
        <v>项目建筑规模</v>
      </c>
      <c r="AA34" s="1253">
        <f t="shared" si="3"/>
        <v>1</v>
      </c>
      <c r="AB34" s="1253">
        <f t="shared" si="4"/>
        <v>1</v>
      </c>
      <c r="AC34" s="1801">
        <f t="shared" si="5"/>
        <v>1</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427"/>
      <c r="Q35" s="1252" t="str">
        <f t="shared" si="11"/>
        <v>建筑结构</v>
      </c>
      <c r="R35" s="663" t="s">
        <v>14</v>
      </c>
      <c r="S35" s="664">
        <f t="shared" si="12"/>
        <v>100</v>
      </c>
      <c r="T35" s="663" t="s">
        <v>14</v>
      </c>
      <c r="U35" s="664">
        <f t="shared" si="13"/>
        <v>100</v>
      </c>
      <c r="V35" s="663" t="s">
        <v>14</v>
      </c>
      <c r="W35" s="664">
        <f t="shared" si="14"/>
        <v>100</v>
      </c>
      <c r="X35" s="1254"/>
      <c r="Y35" s="3429"/>
      <c r="Z35" s="1253" t="str">
        <f t="shared" si="15"/>
        <v>建筑结构</v>
      </c>
      <c r="AA35" s="1253">
        <f t="shared" si="3"/>
        <v>1</v>
      </c>
      <c r="AB35" s="1253">
        <f t="shared" si="4"/>
        <v>1</v>
      </c>
      <c r="AC35" s="1801">
        <f t="shared" si="5"/>
        <v>1</v>
      </c>
    </row>
    <row r="36" spans="1:29" ht="15">
      <c r="A36" s="408"/>
      <c r="B36" s="363" t="s">
        <v>1782</v>
      </c>
      <c r="C36" s="398" t="s">
        <v>4013</v>
      </c>
      <c r="D36" s="373">
        <v>100</v>
      </c>
      <c r="E36" s="398" t="s">
        <v>4013</v>
      </c>
      <c r="F36" s="399">
        <f>SUMIF(108:108,E36,109:109)-SUMIF(108:108,C36,109:109)+100</f>
        <v>100</v>
      </c>
      <c r="G36" s="398" t="s">
        <v>4013</v>
      </c>
      <c r="H36" s="373">
        <f>SUMIF(108:108,G36,109:109)-SUMIF(108:108,C36,109:109)+100</f>
        <v>100</v>
      </c>
      <c r="I36" s="398" t="s">
        <v>4013</v>
      </c>
      <c r="J36" s="373">
        <f>SUMIF(108:108,I36,109:109)-SUMIF(108:108,C36,109:109)+100</f>
        <v>100</v>
      </c>
      <c r="K36" s="537">
        <v>2</v>
      </c>
      <c r="L36" s="2480"/>
      <c r="M36" s="2475"/>
      <c r="N36" s="2475"/>
      <c r="O36" s="2475"/>
      <c r="P36" s="3427"/>
      <c r="Q36" s="1252" t="str">
        <f t="shared" si="11"/>
        <v>公共部分装修</v>
      </c>
      <c r="R36" s="663" t="s">
        <v>14</v>
      </c>
      <c r="S36" s="664">
        <f t="shared" si="12"/>
        <v>100</v>
      </c>
      <c r="T36" s="663" t="s">
        <v>14</v>
      </c>
      <c r="U36" s="664">
        <f t="shared" si="13"/>
        <v>100</v>
      </c>
      <c r="V36" s="663" t="s">
        <v>14</v>
      </c>
      <c r="W36" s="664">
        <f t="shared" si="14"/>
        <v>100</v>
      </c>
      <c r="X36" s="1254"/>
      <c r="Y36" s="3429"/>
      <c r="Z36" s="1253" t="str">
        <f t="shared" si="15"/>
        <v>公共部分装修</v>
      </c>
      <c r="AA36" s="1253">
        <f t="shared" si="3"/>
        <v>1</v>
      </c>
      <c r="AB36" s="1253">
        <f t="shared" si="4"/>
        <v>1</v>
      </c>
      <c r="AC36" s="1801">
        <f t="shared" si="5"/>
        <v>1</v>
      </c>
    </row>
    <row r="37" spans="1:29" ht="15">
      <c r="A37" s="408"/>
      <c r="B37" s="363" t="s">
        <v>1783</v>
      </c>
      <c r="C37" s="686">
        <f>ROUND(1-(2024-2017)/60,2)</f>
        <v>0.88</v>
      </c>
      <c r="D37" s="373">
        <v>100</v>
      </c>
      <c r="E37" s="686">
        <f>ROUND(1-(2024-2017)/60,2)</f>
        <v>0.88</v>
      </c>
      <c r="F37" s="399">
        <f>LOOKUP(E37,111:111,112:112)-LOOKUP(C37,111:111,112:112)+100</f>
        <v>100</v>
      </c>
      <c r="G37" s="686">
        <f>ROUND(1-(2024-2017)/60,2)</f>
        <v>0.88</v>
      </c>
      <c r="H37" s="399">
        <f>LOOKUP(G37,111:111,112:112)-LOOKUP(C37,111:111,112:112)+100</f>
        <v>100</v>
      </c>
      <c r="I37" s="686">
        <f>ROUND(1-(2024-2018)/60,2)</f>
        <v>0.9</v>
      </c>
      <c r="J37" s="373">
        <f>LOOKUP(I37,111:111,112:112)-LOOKUP(C37,111:111,112:112)+100</f>
        <v>101</v>
      </c>
      <c r="K37" s="537">
        <v>1</v>
      </c>
      <c r="L37" s="2480"/>
      <c r="M37" s="2475"/>
      <c r="N37" s="2475"/>
      <c r="O37" s="2475"/>
      <c r="P37" s="3427"/>
      <c r="Q37" s="1252" t="str">
        <f t="shared" si="11"/>
        <v>成新度</v>
      </c>
      <c r="R37" s="663" t="s">
        <v>14</v>
      </c>
      <c r="S37" s="664">
        <f t="shared" si="12"/>
        <v>100</v>
      </c>
      <c r="T37" s="663" t="s">
        <v>14</v>
      </c>
      <c r="U37" s="664">
        <f t="shared" si="13"/>
        <v>100</v>
      </c>
      <c r="V37" s="663" t="s">
        <v>14</v>
      </c>
      <c r="W37" s="664">
        <f t="shared" si="14"/>
        <v>101</v>
      </c>
      <c r="X37" s="1254"/>
      <c r="Y37" s="3429"/>
      <c r="Z37" s="1253" t="str">
        <f t="shared" si="15"/>
        <v>成新度</v>
      </c>
      <c r="AA37" s="1253">
        <f t="shared" si="3"/>
        <v>1</v>
      </c>
      <c r="AB37" s="1253">
        <f t="shared" si="4"/>
        <v>1</v>
      </c>
      <c r="AC37" s="1801">
        <f t="shared" si="5"/>
        <v>0.99009900990099009</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427"/>
      <c r="Q38" s="529" t="str">
        <f t="shared" si="11"/>
        <v>写字楼等级</v>
      </c>
      <c r="R38" s="660" t="s">
        <v>14</v>
      </c>
      <c r="S38" s="661">
        <f t="shared" si="12"/>
        <v>100</v>
      </c>
      <c r="T38" s="660" t="s">
        <v>14</v>
      </c>
      <c r="U38" s="661">
        <f t="shared" si="13"/>
        <v>100</v>
      </c>
      <c r="V38" s="660" t="s">
        <v>14</v>
      </c>
      <c r="W38" s="661">
        <f t="shared" si="14"/>
        <v>100</v>
      </c>
      <c r="X38" s="662"/>
      <c r="Y38" s="3429"/>
      <c r="Z38" s="50" t="str">
        <f t="shared" si="15"/>
        <v>写字楼等级</v>
      </c>
      <c r="AA38" s="50">
        <f t="shared" si="3"/>
        <v>1</v>
      </c>
      <c r="AB38" s="50">
        <f t="shared" si="4"/>
        <v>1</v>
      </c>
      <c r="AC38" s="796">
        <f t="shared" si="5"/>
        <v>1</v>
      </c>
    </row>
    <row r="39" spans="1:29" ht="15">
      <c r="A39" s="408"/>
      <c r="B39" s="363" t="s">
        <v>1816</v>
      </c>
      <c r="C39" s="398" t="s">
        <v>4018</v>
      </c>
      <c r="D39" s="373">
        <v>100</v>
      </c>
      <c r="E39" s="398" t="s">
        <v>4018</v>
      </c>
      <c r="F39" s="399">
        <f>SUMIF(115:115,E39,116:116)-SUMIF(115:115,C39,116:116)+100</f>
        <v>100</v>
      </c>
      <c r="G39" s="398" t="s">
        <v>4018</v>
      </c>
      <c r="H39" s="373">
        <f>SUMIF(115:115,G39,116:116)-SUMIF(115:115,C39,116:116)+100</f>
        <v>100</v>
      </c>
      <c r="I39" s="398" t="s">
        <v>4018</v>
      </c>
      <c r="J39" s="373">
        <f>SUMIF(115:115,I39,116:116)-SUMIF(115:115,C39,116:116)+100</f>
        <v>100</v>
      </c>
      <c r="K39" s="537">
        <v>2</v>
      </c>
      <c r="L39" s="2480"/>
      <c r="M39" s="2475"/>
      <c r="N39" s="2475"/>
      <c r="O39" s="2475"/>
      <c r="P39" s="3427" t="s">
        <v>1693</v>
      </c>
      <c r="Q39" s="1252" t="str">
        <f t="shared" si="11"/>
        <v>物业管理</v>
      </c>
      <c r="R39" s="663" t="s">
        <v>14</v>
      </c>
      <c r="S39" s="664">
        <f t="shared" si="12"/>
        <v>100</v>
      </c>
      <c r="T39" s="663" t="s">
        <v>14</v>
      </c>
      <c r="U39" s="664">
        <f t="shared" si="13"/>
        <v>100</v>
      </c>
      <c r="V39" s="663" t="s">
        <v>14</v>
      </c>
      <c r="W39" s="664">
        <f t="shared" si="14"/>
        <v>100</v>
      </c>
      <c r="X39" s="1254"/>
      <c r="Y39" s="3429" t="s">
        <v>1693</v>
      </c>
      <c r="Z39" s="1253" t="str">
        <f t="shared" si="15"/>
        <v>物业管理</v>
      </c>
      <c r="AA39" s="1253">
        <f t="shared" si="3"/>
        <v>1</v>
      </c>
      <c r="AB39" s="1253">
        <f t="shared" si="4"/>
        <v>1</v>
      </c>
      <c r="AC39" s="1801">
        <f t="shared" si="5"/>
        <v>1</v>
      </c>
    </row>
    <row r="40" spans="1:29" ht="15">
      <c r="A40" s="408"/>
      <c r="B40" s="363" t="s">
        <v>1784</v>
      </c>
      <c r="C40" s="398" t="s">
        <v>4019</v>
      </c>
      <c r="D40" s="373">
        <v>100</v>
      </c>
      <c r="E40" s="398" t="s">
        <v>4019</v>
      </c>
      <c r="F40" s="399">
        <f>SUMIF(117:117,E40,118:118)-SUMIF(117:117,C40,118:118)+100</f>
        <v>100</v>
      </c>
      <c r="G40" s="398" t="s">
        <v>4019</v>
      </c>
      <c r="H40" s="373">
        <f>SUMIF(117:117,G40,118:118)-SUMIF(117:117,C40,118:118)+100</f>
        <v>100</v>
      </c>
      <c r="I40" s="398" t="s">
        <v>4019</v>
      </c>
      <c r="J40" s="373">
        <f>SUMIF(117:117,I40,118:118)-SUMIF(117:117,C40,118:118)+100</f>
        <v>100</v>
      </c>
      <c r="K40" s="537">
        <v>1</v>
      </c>
      <c r="L40" s="2480"/>
      <c r="M40" s="2475"/>
      <c r="N40" s="2475"/>
      <c r="O40" s="2475"/>
      <c r="P40" s="3427"/>
      <c r="Q40" s="1252" t="str">
        <f t="shared" si="11"/>
        <v>市政基础设施</v>
      </c>
      <c r="R40" s="663" t="s">
        <v>14</v>
      </c>
      <c r="S40" s="664">
        <f t="shared" si="12"/>
        <v>100</v>
      </c>
      <c r="T40" s="663" t="s">
        <v>14</v>
      </c>
      <c r="U40" s="664">
        <f t="shared" si="13"/>
        <v>100</v>
      </c>
      <c r="V40" s="663" t="s">
        <v>14</v>
      </c>
      <c r="W40" s="664">
        <f t="shared" si="14"/>
        <v>100</v>
      </c>
      <c r="X40" s="1254"/>
      <c r="Y40" s="3429"/>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427"/>
      <c r="Q41" s="1252" t="str">
        <f t="shared" si="11"/>
        <v>层高</v>
      </c>
      <c r="R41" s="663" t="s">
        <v>14</v>
      </c>
      <c r="S41" s="664">
        <f t="shared" si="12"/>
        <v>100</v>
      </c>
      <c r="T41" s="663" t="s">
        <v>14</v>
      </c>
      <c r="U41" s="664">
        <f t="shared" si="13"/>
        <v>100</v>
      </c>
      <c r="V41" s="663" t="s">
        <v>14</v>
      </c>
      <c r="W41" s="664">
        <f t="shared" si="14"/>
        <v>100</v>
      </c>
      <c r="X41" s="1254"/>
      <c r="Y41" s="3429"/>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427"/>
      <c r="Q42" s="530" t="str">
        <f t="shared" si="11"/>
        <v>单套建筑面积</v>
      </c>
      <c r="R42" s="665" t="s">
        <v>14</v>
      </c>
      <c r="S42" s="666">
        <f t="shared" si="12"/>
        <v>100</v>
      </c>
      <c r="T42" s="665" t="s">
        <v>14</v>
      </c>
      <c r="U42" s="666">
        <f t="shared" si="13"/>
        <v>100</v>
      </c>
      <c r="V42" s="665" t="s">
        <v>14</v>
      </c>
      <c r="W42" s="666">
        <f t="shared" si="14"/>
        <v>100</v>
      </c>
      <c r="X42" s="667"/>
      <c r="Y42" s="3429"/>
      <c r="Z42" s="668" t="str">
        <f t="shared" si="15"/>
        <v>单套建筑面积</v>
      </c>
      <c r="AA42" s="1253">
        <f t="shared" si="3"/>
        <v>1</v>
      </c>
      <c r="AB42" s="1253">
        <f t="shared" si="4"/>
        <v>1</v>
      </c>
      <c r="AC42" s="1801">
        <f t="shared" si="5"/>
        <v>1</v>
      </c>
    </row>
    <row r="43" spans="1:29" ht="15">
      <c r="A43" s="408"/>
      <c r="B43" s="363" t="s">
        <v>1789</v>
      </c>
      <c r="C43" s="398" t="s">
        <v>4016</v>
      </c>
      <c r="D43" s="373">
        <v>100</v>
      </c>
      <c r="E43" s="398" t="s">
        <v>4016</v>
      </c>
      <c r="F43" s="399">
        <f>SUMIF(123:123,E43,124:124)-SUMIF(123:123,C43,124:124)+100</f>
        <v>100</v>
      </c>
      <c r="G43" s="398" t="s">
        <v>4016</v>
      </c>
      <c r="H43" s="373">
        <f>SUMIF(123:123,G43,124:124)-SUMIF(123:123,C43,124:124)+100</f>
        <v>100</v>
      </c>
      <c r="I43" s="398" t="s">
        <v>4016</v>
      </c>
      <c r="J43" s="373">
        <f>SUMIF(123:123,I43,124:124)-SUMIF(123:123,C43,124:124)+100</f>
        <v>100</v>
      </c>
      <c r="K43" s="537">
        <v>1</v>
      </c>
      <c r="L43" s="2480"/>
      <c r="M43" s="2475"/>
      <c r="N43" s="2475"/>
      <c r="O43" s="2475"/>
      <c r="P43" s="3427"/>
      <c r="Q43" s="1252" t="str">
        <f t="shared" si="11"/>
        <v>内部装修</v>
      </c>
      <c r="R43" s="663" t="s">
        <v>14</v>
      </c>
      <c r="S43" s="664">
        <f t="shared" si="12"/>
        <v>100</v>
      </c>
      <c r="T43" s="663" t="s">
        <v>14</v>
      </c>
      <c r="U43" s="664">
        <f t="shared" si="13"/>
        <v>100</v>
      </c>
      <c r="V43" s="663" t="s">
        <v>14</v>
      </c>
      <c r="W43" s="664">
        <f t="shared" si="14"/>
        <v>100</v>
      </c>
      <c r="X43" s="1254"/>
      <c r="Y43" s="3429"/>
      <c r="Z43" s="1253" t="str">
        <f t="shared" si="15"/>
        <v>内部装修</v>
      </c>
      <c r="AA43" s="1253">
        <f t="shared" si="3"/>
        <v>1</v>
      </c>
      <c r="AB43" s="1253">
        <f t="shared" si="4"/>
        <v>1</v>
      </c>
      <c r="AC43" s="1801">
        <f t="shared" si="5"/>
        <v>1</v>
      </c>
    </row>
    <row r="44" spans="1:29" ht="15">
      <c r="A44" s="408"/>
      <c r="B44" s="363" t="s">
        <v>1704</v>
      </c>
      <c r="C44" s="398" t="s">
        <v>4024</v>
      </c>
      <c r="D44" s="373">
        <v>100</v>
      </c>
      <c r="E44" s="398" t="s">
        <v>4024</v>
      </c>
      <c r="F44" s="399">
        <f>SUMIF(125:125,E44,126:126)-SUMIF(125:125,C44,126:126)+100</f>
        <v>100</v>
      </c>
      <c r="G44" s="398" t="s">
        <v>4024</v>
      </c>
      <c r="H44" s="373">
        <f>SUMIF(125:125,G44,126:126)-SUMIF(125:125,C44,126:126)+100</f>
        <v>100</v>
      </c>
      <c r="I44" s="398" t="s">
        <v>4024</v>
      </c>
      <c r="J44" s="373">
        <f>SUMIF(125:125,I44,126:126)-SUMIF(125:125,C44,126:126)+100</f>
        <v>100</v>
      </c>
      <c r="K44" s="537">
        <v>2</v>
      </c>
      <c r="L44" s="2480"/>
      <c r="M44" s="2475"/>
      <c r="N44" s="2475"/>
      <c r="O44" s="2475"/>
      <c r="P44" s="3427"/>
      <c r="Q44" s="1252" t="str">
        <f t="shared" si="11"/>
        <v>内部装修维护情况</v>
      </c>
      <c r="R44" s="663" t="s">
        <v>14</v>
      </c>
      <c r="S44" s="664">
        <f t="shared" si="12"/>
        <v>100</v>
      </c>
      <c r="T44" s="663" t="s">
        <v>14</v>
      </c>
      <c r="U44" s="664">
        <f t="shared" si="13"/>
        <v>100</v>
      </c>
      <c r="V44" s="663" t="s">
        <v>14</v>
      </c>
      <c r="W44" s="664">
        <f t="shared" si="14"/>
        <v>100</v>
      </c>
      <c r="X44" s="1254"/>
      <c r="Y44" s="3429"/>
      <c r="Z44" s="1253" t="str">
        <f t="shared" si="15"/>
        <v>内部装修维护情况</v>
      </c>
      <c r="AA44" s="1253">
        <f t="shared" si="3"/>
        <v>1</v>
      </c>
      <c r="AB44" s="1253">
        <f t="shared" si="4"/>
        <v>1</v>
      </c>
      <c r="AC44" s="1801">
        <f t="shared" si="5"/>
        <v>1</v>
      </c>
    </row>
    <row r="45" spans="1:29" s="102" customFormat="1" ht="15">
      <c r="A45" s="409"/>
      <c r="B45" s="3163" t="s">
        <v>4020</v>
      </c>
      <c r="C45" s="3165" t="s">
        <v>21</v>
      </c>
      <c r="D45" s="118">
        <v>100</v>
      </c>
      <c r="E45" s="3165" t="s">
        <v>21</v>
      </c>
      <c r="F45" s="363">
        <f>SUMIF(127:127,E45,128:128)-SUMIF(127:127,C45,128:128)+100</f>
        <v>100</v>
      </c>
      <c r="G45" s="3165" t="s">
        <v>21</v>
      </c>
      <c r="H45" s="118">
        <f>SUMIF(127:127,G45,128:128)-SUMIF(127:127,C45,128:128)+100</f>
        <v>100</v>
      </c>
      <c r="I45" s="3165" t="s">
        <v>21</v>
      </c>
      <c r="J45" s="118">
        <f>SUMIF(127:127,I45,128:128)-SUMIF(127:127,C45,128:128)+100</f>
        <v>100</v>
      </c>
      <c r="K45" s="538"/>
      <c r="L45" s="2476"/>
      <c r="M45" s="2427"/>
      <c r="N45" s="2427"/>
      <c r="O45" s="2427"/>
      <c r="P45" s="3427"/>
      <c r="Q45" s="529" t="str">
        <f t="shared" si="11"/>
        <v>现状</v>
      </c>
      <c r="R45" s="660" t="s">
        <v>14</v>
      </c>
      <c r="S45" s="661">
        <f t="shared" si="12"/>
        <v>100</v>
      </c>
      <c r="T45" s="660" t="s">
        <v>14</v>
      </c>
      <c r="U45" s="661">
        <f t="shared" si="13"/>
        <v>100</v>
      </c>
      <c r="V45" s="660" t="s">
        <v>14</v>
      </c>
      <c r="W45" s="661">
        <f t="shared" si="14"/>
        <v>100</v>
      </c>
      <c r="X45" s="662"/>
      <c r="Y45" s="3429"/>
      <c r="Z45" s="50" t="str">
        <f t="shared" si="15"/>
        <v>现状</v>
      </c>
      <c r="AA45" s="50">
        <f t="shared" si="3"/>
        <v>1</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427"/>
      <c r="Q46" s="1252">
        <f t="shared" si="11"/>
        <v>111</v>
      </c>
      <c r="R46" s="663" t="s">
        <v>14</v>
      </c>
      <c r="S46" s="664">
        <f t="shared" si="12"/>
        <v>100</v>
      </c>
      <c r="T46" s="663" t="s">
        <v>14</v>
      </c>
      <c r="U46" s="664">
        <f t="shared" si="13"/>
        <v>100</v>
      </c>
      <c r="V46" s="663" t="s">
        <v>14</v>
      </c>
      <c r="W46" s="664">
        <f t="shared" si="14"/>
        <v>100</v>
      </c>
      <c r="X46" s="1254"/>
      <c r="Y46" s="3429"/>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428"/>
      <c r="Q47" s="1252">
        <f t="shared" si="11"/>
        <v>111</v>
      </c>
      <c r="R47" s="663" t="s">
        <v>14</v>
      </c>
      <c r="S47" s="664">
        <f t="shared" si="12"/>
        <v>100</v>
      </c>
      <c r="T47" s="663" t="s">
        <v>14</v>
      </c>
      <c r="U47" s="664">
        <f t="shared" si="13"/>
        <v>100</v>
      </c>
      <c r="V47" s="663" t="s">
        <v>14</v>
      </c>
      <c r="W47" s="664">
        <f t="shared" si="14"/>
        <v>100</v>
      </c>
      <c r="X47" s="1254"/>
      <c r="Y47" s="3430"/>
      <c r="Z47" s="1253">
        <f t="shared" si="15"/>
        <v>111</v>
      </c>
      <c r="AA47" s="1253">
        <f t="shared" si="3"/>
        <v>1</v>
      </c>
      <c r="AB47" s="1253">
        <f t="shared" si="4"/>
        <v>1</v>
      </c>
      <c r="AC47" s="1801">
        <f t="shared" si="5"/>
        <v>1</v>
      </c>
    </row>
    <row r="48" spans="1:29" ht="15">
      <c r="A48" s="415" t="s">
        <v>1705</v>
      </c>
      <c r="B48" s="416"/>
      <c r="C48" s="1071" t="s">
        <v>0</v>
      </c>
      <c r="D48" s="417"/>
      <c r="E48" s="3200">
        <v>17150</v>
      </c>
      <c r="F48" s="419"/>
      <c r="G48" s="420">
        <v>18216</v>
      </c>
      <c r="H48" s="421"/>
      <c r="I48" s="418">
        <v>17947</v>
      </c>
      <c r="J48" s="421"/>
      <c r="K48" s="670"/>
      <c r="L48" s="2482"/>
      <c r="M48" s="2475"/>
      <c r="N48" s="2475"/>
      <c r="O48" s="2475"/>
      <c r="P48" s="3402" t="str">
        <f>A48</f>
        <v>成交单价（元/平方米）</v>
      </c>
      <c r="Q48" s="3431"/>
      <c r="R48" s="3419">
        <f>E48</f>
        <v>17150</v>
      </c>
      <c r="S48" s="3419"/>
      <c r="T48" s="3419">
        <f>G48</f>
        <v>18216</v>
      </c>
      <c r="U48" s="3419"/>
      <c r="V48" s="3419">
        <f>I48</f>
        <v>17947</v>
      </c>
      <c r="W48" s="3419"/>
      <c r="X48" s="384"/>
      <c r="Y48" s="669"/>
      <c r="Z48" s="384"/>
      <c r="AA48" s="384"/>
      <c r="AB48" s="384"/>
      <c r="AC48" s="554"/>
    </row>
    <row r="49" spans="1:29" ht="15.75" thickBot="1">
      <c r="A49" s="422" t="s">
        <v>1790</v>
      </c>
      <c r="B49" s="423"/>
      <c r="C49" s="1072">
        <f>R50</f>
        <v>16527</v>
      </c>
      <c r="D49" s="2130" t="s">
        <v>2130</v>
      </c>
      <c r="E49" s="1073">
        <f>R49</f>
        <v>16490</v>
      </c>
      <c r="F49" s="2131"/>
      <c r="G49" s="1072">
        <f>T49</f>
        <v>16675</v>
      </c>
      <c r="H49" s="2131"/>
      <c r="I49" s="1073">
        <f>V49</f>
        <v>16416</v>
      </c>
      <c r="J49" s="2131"/>
      <c r="K49" s="2133">
        <f>F49+H49+J49</f>
        <v>0</v>
      </c>
      <c r="L49" s="2482"/>
      <c r="M49" s="2475"/>
      <c r="N49" s="2475"/>
      <c r="O49" s="2475"/>
      <c r="P49" s="3402" t="str">
        <f>A49</f>
        <v>比较价值（元/平方米）</v>
      </c>
      <c r="Q49" s="3431"/>
      <c r="R49" s="3419">
        <f>IF(F1="售价",ROUND(PRODUCT(R48,AA7:AA47),0),ROUND(PRODUCT(R48,AA7:AA47),1))</f>
        <v>16490</v>
      </c>
      <c r="S49" s="3419"/>
      <c r="T49" s="3419">
        <f>IF(F1="售价",ROUND(PRODUCT(T48,AB7:AB47),0),ROUND(PRODUCT(T48,AB7:AB47),1))</f>
        <v>16675</v>
      </c>
      <c r="U49" s="3419"/>
      <c r="V49" s="3419">
        <f>IF(F1="售价",ROUND(PRODUCT(V48,AC7:AC47),0),ROUND(PRODUCT(V48,AC7:AC47),1))</f>
        <v>16416</v>
      </c>
      <c r="W49" s="3419"/>
      <c r="X49" s="384"/>
      <c r="Y49" s="384"/>
      <c r="Z49" s="384"/>
      <c r="AA49" s="384"/>
      <c r="AB49" s="384"/>
      <c r="AC49" s="554"/>
    </row>
    <row r="50" spans="1:29" ht="15.75" thickBot="1">
      <c r="A50" s="426" t="s">
        <v>1791</v>
      </c>
      <c r="B50" s="427"/>
      <c r="C50" s="350">
        <f>R50</f>
        <v>16527</v>
      </c>
      <c r="D50" s="350"/>
      <c r="E50" s="350"/>
      <c r="F50" s="350"/>
      <c r="G50" s="350"/>
      <c r="H50" s="350"/>
      <c r="I50" s="350"/>
      <c r="J50" s="428"/>
      <c r="K50" s="671"/>
      <c r="L50" s="2482"/>
      <c r="M50" s="2475"/>
      <c r="N50" s="2475"/>
      <c r="O50" s="2475"/>
      <c r="P50" s="3432" t="str">
        <f>A50</f>
        <v>估价对象XX用房的比较价值（楼面单价，元/平方米）</v>
      </c>
      <c r="Q50" s="3433"/>
      <c r="R50" s="3434">
        <f>IF(F1="售价",ROUND(IF(D49="简单平均",AVERAGE(R49:V49),R49*F49+T49*H49+V49*J49),0),ROUND(IF(D49="简单平均",AVERAGE(R49:V49),R49*F49+T49*H49+V49*J49),1))</f>
        <v>16527</v>
      </c>
      <c r="S50" s="3434"/>
      <c r="T50" s="3434"/>
      <c r="U50" s="3434"/>
      <c r="V50" s="3434"/>
      <c r="W50" s="3434"/>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1792</v>
      </c>
      <c r="D53" s="432"/>
      <c r="E53" s="433">
        <f>IF(E48&lt;E49,E49/E48-1,E48/E49-1)</f>
        <v>4.0024257125530704E-2</v>
      </c>
      <c r="F53" s="434" t="str">
        <f>IF(OR(E53&gt;=0.3,E53&lt;=-0.3),"超过30%","")</f>
        <v/>
      </c>
      <c r="G53" s="433">
        <f>IF(G48&lt;G49,G49/G48-1,G48/G49-1)</f>
        <v>9.2413793103448327E-2</v>
      </c>
      <c r="H53" s="434" t="str">
        <f>IF(OR(G53&gt;=0.3,G53&lt;=-0.3),"超过30%","")</f>
        <v/>
      </c>
      <c r="I53" s="433">
        <f>IF(I48&lt;I49,I49/I48-1,I48/I49-1)</f>
        <v>9.326267056530213E-2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1793</v>
      </c>
      <c r="D54" s="435"/>
      <c r="E54" s="433">
        <f>IF(E49&lt;G49,G49/E49-1,E49/G49-1)</f>
        <v>1.1218920557913847E-2</v>
      </c>
      <c r="F54" s="434" t="str">
        <f>IF(OR(E54&gt;=0.2,E54&lt;=-0.2),"超过20%","")</f>
        <v/>
      </c>
      <c r="G54" s="433">
        <f>IF(G49&lt;I49,I49/G49-1,G49/I49-1)</f>
        <v>1.5777290448343084E-2</v>
      </c>
      <c r="H54" s="434" t="str">
        <f>IF(OR(G54&gt;=0.2,G54&lt;=-0.2),"超过20%","")</f>
        <v/>
      </c>
      <c r="I54" s="433">
        <f>IF(I49&lt;E49,E49/I49-1,I49/E49-1)</f>
        <v>4.5077972709550718E-3</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1794</v>
      </c>
      <c r="D55" s="435"/>
      <c r="E55" s="433">
        <f>IF(E48&lt;G48,G48/E48-1,E48/G48-1)</f>
        <v>6.2157434402332346E-2</v>
      </c>
      <c r="F55" s="434" t="str">
        <f>IF(OR(E55&gt;=0.3,E55&lt;=-0.3),"超过30%","")</f>
        <v/>
      </c>
      <c r="G55" s="433">
        <f>IF(G48&lt;I48,I48/G48-1,G48/I48-1)</f>
        <v>1.4988577478129983E-2</v>
      </c>
      <c r="H55" s="434" t="str">
        <f>IF(OR(G55&gt;=0.3,G55&lt;=-0.3),"超过30%","")</f>
        <v/>
      </c>
      <c r="I55" s="433">
        <f>IF(I48&lt;E48,E48/I48-1,I48/E48-1)</f>
        <v>4.6472303206997134E-2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1795</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2024-10</v>
      </c>
      <c r="D59" s="1094">
        <f>EDATE(C59,-1)</f>
        <v>45536</v>
      </c>
      <c r="E59" s="1094">
        <f>EDATE(D59,-1)</f>
        <v>45505</v>
      </c>
      <c r="F59" s="1094">
        <f t="shared" ref="F59:O59" si="16">EDATE(E59,-1)</f>
        <v>45474</v>
      </c>
      <c r="G59" s="1094">
        <f t="shared" si="16"/>
        <v>45444</v>
      </c>
      <c r="H59" s="1094">
        <f t="shared" si="16"/>
        <v>45413</v>
      </c>
      <c r="I59" s="1094">
        <f t="shared" si="16"/>
        <v>45383</v>
      </c>
      <c r="J59" s="1094">
        <f t="shared" si="16"/>
        <v>45352</v>
      </c>
      <c r="K59" s="1094">
        <f t="shared" si="16"/>
        <v>45323</v>
      </c>
      <c r="L59" s="1094">
        <f t="shared" si="16"/>
        <v>45292</v>
      </c>
      <c r="M59" s="1094">
        <f t="shared" si="16"/>
        <v>45261</v>
      </c>
      <c r="N59" s="1094">
        <f t="shared" si="16"/>
        <v>45231</v>
      </c>
      <c r="O59" s="1094">
        <f t="shared" si="16"/>
        <v>45200</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1773</v>
      </c>
      <c r="D62" s="3166" t="s">
        <v>4029</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4032</v>
      </c>
      <c r="D66" s="512" t="s">
        <v>4033</v>
      </c>
      <c r="E66" s="512" t="s">
        <v>4031</v>
      </c>
      <c r="F66" s="512" t="s">
        <v>4034</v>
      </c>
      <c r="G66" s="512" t="s">
        <v>4030</v>
      </c>
      <c r="H66" s="512" t="s">
        <v>4035</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0" t="s">
        <v>3710</v>
      </c>
      <c r="D89" s="3160" t="s">
        <v>3553</v>
      </c>
      <c r="E89" s="3160"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1" t="s">
        <v>4011</v>
      </c>
      <c r="D101" s="3161" t="s">
        <v>4012</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95</v>
      </c>
      <c r="E102" s="474">
        <f t="shared" si="23"/>
        <v>90</v>
      </c>
      <c r="F102" s="474">
        <f t="shared" si="23"/>
        <v>85</v>
      </c>
      <c r="G102" s="474">
        <f t="shared" si="23"/>
        <v>80</v>
      </c>
      <c r="H102" s="474">
        <f t="shared" si="23"/>
        <v>75</v>
      </c>
      <c r="I102" s="474">
        <f t="shared" si="23"/>
        <v>70</v>
      </c>
      <c r="J102" s="474">
        <f t="shared" si="23"/>
        <v>65</v>
      </c>
      <c r="K102" s="474">
        <f t="shared" si="23"/>
        <v>60</v>
      </c>
      <c r="L102" s="474">
        <f t="shared" si="23"/>
        <v>55</v>
      </c>
      <c r="M102" s="475">
        <f t="shared" si="23"/>
        <v>50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0"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0" t="s">
        <v>4013</v>
      </c>
      <c r="D108" s="3160" t="s">
        <v>4014</v>
      </c>
      <c r="E108" s="3160" t="s">
        <v>4015</v>
      </c>
      <c r="F108" s="3162" t="s">
        <v>4016</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0" t="s">
        <v>4017</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0" t="s">
        <v>4018</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0" t="s">
        <v>4007</v>
      </c>
      <c r="D117" s="3160" t="s">
        <v>4019</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2">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0" t="s">
        <v>4013</v>
      </c>
      <c r="D123" s="3160" t="s">
        <v>4014</v>
      </c>
      <c r="E123" s="3160" t="s">
        <v>4015</v>
      </c>
      <c r="F123" s="3162" t="s">
        <v>4016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0" t="s">
        <v>4021</v>
      </c>
      <c r="D127" s="3160" t="s">
        <v>4022</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F7:F47 H7:H47 J7:J47">
    <cfRule type="cellIs" dxfId="170" priority="1" operator="notEqual">
      <formula>100</formula>
    </cfRule>
  </conditionalFormatting>
  <conditionalFormatting sqref="F49">
    <cfRule type="expression" dxfId="169" priority="4">
      <formula>$D$49="简单平均"</formula>
    </cfRule>
  </conditionalFormatting>
  <conditionalFormatting sqref="F53:F55 H53:H55">
    <cfRule type="containsText" dxfId="168" priority="17" stopIfTrue="1" operator="containsText" text="超过">
      <formula>NOT(ISERROR(SEARCH("超过",F53)))</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G55">
    <cfRule type="expression" dxfId="165" priority="13" stopIfTrue="1">
      <formula>$H$55="超过30%"</formula>
    </cfRule>
  </conditionalFormatting>
  <conditionalFormatting sqref="H49">
    <cfRule type="expression" dxfId="164" priority="3">
      <formula>$D$49="简单平均"</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J49">
    <cfRule type="expression" dxfId="160" priority="2">
      <formula>$D$49="简单平均"</formula>
    </cfRule>
  </conditionalFormatting>
  <conditionalFormatting sqref="J53:J55">
    <cfRule type="containsText" dxfId="159"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63"/>
      <c r="C1" s="189"/>
      <c r="D1" s="189"/>
      <c r="E1" s="189"/>
      <c r="F1" s="189"/>
      <c r="G1" s="1052">
        <f>MATCH(B1,'数据-取费表'!A6:A16,0)+5</f>
        <v>10</v>
      </c>
    </row>
    <row r="2" spans="1:9" s="191" customFormat="1" ht="18" customHeight="1">
      <c r="A2" s="192" t="s">
        <v>1459</v>
      </c>
      <c r="B2" s="193">
        <f ca="1">IF(D2="——",C52,C52-E2)</f>
        <v>25823</v>
      </c>
      <c r="C2" s="190" t="s">
        <v>1460</v>
      </c>
      <c r="D2" s="1700" t="s">
        <v>43</v>
      </c>
      <c r="E2" s="1079" t="e">
        <f ca="1">SUMIF(INDIRECT("'"&amp;G2&amp;"'"&amp;"!A:A"),"承租人权益价值",INDIRECT("'"&amp;G2&amp;"'"&amp;"!c:c"))</f>
        <v>#REF!</v>
      </c>
      <c r="F2" s="1701" t="s">
        <v>1460</v>
      </c>
      <c r="G2" s="1702"/>
    </row>
    <row r="3" spans="1:9" s="191" customFormat="1" ht="18" customHeight="1" thickBot="1">
      <c r="A3" s="194" t="s">
        <v>1461</v>
      </c>
      <c r="B3" s="195">
        <f ca="1">ROUND(B2*10000/(IF(B1="",'数据-汇总表'!E3,INDIRECT("'数据-取费表'!k"&amp;$G$1))),0)</f>
        <v>5052</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C6+C7+C8</f>
        <v>971</v>
      </c>
      <c r="D5" s="202" t="s">
        <v>1466</v>
      </c>
      <c r="E5" s="203" t="s">
        <v>1467</v>
      </c>
      <c r="F5" s="203" t="s">
        <v>1468</v>
      </c>
      <c r="G5" s="204"/>
    </row>
    <row r="6" spans="1:9" s="205" customFormat="1" ht="13.5" customHeight="1">
      <c r="A6" s="726" t="s">
        <v>1469</v>
      </c>
      <c r="B6" s="206" t="s">
        <v>1470</v>
      </c>
      <c r="C6" s="207"/>
      <c r="D6" s="208"/>
      <c r="E6" s="209"/>
      <c r="F6" s="209"/>
      <c r="G6" s="210"/>
    </row>
    <row r="7" spans="1:9" s="205" customFormat="1" ht="13.5" customHeight="1">
      <c r="A7" s="726" t="s">
        <v>1471</v>
      </c>
      <c r="B7" s="206" t="s">
        <v>1472</v>
      </c>
      <c r="C7" s="211">
        <f>ROUND(C6*F7,0)</f>
        <v>0</v>
      </c>
      <c r="D7" s="211"/>
      <c r="E7" s="209"/>
      <c r="F7" s="212">
        <f>IF(项目基本情况!B8="出让",0,'数据-取费表'!B48+'数据-取费表'!B49)</f>
        <v>3.0499999999999999E-2</v>
      </c>
      <c r="G7" s="210"/>
    </row>
    <row r="8" spans="1:9" s="214" customFormat="1">
      <c r="A8" s="726" t="s">
        <v>1473</v>
      </c>
      <c r="B8" s="206" t="s">
        <v>1474</v>
      </c>
      <c r="C8" s="211">
        <f>IF(G8="已包含在土地购买价格中","0",IF(B1="",'数据-取费表'!B29,IF(G9="全部缴纳",C9+C10,H9)))</f>
        <v>971</v>
      </c>
      <c r="D8" s="213"/>
      <c r="E8" s="211"/>
      <c r="F8" s="212"/>
      <c r="G8" s="1703"/>
    </row>
    <row r="9" spans="1:9" s="205" customFormat="1" ht="13.5" customHeight="1">
      <c r="A9" s="727" t="s">
        <v>355</v>
      </c>
      <c r="B9" s="215" t="s">
        <v>1475</v>
      </c>
      <c r="C9" s="216">
        <f ca="1">ROUND(D9*E9/10000,0)</f>
        <v>0</v>
      </c>
      <c r="D9" s="789">
        <f ca="1">IF(B1="",'数据-汇总表'!E5,IF(INDIRECT("'数据-取费表'!c"&amp;$G$1)="住宅",INDIRECT("'数据-取费表'!k"&amp;$G$1),0))</f>
        <v>0</v>
      </c>
      <c r="E9" s="216">
        <f>'数据-取费表'!B27</f>
        <v>150</v>
      </c>
      <c r="F9" s="212"/>
      <c r="G9" s="1704"/>
      <c r="H9" s="1060"/>
      <c r="I9" s="1705" t="s">
        <v>1476</v>
      </c>
    </row>
    <row r="10" spans="1:9" s="205" customFormat="1" ht="13.5" customHeight="1">
      <c r="A10" s="727" t="s">
        <v>356</v>
      </c>
      <c r="B10" s="215" t="s">
        <v>1477</v>
      </c>
      <c r="C10" s="216">
        <f ca="1">ROUND(D10*E10/10000,0)</f>
        <v>971</v>
      </c>
      <c r="D10" s="789">
        <f ca="1">IF(B1="",'数据-汇总表'!E6,IF(INDIRECT("'数据-取费表'!c"&amp;$G$1)="住宅",INDIRECT("'数据-取费表'!s"&amp;$G$1),INDIRECT("'数据-取费表'!k"&amp;$G$1)+INDIRECT("'数据-取费表'!s"&amp;$G$1)))</f>
        <v>51111.68000000059</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f ca="1">IF(G19="已包含在土地取得成本中","0",ROUND(D19*E19/10000,0))</f>
        <v>1022</v>
      </c>
      <c r="D19" s="203">
        <f ca="1">D9+D10</f>
        <v>51111.68000000059</v>
      </c>
      <c r="E19" s="202">
        <f>'数据-取费表'!B31</f>
        <v>200</v>
      </c>
      <c r="F19" s="222"/>
      <c r="G19" s="1703"/>
    </row>
    <row r="20" spans="1:7" s="205" customFormat="1" ht="13.5" customHeight="1">
      <c r="A20" s="246" t="s">
        <v>1490</v>
      </c>
      <c r="B20" s="201" t="s">
        <v>1491</v>
      </c>
      <c r="C20" s="223">
        <f ca="1">ROUND((C5+C19)*F20,0)</f>
        <v>40</v>
      </c>
      <c r="D20" s="223"/>
      <c r="E20" s="223"/>
      <c r="F20" s="224">
        <f>'数据-取费表'!B37</f>
        <v>0.02</v>
      </c>
      <c r="G20" s="225" t="s">
        <v>1492</v>
      </c>
    </row>
    <row r="21" spans="1:7" s="205" customFormat="1" ht="13.5" customHeight="1">
      <c r="A21" s="246" t="s">
        <v>1493</v>
      </c>
      <c r="B21" s="201" t="s">
        <v>1494</v>
      </c>
      <c r="C21" s="226">
        <f>F21</f>
        <v>0.02</v>
      </c>
      <c r="D21" s="227" t="s">
        <v>1495</v>
      </c>
      <c r="E21" s="223"/>
      <c r="F21" s="224">
        <f>'数据-取费表'!B38</f>
        <v>0.02</v>
      </c>
      <c r="G21" s="225" t="s">
        <v>1496</v>
      </c>
    </row>
    <row r="22" spans="1:7" s="205" customFormat="1" ht="13.5" customHeight="1">
      <c r="A22" s="246" t="s">
        <v>1497</v>
      </c>
      <c r="B22" s="201" t="s">
        <v>1498</v>
      </c>
      <c r="C22" s="1031">
        <f ca="1">ROUND(SUM(C23:C25),0)</f>
        <v>126</v>
      </c>
      <c r="D22" s="226">
        <f ca="1">C26</f>
        <v>5.9999999999999995E-4</v>
      </c>
      <c r="E22" s="227" t="s">
        <v>1495</v>
      </c>
      <c r="F22" s="228">
        <f ca="1">'数据-取费表'!B40</f>
        <v>3.1E-2</v>
      </c>
      <c r="G22" s="225" t="str">
        <f>IF('数据-取费表'!B22&lt;=1,"单利计息","复利计息")</f>
        <v>复利计息</v>
      </c>
    </row>
    <row r="23" spans="1:7" s="205" customFormat="1" ht="13.5" customHeight="1">
      <c r="A23" s="728" t="s">
        <v>1499</v>
      </c>
      <c r="B23" s="206" t="s">
        <v>1500</v>
      </c>
      <c r="C23" s="1032">
        <f ca="1">ROUND(IF('数据-取费表'!B22&lt;=1,C5*F22*'数据-取费表'!B23,C5*(POWER((1+F22),'数据-取费表'!B23)-1)),0)</f>
        <v>61</v>
      </c>
      <c r="D23" s="229"/>
      <c r="E23" s="229"/>
      <c r="F23" s="230"/>
      <c r="G23" s="231" t="s">
        <v>1501</v>
      </c>
    </row>
    <row r="24" spans="1:7" s="205" customFormat="1" ht="13.5" customHeight="1">
      <c r="A24" s="728" t="s">
        <v>1502</v>
      </c>
      <c r="B24" s="206" t="s">
        <v>1503</v>
      </c>
      <c r="C24" s="1032">
        <f ca="1">ROUND(IF('数据-取费表'!B22&lt;=1,C19*F22*('数据-取费表'!B19/2+'数据-取费表'!B21),C19*(POWER((1+F22),('数据-取费表'!B19/2+'数据-取费表'!B21))-1)),0)</f>
        <v>64</v>
      </c>
      <c r="D24" s="229"/>
      <c r="E24" s="229"/>
      <c r="F24" s="230"/>
      <c r="G24" s="231" t="s">
        <v>1504</v>
      </c>
    </row>
    <row r="25" spans="1:7" s="205" customFormat="1" ht="24">
      <c r="A25" s="728" t="s">
        <v>1505</v>
      </c>
      <c r="B25" s="206" t="s">
        <v>1506</v>
      </c>
      <c r="C25" s="1032">
        <f ca="1">ROUND(IF('数据-取费表'!B22&lt;=1,C20*F22*'数据-取费表'!B23/2,C20*(POWER((1+F22),'数据-取费表'!B23/2)-1)),0)</f>
        <v>1</v>
      </c>
      <c r="D25" s="229"/>
      <c r="E25" s="232"/>
      <c r="F25" s="230"/>
      <c r="G25" s="233" t="s">
        <v>1507</v>
      </c>
    </row>
    <row r="26" spans="1:7" s="205" customFormat="1">
      <c r="A26" s="728" t="s">
        <v>350</v>
      </c>
      <c r="B26" s="206" t="s">
        <v>1508</v>
      </c>
      <c r="C26" s="229">
        <f ca="1">ROUND(IF('数据-取费表'!B22&lt;=1,F21*F22*'数据-取费表'!B23/2,F21*(POWER((1+F22),'数据-取费表'!B23/2)-1)),4)</f>
        <v>5.9999999999999995E-4</v>
      </c>
      <c r="D26" s="229"/>
      <c r="E26" s="232"/>
      <c r="F26" s="230"/>
      <c r="G26" s="234"/>
    </row>
    <row r="27" spans="1:7" s="205" customFormat="1" ht="24.75">
      <c r="A27" s="246" t="s">
        <v>1509</v>
      </c>
      <c r="B27" s="235" t="s">
        <v>1510</v>
      </c>
      <c r="C27" s="236">
        <f ca="1">C28</f>
        <v>305</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ROUND((C5+C19+C20)*F27*'数据-取费表'!B21/'数据-取费表'!B20,0)</f>
        <v>305</v>
      </c>
      <c r="D28" s="226"/>
      <c r="E28" s="227"/>
      <c r="F28" s="237"/>
      <c r="G28" s="238"/>
    </row>
    <row r="29" spans="1:7" s="205" customFormat="1" ht="13.5" customHeight="1">
      <c r="A29" s="728" t="s">
        <v>347</v>
      </c>
      <c r="B29" s="239" t="s">
        <v>1514</v>
      </c>
      <c r="C29" s="229">
        <f ca="1">ROUND(C21*F27*'数据-取费表'!B21/'数据-取费表'!B20,4)</f>
        <v>3.0000000000000001E-3</v>
      </c>
      <c r="D29" s="226"/>
      <c r="E29" s="227"/>
      <c r="F29" s="237"/>
      <c r="G29" s="238"/>
    </row>
    <row r="30" spans="1:7" s="205" customFormat="1" ht="13.5" customHeight="1">
      <c r="A30" s="246" t="s">
        <v>1515</v>
      </c>
      <c r="B30" s="201" t="s">
        <v>1516</v>
      </c>
      <c r="C30" s="226">
        <f>ROUND(F30/(1+'数据-取费表'!C42),4)</f>
        <v>5.33E-2</v>
      </c>
      <c r="D30" s="227" t="s">
        <v>1511</v>
      </c>
      <c r="E30" s="232"/>
      <c r="F30" s="228">
        <f>'数据-取费表'!B41</f>
        <v>5.6000000000000001E-2</v>
      </c>
      <c r="G30" s="225" t="s">
        <v>1517</v>
      </c>
    </row>
    <row r="31" spans="1:7" ht="16.5" customHeight="1">
      <c r="A31" s="200">
        <v>1</v>
      </c>
      <c r="B31" s="201" t="s">
        <v>1518</v>
      </c>
      <c r="C31" s="202">
        <f ca="1">ROUND((C5+C19+C20+C22+C27)/(1-C21-D22-D27-C30),0)</f>
        <v>2669</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20163</v>
      </c>
      <c r="D33" s="223"/>
      <c r="E33" s="203"/>
      <c r="F33" s="232"/>
      <c r="G33" s="225"/>
    </row>
    <row r="34" spans="1:7" s="249" customFormat="1" ht="13.5" customHeight="1">
      <c r="A34" s="728" t="s">
        <v>346</v>
      </c>
      <c r="B34" s="206" t="s">
        <v>1522</v>
      </c>
      <c r="C34" s="211">
        <f ca="1">IF(B1="",IF(F34=100%,'数据-取费表'!M16,'数据-取费表'!O16),IF(F34=100%,INDIRECT("'数据-取费表'!m"&amp;$G$1)+INDIRECT("'数据-取费表'!t"&amp;$G$1),INDIRECT("'数据-取费表'!o"&amp;$G$1)+INDIRECT("'数据-取费表'!aq"&amp;$G$1)))</f>
        <v>17889</v>
      </c>
      <c r="D34" s="208"/>
      <c r="E34" s="211"/>
      <c r="F34" s="248">
        <f ca="1">IF('数据-取费表'!B24=0,1,IF(B1="",'数据-取费表'!N16,INDIRECT("'数据-取费表'!n"&amp;$G$1)))</f>
        <v>1</v>
      </c>
      <c r="G34" s="210" t="s">
        <v>1523</v>
      </c>
    </row>
    <row r="35" spans="1:7" ht="13.5" customHeight="1">
      <c r="A35" s="728" t="s">
        <v>351</v>
      </c>
      <c r="B35" s="206" t="s">
        <v>1524</v>
      </c>
      <c r="C35" s="211">
        <f ca="1">ROUND(C34*F35,0)</f>
        <v>894</v>
      </c>
      <c r="D35" s="211"/>
      <c r="E35" s="211"/>
      <c r="F35" s="250">
        <f>'数据-取费表'!B33</f>
        <v>0.05</v>
      </c>
      <c r="G35" s="210" t="s">
        <v>1525</v>
      </c>
    </row>
    <row r="36" spans="1:7" ht="24">
      <c r="A36" s="728"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28" t="s">
        <v>353</v>
      </c>
      <c r="B37" s="206" t="s">
        <v>1528</v>
      </c>
      <c r="C37" s="240">
        <f ca="1">ROUND(E37*D37*F34/10000,0)</f>
        <v>1022</v>
      </c>
      <c r="D37" s="208">
        <f ca="1">D19</f>
        <v>51111.68000000059</v>
      </c>
      <c r="E37" s="240">
        <f>'数据-取费表'!B35</f>
        <v>200</v>
      </c>
      <c r="F37" s="250"/>
      <c r="G37" s="252" t="s">
        <v>1529</v>
      </c>
    </row>
    <row r="38" spans="1:7" ht="13.5" customHeight="1">
      <c r="A38" s="728" t="s">
        <v>354</v>
      </c>
      <c r="B38" s="206" t="s">
        <v>1530</v>
      </c>
      <c r="C38" s="211">
        <f ca="1">ROUND(C34*F38,0)</f>
        <v>358</v>
      </c>
      <c r="D38" s="211"/>
      <c r="E38" s="211"/>
      <c r="F38" s="250">
        <f>'数据-取费表'!B36</f>
        <v>0.02</v>
      </c>
      <c r="G38" s="210" t="s">
        <v>1525</v>
      </c>
    </row>
    <row r="39" spans="1:7" s="205" customFormat="1" ht="13.5" customHeight="1">
      <c r="A39" s="246" t="s">
        <v>1531</v>
      </c>
      <c r="B39" s="201" t="s">
        <v>1532</v>
      </c>
      <c r="C39" s="223">
        <f ca="1">ROUND(C33*F20,0)</f>
        <v>403</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ROUND(IF('数据-取费表'!B22&lt;=1,C33*F22*'数据-取费表'!B21/2,C33*(POWER((1+F22),'数据-取费表'!B21/2)-1)),0)</f>
        <v>625</v>
      </c>
      <c r="D42" s="229"/>
      <c r="E42" s="229"/>
      <c r="F42" s="230"/>
      <c r="G42" s="3435" t="s">
        <v>1541</v>
      </c>
    </row>
    <row r="43" spans="1:7" ht="13.5" customHeight="1">
      <c r="A43" s="728" t="s">
        <v>347</v>
      </c>
      <c r="B43" s="206" t="s">
        <v>1542</v>
      </c>
      <c r="C43" s="229">
        <f ca="1">ROUND(IF('数据-取费表'!B22&lt;=1,C39*F22*'数据-取费表'!B21/2,C39*(POWER((1+F22),'数据-取费表'!B21/2)-1)),0)</f>
        <v>12</v>
      </c>
      <c r="D43" s="229"/>
      <c r="E43" s="229"/>
      <c r="F43" s="230"/>
      <c r="G43" s="3436"/>
    </row>
    <row r="44" spans="1:7" ht="13.5" customHeight="1">
      <c r="A44" s="728" t="s">
        <v>348</v>
      </c>
      <c r="B44" s="206" t="s">
        <v>1543</v>
      </c>
      <c r="C44" s="229">
        <f ca="1">ROUND(IF('数据-取费表'!B22&lt;=1,C40*F22*'数据-取费表'!B21/2,C40*(POWER((1+F22),'数据-取费表'!B21/2)-1)),4)</f>
        <v>5.9999999999999995E-4</v>
      </c>
      <c r="D44" s="229"/>
      <c r="E44" s="229"/>
      <c r="F44" s="230"/>
      <c r="G44" s="3437"/>
    </row>
    <row r="45" spans="1:7" s="205" customFormat="1" ht="13.5" customHeight="1">
      <c r="A45" s="246" t="s">
        <v>1544</v>
      </c>
      <c r="B45" s="235" t="s">
        <v>1510</v>
      </c>
      <c r="C45" s="236">
        <f ca="1">C46</f>
        <v>3085</v>
      </c>
      <c r="D45" s="226">
        <f ca="1">C47</f>
        <v>3.0000000000000001E-3</v>
      </c>
      <c r="E45" s="227" t="s">
        <v>1536</v>
      </c>
      <c r="F45" s="237">
        <f ca="1">F27</f>
        <v>0.15</v>
      </c>
      <c r="G45" s="238" t="s">
        <v>1545</v>
      </c>
    </row>
    <row r="46" spans="1:7" s="205" customFormat="1" ht="13.5" customHeight="1">
      <c r="A46" s="728" t="s">
        <v>346</v>
      </c>
      <c r="B46" s="239" t="s">
        <v>1546</v>
      </c>
      <c r="C46" s="240">
        <f ca="1">ROUND((C33+C39)*F27,0)</f>
        <v>3085</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26">
        <f>ROUND(F30/(1+'数据-取费表'!C42),4)</f>
        <v>5.33E-2</v>
      </c>
      <c r="D48" s="227" t="s">
        <v>1536</v>
      </c>
      <c r="E48" s="223"/>
      <c r="F48" s="228">
        <f>F30</f>
        <v>5.6000000000000001E-2</v>
      </c>
      <c r="G48" s="225" t="s">
        <v>1549</v>
      </c>
    </row>
    <row r="49" spans="1:7" ht="16.5" customHeight="1">
      <c r="A49" s="246" t="s">
        <v>1515</v>
      </c>
      <c r="B49" s="201" t="s">
        <v>1550</v>
      </c>
      <c r="C49" s="223">
        <f ca="1">ROUND((C33+C39+C41+C45)/(1-C40-D41-D45-C48),0)</f>
        <v>26311</v>
      </c>
      <c r="D49" s="223"/>
      <c r="E49" s="223"/>
      <c r="F49" s="255"/>
      <c r="G49" s="225" t="s">
        <v>1551</v>
      </c>
    </row>
    <row r="50" spans="1:7" s="249" customFormat="1" ht="24">
      <c r="A50" s="246" t="s">
        <v>1552</v>
      </c>
      <c r="B50" s="201" t="s">
        <v>1553</v>
      </c>
      <c r="C50" s="223"/>
      <c r="D50" s="223"/>
      <c r="E50" s="223"/>
      <c r="F50" s="255">
        <f>IF('数据-取费表'!B24=0,'数据-取费表'!N16,1)</f>
        <v>0.88</v>
      </c>
      <c r="G50" s="238" t="s">
        <v>1554</v>
      </c>
    </row>
    <row r="51" spans="1:7" ht="16.5" customHeight="1">
      <c r="A51" s="246" t="s">
        <v>1555</v>
      </c>
      <c r="B51" s="201" t="s">
        <v>1556</v>
      </c>
      <c r="C51" s="223">
        <f ca="1">ROUND(C49*F50,0)</f>
        <v>23154</v>
      </c>
      <c r="D51" s="223"/>
      <c r="E51" s="223"/>
      <c r="F51" s="255"/>
      <c r="G51" s="225" t="s">
        <v>1557</v>
      </c>
    </row>
    <row r="52" spans="1:7" s="199" customFormat="1" ht="16.5" thickBot="1">
      <c r="A52" s="256" t="s">
        <v>1558</v>
      </c>
      <c r="B52" s="257"/>
      <c r="C52" s="258">
        <f ca="1">C31+C51</f>
        <v>25823</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63"/>
      <c r="C1" s="1706" t="s">
        <v>1560</v>
      </c>
      <c r="D1" s="189"/>
      <c r="E1" s="189"/>
      <c r="F1" s="189"/>
      <c r="G1" s="1052">
        <f>MATCH(B1,'数据-取费表'!A6:A16,0)+5</f>
        <v>10</v>
      </c>
      <c r="H1" s="988" t="str">
        <f>IF(ISERROR(FIND("住宅",B1)),"非住宅","住宅")</f>
        <v>非住宅</v>
      </c>
    </row>
    <row r="2" spans="1:8" s="191" customFormat="1" ht="18" customHeight="1">
      <c r="A2" s="192" t="s">
        <v>1459</v>
      </c>
      <c r="B2" s="3110">
        <f ca="1">ROUND(IF(D2="——",C52/10000,C52/10000-E2),4)</f>
        <v>25825.6306</v>
      </c>
      <c r="C2" s="190" t="s">
        <v>1460</v>
      </c>
      <c r="D2" s="1700" t="s">
        <v>43</v>
      </c>
      <c r="E2" s="1079" t="e">
        <f ca="1">SUMIF(INDIRECT("'"&amp;G2&amp;"'"&amp;"!A:A"),"承租人权益价值",INDIRECT("'"&amp;G2&amp;"'"&amp;"!c:c"))</f>
        <v>#REF!</v>
      </c>
      <c r="F2" s="1701" t="s">
        <v>1460</v>
      </c>
      <c r="G2" s="1702"/>
    </row>
    <row r="3" spans="1:8" s="191" customFormat="1" ht="18" customHeight="1" thickBot="1">
      <c r="A3" s="194" t="s">
        <v>1461</v>
      </c>
      <c r="B3" s="195">
        <f ca="1">ROUND(B2*10000/(IF(B1="",'数据-汇总表'!E3,INDIRECT("'数据-取费表'!k"&amp;$G$1))),0)</f>
        <v>5053</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9711219</v>
      </c>
      <c r="D5" s="202" t="s">
        <v>1466</v>
      </c>
      <c r="E5" s="203" t="s">
        <v>1467</v>
      </c>
      <c r="F5" s="203" t="s">
        <v>1468</v>
      </c>
      <c r="G5" s="204"/>
    </row>
    <row r="6" spans="1:8" s="205" customFormat="1" ht="13.5" customHeight="1">
      <c r="A6" s="726" t="s">
        <v>1469</v>
      </c>
      <c r="B6" s="206" t="s">
        <v>1470</v>
      </c>
      <c r="C6" s="207"/>
      <c r="D6" s="208"/>
      <c r="E6" s="209"/>
      <c r="F6" s="209"/>
      <c r="G6" s="210"/>
    </row>
    <row r="7" spans="1:8" s="205" customFormat="1" ht="13.5" customHeight="1">
      <c r="A7" s="726" t="s">
        <v>1471</v>
      </c>
      <c r="B7" s="206" t="s">
        <v>1472</v>
      </c>
      <c r="C7" s="211">
        <f>ROUND(C6*F7,0)</f>
        <v>0</v>
      </c>
      <c r="D7" s="211"/>
      <c r="E7" s="209"/>
      <c r="F7" s="212">
        <f>IF(项目基本情况!B8="出让",0,'数据-取费表'!B48+'数据-取费表'!B49)</f>
        <v>3.0499999999999999E-2</v>
      </c>
      <c r="G7" s="210"/>
    </row>
    <row r="8" spans="1:8" s="214" customFormat="1">
      <c r="A8" s="726" t="s">
        <v>1473</v>
      </c>
      <c r="B8" s="206" t="s">
        <v>1474</v>
      </c>
      <c r="C8" s="211">
        <f ca="1">IF(G8="已包含在土地购买价格中",0,C9+C10)</f>
        <v>9711219</v>
      </c>
      <c r="D8" s="213"/>
      <c r="E8" s="211"/>
      <c r="F8" s="212"/>
      <c r="G8" s="1703"/>
    </row>
    <row r="9" spans="1:8" s="205" customFormat="1" ht="13.5" customHeight="1">
      <c r="A9" s="727" t="s">
        <v>355</v>
      </c>
      <c r="B9" s="215" t="s">
        <v>1475</v>
      </c>
      <c r="C9" s="216">
        <f ca="1">ROUND(D9*E9,0)</f>
        <v>0</v>
      </c>
      <c r="D9" s="789">
        <f ca="1">IF(B1="",'数据-汇总表'!E5,IF(INDIRECT("'数据-取费表'!c"&amp;$G$1)="住宅",INDIRECT("'数据-取费表'!k"&amp;$G$1),0))</f>
        <v>0</v>
      </c>
      <c r="E9" s="216">
        <f>'数据-取费表'!B27</f>
        <v>150</v>
      </c>
      <c r="F9" s="212"/>
      <c r="G9" s="217"/>
    </row>
    <row r="10" spans="1:8" s="205" customFormat="1" ht="13.5" customHeight="1">
      <c r="A10" s="727" t="s">
        <v>356</v>
      </c>
      <c r="B10" s="215" t="s">
        <v>1477</v>
      </c>
      <c r="C10" s="216">
        <f ca="1">ROUND(D10*E10,0)</f>
        <v>9711219</v>
      </c>
      <c r="D10" s="789">
        <f ca="1">IF(B1="",'数据-汇总表'!E6,IF(INDIRECT("'数据-取费表'!c"&amp;$G$1)="住宅",INDIRECT("'数据-取费表'!s"&amp;$G$1),INDIRECT("'数据-取费表'!k"&amp;$G$1)+INDIRECT("'数据-取费表'!s"&amp;$G$1)))</f>
        <v>51111.68000000059</v>
      </c>
      <c r="E10" s="216">
        <f>'数据-取费表'!B28</f>
        <v>190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f ca="1">IF(G19="已包含在土地取得成本中","0",ROUND(D19*E19,0))</f>
        <v>10222336</v>
      </c>
      <c r="D19" s="203">
        <f ca="1">D9+D10</f>
        <v>51111.68000000059</v>
      </c>
      <c r="E19" s="202">
        <f>'数据-取费表'!B31</f>
        <v>200</v>
      </c>
      <c r="F19" s="222"/>
      <c r="G19" s="1703"/>
    </row>
    <row r="20" spans="1:7" s="205" customFormat="1" ht="13.5" customHeight="1">
      <c r="A20" s="246" t="s">
        <v>1571</v>
      </c>
      <c r="B20" s="201" t="s">
        <v>1572</v>
      </c>
      <c r="C20" s="223">
        <f ca="1">ROUND((C5+C19)*F20,0)</f>
        <v>398671</v>
      </c>
      <c r="D20" s="223"/>
      <c r="E20" s="223"/>
      <c r="F20" s="224">
        <f>'数据-取费表'!B37</f>
        <v>0.02</v>
      </c>
      <c r="G20" s="225" t="s">
        <v>1573</v>
      </c>
    </row>
    <row r="21" spans="1:7" s="205" customFormat="1" ht="13.5" customHeight="1">
      <c r="A21" s="246" t="s">
        <v>1574</v>
      </c>
      <c r="B21" s="201" t="s">
        <v>1575</v>
      </c>
      <c r="C21" s="226">
        <f>F21</f>
        <v>0.02</v>
      </c>
      <c r="D21" s="227" t="s">
        <v>1576</v>
      </c>
      <c r="E21" s="223"/>
      <c r="F21" s="224">
        <f>'数据-取费表'!B38</f>
        <v>0.02</v>
      </c>
      <c r="G21" s="225" t="s">
        <v>1577</v>
      </c>
    </row>
    <row r="22" spans="1:7" s="205" customFormat="1" ht="13.5" customHeight="1">
      <c r="A22" s="246" t="s">
        <v>1578</v>
      </c>
      <c r="B22" s="201" t="s">
        <v>1579</v>
      </c>
      <c r="C22" s="223">
        <f ca="1">ROUND(SUM(C23:C25),0)</f>
        <v>1267395</v>
      </c>
      <c r="D22" s="226">
        <f ca="1">C26</f>
        <v>5.9999999999999995E-4</v>
      </c>
      <c r="E22" s="227" t="s">
        <v>1576</v>
      </c>
      <c r="F22" s="228">
        <f ca="1">'数据-取费表'!B40</f>
        <v>3.1E-2</v>
      </c>
      <c r="G22" s="225" t="str">
        <f>IF('数据-取费表'!B22&lt;=1,"单利计息","复利计息")</f>
        <v>复利计息</v>
      </c>
    </row>
    <row r="23" spans="1:7" s="205" customFormat="1" ht="13.5" customHeight="1">
      <c r="A23" s="728" t="s">
        <v>1469</v>
      </c>
      <c r="B23" s="206" t="s">
        <v>1580</v>
      </c>
      <c r="C23" s="229">
        <f ca="1">ROUND(IF('数据-取费表'!B22&lt;=1,C5*F22*'数据-取费表'!B22,C5*(POWER((1+F22),'数据-取费表'!B22)-1)),0)</f>
        <v>611428</v>
      </c>
      <c r="D23" s="229"/>
      <c r="E23" s="229"/>
      <c r="F23" s="230"/>
      <c r="G23" s="231" t="s">
        <v>1581</v>
      </c>
    </row>
    <row r="24" spans="1:7" s="205" customFormat="1" ht="13.5" customHeight="1">
      <c r="A24" s="728" t="s">
        <v>1471</v>
      </c>
      <c r="B24" s="206" t="s">
        <v>1582</v>
      </c>
      <c r="C24" s="229">
        <f ca="1">ROUND(IF('数据-取费表'!B22&lt;=1,C19*F22*('数据-取费表'!B19/2+'数据-取费表'!B20),C19*(POWER((1+F22),('数据-取费表'!B19/2+'数据-取费表'!B20))-1)),0)</f>
        <v>643608</v>
      </c>
      <c r="D24" s="229"/>
      <c r="E24" s="229"/>
      <c r="F24" s="230"/>
      <c r="G24" s="231" t="s">
        <v>1583</v>
      </c>
    </row>
    <row r="25" spans="1:7" s="205" customFormat="1" ht="24">
      <c r="A25" s="728" t="s">
        <v>1473</v>
      </c>
      <c r="B25" s="206" t="s">
        <v>1584</v>
      </c>
      <c r="C25" s="229">
        <f ca="1">ROUND(IF('数据-取费表'!B22&lt;=1,C20*F22*'数据-取费表'!B22/2,C20*(POWER((1+F22),'数据-取费表'!B22/2)-1)),0)</f>
        <v>12359</v>
      </c>
      <c r="D25" s="229"/>
      <c r="E25" s="232"/>
      <c r="F25" s="230"/>
      <c r="G25" s="233" t="s">
        <v>1585</v>
      </c>
    </row>
    <row r="26" spans="1:7" s="205" customFormat="1">
      <c r="A26" s="728" t="s">
        <v>350</v>
      </c>
      <c r="B26" s="206" t="s">
        <v>1508</v>
      </c>
      <c r="C26" s="229">
        <f ca="1">ROUND(IF('数据-取费表'!B22&lt;=1,F21*F22*'数据-取费表'!B22/2,F21*(POWER((1+F22),'数据-取费表'!B22/2)-1)),4)</f>
        <v>5.9999999999999995E-4</v>
      </c>
      <c r="D26" s="229"/>
      <c r="E26" s="232"/>
      <c r="F26" s="230"/>
      <c r="G26" s="234"/>
    </row>
    <row r="27" spans="1:7" s="205" customFormat="1" ht="24.75">
      <c r="A27" s="246" t="s">
        <v>1509</v>
      </c>
      <c r="B27" s="235" t="s">
        <v>1510</v>
      </c>
      <c r="C27" s="236">
        <f ca="1">C28</f>
        <v>3049834</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ROUND((C5+C19+C20)*F27,0)</f>
        <v>3049834</v>
      </c>
      <c r="D28" s="226"/>
      <c r="E28" s="227"/>
      <c r="F28" s="237"/>
      <c r="G28" s="238"/>
    </row>
    <row r="29" spans="1:7" s="205" customFormat="1" ht="13.5" customHeight="1">
      <c r="A29" s="728" t="s">
        <v>347</v>
      </c>
      <c r="B29" s="239" t="s">
        <v>1514</v>
      </c>
      <c r="C29" s="229">
        <f ca="1">ROUND(C21*F27,4)</f>
        <v>3.0000000000000001E-3</v>
      </c>
      <c r="D29" s="226"/>
      <c r="E29" s="227"/>
      <c r="F29" s="237"/>
      <c r="G29" s="238"/>
    </row>
    <row r="30" spans="1:7" s="205" customFormat="1" ht="13.5" customHeight="1">
      <c r="A30" s="246" t="s">
        <v>1515</v>
      </c>
      <c r="B30" s="201" t="s">
        <v>1516</v>
      </c>
      <c r="C30" s="226">
        <f>ROUND(F30/(1+'数据-取费表'!C42),4)</f>
        <v>5.33E-2</v>
      </c>
      <c r="D30" s="227" t="s">
        <v>1511</v>
      </c>
      <c r="E30" s="232"/>
      <c r="F30" s="228">
        <f>'数据-取费表'!B41</f>
        <v>5.6000000000000001E-2</v>
      </c>
      <c r="G30" s="225" t="s">
        <v>1517</v>
      </c>
    </row>
    <row r="31" spans="1:7" ht="16.5" customHeight="1">
      <c r="A31" s="200">
        <v>1</v>
      </c>
      <c r="B31" s="201" t="s">
        <v>1518</v>
      </c>
      <c r="C31" s="202">
        <f ca="1">ROUND((C5+C19+C20+C22+C27)/(1-C21-D22-D27-C30),0)</f>
        <v>26702909</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201635578</v>
      </c>
      <c r="D33" s="223"/>
      <c r="E33" s="203"/>
      <c r="F33" s="232"/>
      <c r="G33" s="225"/>
    </row>
    <row r="34" spans="1:7" s="249" customFormat="1" ht="13.5" customHeight="1">
      <c r="A34" s="728" t="s">
        <v>346</v>
      </c>
      <c r="B34" s="206" t="s">
        <v>1522</v>
      </c>
      <c r="C34" s="211">
        <f ca="1">ROUND(IF(B1="",SUMPRODUCT('数据-取费表'!K6:K14,'数据-取费表'!L6:L14),INDIRECT("'数据-取费表'!l"&amp;$G$1)*INDIRECT("'数据-取费表'!k"&amp;$G$1)+'数据-取费表'!L14*INDIRECT("'数据-取费表'!S"&amp;$G$1)),0)</f>
        <v>178890880</v>
      </c>
      <c r="D34" s="208"/>
      <c r="E34" s="211"/>
      <c r="F34" s="248"/>
      <c r="G34" s="210"/>
    </row>
    <row r="35" spans="1:7" ht="13.5" customHeight="1">
      <c r="A35" s="728" t="s">
        <v>351</v>
      </c>
      <c r="B35" s="206" t="s">
        <v>1524</v>
      </c>
      <c r="C35" s="211">
        <f ca="1">ROUND(C34*F35,0)</f>
        <v>8944544</v>
      </c>
      <c r="D35" s="211"/>
      <c r="E35" s="211"/>
      <c r="F35" s="250">
        <f>'数据-取费表'!B33</f>
        <v>0.05</v>
      </c>
      <c r="G35" s="210" t="s">
        <v>1525</v>
      </c>
    </row>
    <row r="36" spans="1:7" ht="24">
      <c r="A36" s="728"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28" t="s">
        <v>353</v>
      </c>
      <c r="B37" s="206" t="s">
        <v>1528</v>
      </c>
      <c r="C37" s="240">
        <f ca="1">ROUND(E37*D37,0)</f>
        <v>10222336</v>
      </c>
      <c r="D37" s="208">
        <f ca="1">D19</f>
        <v>51111.68000000059</v>
      </c>
      <c r="E37" s="240">
        <f>'数据-取费表'!B35</f>
        <v>200</v>
      </c>
      <c r="F37" s="250"/>
      <c r="G37" s="252"/>
    </row>
    <row r="38" spans="1:7" ht="13.5" customHeight="1">
      <c r="A38" s="728" t="s">
        <v>354</v>
      </c>
      <c r="B38" s="206" t="s">
        <v>1530</v>
      </c>
      <c r="C38" s="211">
        <f ca="1">ROUND(C34*F38,0)</f>
        <v>3577818</v>
      </c>
      <c r="D38" s="211"/>
      <c r="E38" s="211"/>
      <c r="F38" s="250">
        <f>'数据-取费表'!B36</f>
        <v>0.02</v>
      </c>
      <c r="G38" s="210" t="s">
        <v>1525</v>
      </c>
    </row>
    <row r="39" spans="1:7" s="205" customFormat="1" ht="13.5" customHeight="1">
      <c r="A39" s="246" t="s">
        <v>1531</v>
      </c>
      <c r="B39" s="201" t="s">
        <v>1532</v>
      </c>
      <c r="C39" s="223">
        <f ca="1">ROUND(C33*F20,0)</f>
        <v>4032712</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6375717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ROUND(IF('数据-取费表'!B22&lt;=1,C33*F22*'数据-取费表'!B20/2,C33*(POWER((1+F22),'数据-取费表'!B20/2)-1)),0)</f>
        <v>6250703</v>
      </c>
      <c r="D42" s="229"/>
      <c r="E42" s="229"/>
      <c r="F42" s="230"/>
      <c r="G42" s="3435" t="s">
        <v>1588</v>
      </c>
    </row>
    <row r="43" spans="1:7" ht="13.5" customHeight="1">
      <c r="A43" s="728" t="s">
        <v>347</v>
      </c>
      <c r="B43" s="206" t="s">
        <v>1542</v>
      </c>
      <c r="C43" s="229">
        <f ca="1">ROUND(IF('数据-取费表'!B22&lt;=1,C39*F22*'数据-取费表'!B20/2,C39*(POWER((1+F22),'数据-取费表'!B20/2)-1)),0)</f>
        <v>125014</v>
      </c>
      <c r="D43" s="229"/>
      <c r="E43" s="229"/>
      <c r="F43" s="230"/>
      <c r="G43" s="3436"/>
    </row>
    <row r="44" spans="1:7" ht="13.5" customHeight="1">
      <c r="A44" s="728" t="s">
        <v>348</v>
      </c>
      <c r="B44" s="206" t="s">
        <v>1543</v>
      </c>
      <c r="C44" s="229">
        <f ca="1">ROUND(IF('数据-取费表'!B22&lt;=1,C40*F22*'数据-取费表'!B20/2,C40*(POWER((1+F22),'数据-取费表'!B20/2)-1)),4)</f>
        <v>5.9999999999999995E-4</v>
      </c>
      <c r="D44" s="229"/>
      <c r="E44" s="229"/>
      <c r="F44" s="230"/>
      <c r="G44" s="3437"/>
    </row>
    <row r="45" spans="1:7" s="205" customFormat="1" ht="13.5" customHeight="1">
      <c r="A45" s="246" t="s">
        <v>1544</v>
      </c>
      <c r="B45" s="235" t="s">
        <v>1510</v>
      </c>
      <c r="C45" s="236">
        <f ca="1">C46</f>
        <v>30850244</v>
      </c>
      <c r="D45" s="226">
        <f ca="1">C47</f>
        <v>3.0000000000000001E-3</v>
      </c>
      <c r="E45" s="227" t="s">
        <v>1536</v>
      </c>
      <c r="F45" s="237">
        <f ca="1">F27</f>
        <v>0.15</v>
      </c>
      <c r="G45" s="238" t="s">
        <v>1545</v>
      </c>
    </row>
    <row r="46" spans="1:7" s="205" customFormat="1" ht="13.5" customHeight="1">
      <c r="A46" s="728" t="s">
        <v>346</v>
      </c>
      <c r="B46" s="239" t="s">
        <v>1546</v>
      </c>
      <c r="C46" s="240">
        <f ca="1">ROUND((C33+C39)*F27,0)</f>
        <v>30850244</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53">
        <f>ROUND(F30/(1+'数据-取费表'!C42),4)</f>
        <v>5.33E-2</v>
      </c>
      <c r="D48" s="227" t="s">
        <v>1536</v>
      </c>
      <c r="E48" s="223"/>
      <c r="F48" s="228">
        <f>F30</f>
        <v>5.6000000000000001E-2</v>
      </c>
      <c r="G48" s="225" t="s">
        <v>1549</v>
      </c>
    </row>
    <row r="49" spans="1:7" ht="16.5" customHeight="1">
      <c r="A49" s="246" t="s">
        <v>1515</v>
      </c>
      <c r="B49" s="201" t="s">
        <v>1589</v>
      </c>
      <c r="C49" s="223">
        <f ca="1">ROUND((C33+C39+C41+C45)/(1-C40-D41-D45-C48),0)</f>
        <v>263128860</v>
      </c>
      <c r="D49" s="223"/>
      <c r="E49" s="223"/>
      <c r="F49" s="255"/>
      <c r="G49" s="225" t="s">
        <v>1551</v>
      </c>
    </row>
    <row r="50" spans="1:7" s="249" customFormat="1">
      <c r="A50" s="246" t="s">
        <v>1552</v>
      </c>
      <c r="B50" s="201" t="s">
        <v>1553</v>
      </c>
      <c r="C50" s="223"/>
      <c r="D50" s="223"/>
      <c r="E50" s="223"/>
      <c r="F50" s="255">
        <f>IF('数据-取费表'!B24=0,'数据-取费表'!N16,1)</f>
        <v>0.88</v>
      </c>
      <c r="G50" s="238"/>
    </row>
    <row r="51" spans="1:7" ht="16.5" customHeight="1">
      <c r="A51" s="246" t="s">
        <v>1555</v>
      </c>
      <c r="B51" s="201" t="s">
        <v>1590</v>
      </c>
      <c r="C51" s="223">
        <f ca="1">ROUND(C49*F50,0)</f>
        <v>231553397</v>
      </c>
      <c r="D51" s="223"/>
      <c r="E51" s="223"/>
      <c r="F51" s="255"/>
      <c r="G51" s="225" t="s">
        <v>1557</v>
      </c>
    </row>
    <row r="52" spans="1:7" s="199" customFormat="1" ht="16.5" thickBot="1">
      <c r="A52" s="256" t="s">
        <v>1558</v>
      </c>
      <c r="B52" s="257"/>
      <c r="C52" s="258">
        <f ca="1">C31+C51</f>
        <v>258256306</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3" customWidth="1"/>
    <col min="2" max="2" width="25.75" style="729" customWidth="1"/>
    <col min="3" max="3" width="10.375" style="768" customWidth="1"/>
    <col min="4" max="4" width="9.875" style="729" customWidth="1"/>
    <col min="5" max="5" width="9.5" style="683"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1591</v>
      </c>
      <c r="B1" s="120"/>
      <c r="C1" s="1100"/>
      <c r="D1" s="1099"/>
      <c r="E1" s="2555"/>
      <c r="F1" s="2555"/>
      <c r="G1" s="2436"/>
      <c r="H1" s="2555"/>
      <c r="I1" s="2555"/>
      <c r="J1" s="2555"/>
      <c r="K1" s="2556">
        <f>MATCH(C1,'数据-取费表'!A6:A16,0)+5</f>
        <v>10</v>
      </c>
    </row>
    <row r="2" spans="1:33" ht="18" customHeight="1">
      <c r="A2" s="192" t="s">
        <v>1459</v>
      </c>
      <c r="B2" s="195">
        <f ca="1">C32</f>
        <v>0</v>
      </c>
      <c r="C2" s="267" t="s">
        <v>1592</v>
      </c>
      <c r="D2" s="267"/>
      <c r="E2" s="2555"/>
      <c r="F2" s="2555"/>
      <c r="G2" s="2555"/>
      <c r="H2" s="2555"/>
      <c r="I2" s="2555"/>
      <c r="J2" s="2555"/>
      <c r="K2" s="2555"/>
    </row>
    <row r="3" spans="1:33" ht="18" customHeight="1" thickBot="1">
      <c r="A3" s="194" t="s">
        <v>1461</v>
      </c>
      <c r="B3" s="195">
        <f ca="1">ROUND(B2*10000/IF(C1="",'数据-汇总表'!E3,INDIRECT("'数据-取费表'!K"&amp;$K$1)),0)</f>
        <v>0</v>
      </c>
      <c r="C3" s="267" t="s">
        <v>1593</v>
      </c>
      <c r="D3" s="267"/>
      <c r="E3" s="2555"/>
      <c r="F3" s="2555"/>
      <c r="G3" s="2555"/>
      <c r="H3" s="2555"/>
      <c r="I3" s="2555"/>
      <c r="J3" s="2555"/>
      <c r="K3" s="2555"/>
    </row>
    <row r="4" spans="1:33" s="733" customFormat="1" ht="16.5" customHeight="1">
      <c r="A4" s="730" t="s">
        <v>1594</v>
      </c>
      <c r="B4" s="731"/>
      <c r="C4" s="769">
        <f>SUM(C8:K8)</f>
        <v>0</v>
      </c>
      <c r="D4" s="731"/>
      <c r="E4" s="731"/>
      <c r="F4" s="731"/>
      <c r="G4" s="731"/>
      <c r="H4" s="731"/>
      <c r="I4" s="731"/>
      <c r="J4" s="731"/>
      <c r="K4" s="732"/>
    </row>
    <row r="5" spans="1:33" s="737" customFormat="1" ht="15">
      <c r="A5" s="734" t="s">
        <v>1595</v>
      </c>
      <c r="B5" s="735" t="s">
        <v>1596</v>
      </c>
      <c r="C5" s="1707"/>
      <c r="D5" s="1707"/>
      <c r="E5" s="1707"/>
      <c r="F5" s="1707"/>
      <c r="G5" s="1707"/>
      <c r="H5" s="1707"/>
      <c r="I5" s="1707"/>
      <c r="J5" s="1707"/>
      <c r="K5" s="1707"/>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1597</v>
      </c>
      <c r="C6" s="739"/>
      <c r="D6" s="739"/>
      <c r="E6" s="739"/>
      <c r="F6" s="739"/>
      <c r="G6" s="739"/>
      <c r="H6" s="739"/>
      <c r="I6" s="739"/>
      <c r="J6" s="739"/>
      <c r="K6" s="740"/>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38"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08" t="s">
        <v>1600</v>
      </c>
      <c r="B8" s="155" t="s">
        <v>1601</v>
      </c>
      <c r="C8" s="770"/>
      <c r="D8" s="770"/>
      <c r="E8" s="770"/>
      <c r="F8" s="771"/>
      <c r="G8" s="771"/>
      <c r="H8" s="771"/>
      <c r="I8" s="771"/>
      <c r="J8" s="771"/>
      <c r="K8" s="772"/>
      <c r="L8" s="680"/>
      <c r="M8" s="680"/>
      <c r="N8" s="680"/>
      <c r="O8" s="680"/>
      <c r="P8" s="680"/>
      <c r="Q8" s="680"/>
      <c r="R8" s="680"/>
      <c r="S8" s="680"/>
      <c r="T8" s="680"/>
      <c r="U8" s="680"/>
      <c r="V8" s="680"/>
      <c r="W8" s="680"/>
      <c r="X8" s="680"/>
      <c r="Y8" s="680"/>
      <c r="Z8" s="680"/>
      <c r="AA8" s="680"/>
      <c r="AB8" s="680"/>
      <c r="AC8" s="680"/>
      <c r="AD8" s="680"/>
      <c r="AE8" s="680"/>
      <c r="AF8" s="680"/>
      <c r="AG8" s="680"/>
    </row>
    <row r="9" spans="1:33" s="733" customFormat="1" ht="16.5" customHeight="1">
      <c r="A9" s="730" t="s">
        <v>1602</v>
      </c>
      <c r="B9" s="731"/>
      <c r="C9" s="731"/>
      <c r="D9" s="731"/>
      <c r="E9" s="731"/>
      <c r="F9" s="731"/>
      <c r="G9" s="731"/>
      <c r="H9" s="731"/>
      <c r="I9" s="731"/>
      <c r="J9" s="731"/>
      <c r="K9" s="732"/>
    </row>
    <row r="10" spans="1:33" s="745" customFormat="1" ht="13.5" customHeight="1">
      <c r="A10" s="734" t="s">
        <v>1603</v>
      </c>
      <c r="B10" s="5" t="s">
        <v>1604</v>
      </c>
      <c r="C10" s="741" t="s">
        <v>1605</v>
      </c>
      <c r="D10" s="742" t="s">
        <v>1606</v>
      </c>
      <c r="E10" s="742" t="s">
        <v>1607</v>
      </c>
      <c r="F10" s="742" t="s">
        <v>1608</v>
      </c>
      <c r="G10" s="5"/>
      <c r="H10" s="743"/>
      <c r="I10" s="743"/>
      <c r="J10" s="743"/>
      <c r="K10" s="744"/>
    </row>
    <row r="11" spans="1:33" s="749" customFormat="1" ht="13.5" customHeight="1">
      <c r="A11" s="746" t="s">
        <v>635</v>
      </c>
      <c r="B11" s="747" t="s">
        <v>1609</v>
      </c>
      <c r="C11" s="270">
        <f ca="1">IF(C1="",'数据-取费表'!P16,INDIRECT("'数据-取费表'!p"&amp;$K$1)+INDIRECT("'数据-取费表'!ar"&amp;$K$1))</f>
        <v>0</v>
      </c>
      <c r="D11" s="748"/>
      <c r="E11" s="137"/>
      <c r="F11" s="758">
        <f ca="1">1-IF('数据-取费表'!B24=0,1,IF(C1="",'数据-取费表'!N16,INDIRECT("'数据-取费表'!n"&amp;$K$1)))</f>
        <v>0</v>
      </c>
      <c r="G11" s="5"/>
      <c r="H11" s="743"/>
      <c r="I11" s="743"/>
      <c r="J11" s="743"/>
      <c r="K11" s="744"/>
    </row>
    <row r="12" spans="1:33" s="749" customFormat="1" ht="13.5" customHeight="1">
      <c r="A12" s="746" t="s">
        <v>636</v>
      </c>
      <c r="B12" s="747" t="s">
        <v>1610</v>
      </c>
      <c r="C12" s="21">
        <f ca="1">ROUND(C11*F12,0)</f>
        <v>0</v>
      </c>
      <c r="D12" s="748"/>
      <c r="E12" s="137"/>
      <c r="F12" s="758">
        <f>'数据-取费表'!B33</f>
        <v>0.05</v>
      </c>
      <c r="G12" s="5" t="s">
        <v>1611</v>
      </c>
      <c r="H12" s="743"/>
      <c r="I12" s="743"/>
      <c r="J12" s="743"/>
      <c r="K12" s="744"/>
    </row>
    <row r="13" spans="1:33" s="749" customFormat="1" ht="13.5" customHeight="1">
      <c r="A13" s="746" t="s">
        <v>637</v>
      </c>
      <c r="B13" s="747" t="s">
        <v>1612</v>
      </c>
      <c r="C13" s="21">
        <f ca="1">ROUND(IF(C1="",SUMIF('数据-取费表'!C:C,"住宅",'数据-取费表'!P:P)*F13,IF(INDIRECT("'数据-取费表'!c"&amp;$K$1)="住宅",INDIRECT("'数据-取费表'!P"&amp;$K$1)*F13,0)),0)</f>
        <v>0</v>
      </c>
      <c r="D13" s="790"/>
      <c r="E13" s="137"/>
      <c r="F13" s="758">
        <f>'数据-取费表'!B34</f>
        <v>0</v>
      </c>
      <c r="G13" s="5" t="s">
        <v>1613</v>
      </c>
      <c r="H13" s="743"/>
      <c r="I13" s="743"/>
      <c r="J13" s="743"/>
      <c r="K13" s="744"/>
    </row>
    <row r="14" spans="1:33" s="751" customFormat="1" ht="13.5" customHeight="1">
      <c r="A14" s="746" t="s">
        <v>638</v>
      </c>
      <c r="B14" s="747" t="s">
        <v>1614</v>
      </c>
      <c r="C14" s="21">
        <f ca="1">ROUND(D14*E14*F11/10000,0)</f>
        <v>0</v>
      </c>
      <c r="D14" s="790">
        <f ca="1">IF(C1="",'数据-汇总表'!E3,INDIRECT("'数据-取费表'!K"&amp;$K$1)+INDIRECT("'数据-取费表'!S"&amp;$K$1))</f>
        <v>51111.68000000059</v>
      </c>
      <c r="E14" s="21">
        <f>'数据-取费表'!B35</f>
        <v>200</v>
      </c>
      <c r="F14" s="750"/>
      <c r="G14" s="5" t="s">
        <v>1615</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1616</v>
      </c>
      <c r="C15" s="757">
        <f ca="1">ROUND(C11*F15,0)</f>
        <v>0</v>
      </c>
      <c r="D15" s="752"/>
      <c r="E15" s="757"/>
      <c r="F15" s="758">
        <f>'数据-取费表'!B36</f>
        <v>0.02</v>
      </c>
      <c r="G15" s="122" t="s">
        <v>1617</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1618</v>
      </c>
      <c r="C16" s="757">
        <f ca="1">SUM(C11:C15)</f>
        <v>0</v>
      </c>
      <c r="D16" s="752"/>
      <c r="E16" s="757"/>
      <c r="F16" s="758"/>
      <c r="G16" s="122"/>
      <c r="H16" s="1097"/>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1619</v>
      </c>
      <c r="C17" s="21">
        <f ca="1">ROUND(D17*E17/10000,0)</f>
        <v>0</v>
      </c>
      <c r="D17" s="790">
        <f ca="1">D14</f>
        <v>51111.68000000059</v>
      </c>
      <c r="E17" s="21">
        <f>'数据-取费表'!B32</f>
        <v>0</v>
      </c>
      <c r="F17" s="752"/>
      <c r="G17" s="122" t="s">
        <v>1620</v>
      </c>
      <c r="H17" s="1097"/>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1621</v>
      </c>
      <c r="C18" s="21">
        <f ca="1">C19+C20-IF(C1="",'数据-取费表'!B29,IF(G18="已全部缴纳",C19+C20,H18))</f>
        <v>0</v>
      </c>
      <c r="D18" s="790"/>
      <c r="E18" s="21"/>
      <c r="F18" s="750"/>
      <c r="G18" s="1709"/>
      <c r="H18" s="1096"/>
      <c r="I18" s="1710" t="s">
        <v>1622</v>
      </c>
      <c r="J18" s="753"/>
      <c r="K18" s="754"/>
    </row>
    <row r="19" spans="1:33" s="749" customFormat="1" ht="13.5" customHeight="1">
      <c r="A19" s="746" t="s">
        <v>360</v>
      </c>
      <c r="B19" s="747" t="s">
        <v>1623</v>
      </c>
      <c r="C19" s="21">
        <f ca="1">ROUND(D19*E19/10000,0)</f>
        <v>0</v>
      </c>
      <c r="D19" s="790">
        <f ca="1">IF(C1="",'数据-汇总表'!E5,IF(INDIRECT("'数据-取费表'!c"&amp;$K$1)="住宅",INDIRECT("'数据-取费表'!k"&amp;$K$1),0))</f>
        <v>0</v>
      </c>
      <c r="E19" s="21">
        <f>'数据-取费表'!B27</f>
        <v>150</v>
      </c>
      <c r="F19" s="750"/>
      <c r="G19" s="12"/>
      <c r="H19" s="1098"/>
      <c r="I19" s="755"/>
      <c r="J19" s="755"/>
      <c r="K19" s="756"/>
    </row>
    <row r="20" spans="1:33" s="749" customFormat="1" ht="13.5" customHeight="1">
      <c r="A20" s="746" t="s">
        <v>361</v>
      </c>
      <c r="B20" s="747" t="s">
        <v>1624</v>
      </c>
      <c r="C20" s="21">
        <f ca="1">ROUND(D20*E20/10000,0)</f>
        <v>971</v>
      </c>
      <c r="D20" s="790">
        <f ca="1">IF(C1="",'数据-汇总表'!E6,IF(INDIRECT("'数据-取费表'!c"&amp;$K$1)="住宅",INDIRECT("'数据-取费表'!s"&amp;$K$1),INDIRECT("'数据-取费表'!k"&amp;$K$1)+INDIRECT("'数据-取费表'!s"&amp;$K$1)))</f>
        <v>51111.68000000059</v>
      </c>
      <c r="E20" s="21">
        <f>'数据-取费表'!B28</f>
        <v>190</v>
      </c>
      <c r="F20" s="750"/>
      <c r="G20" s="12"/>
      <c r="H20" s="755"/>
      <c r="I20" s="755"/>
      <c r="J20" s="755"/>
      <c r="K20" s="756"/>
    </row>
    <row r="21" spans="1:33" s="749" customFormat="1" ht="13.5" customHeight="1">
      <c r="A21" s="738" t="s">
        <v>357</v>
      </c>
      <c r="B21" s="759" t="s">
        <v>1625</v>
      </c>
      <c r="C21" s="760">
        <f ca="1">C16+C17+C18</f>
        <v>0</v>
      </c>
      <c r="D21" s="761"/>
      <c r="E21" s="272"/>
      <c r="F21" s="272"/>
      <c r="G21" s="122" t="s">
        <v>1626</v>
      </c>
      <c r="H21" s="753"/>
      <c r="I21" s="753"/>
      <c r="J21" s="753"/>
      <c r="K21" s="754"/>
    </row>
    <row r="22" spans="1:33" s="749" customFormat="1" ht="13.5" customHeight="1">
      <c r="A22" s="738" t="s">
        <v>1598</v>
      </c>
      <c r="B22" s="759" t="s">
        <v>1627</v>
      </c>
      <c r="C22" s="760">
        <f ca="1">ROUND(C21*F22,0)</f>
        <v>0</v>
      </c>
      <c r="D22" s="272"/>
      <c r="E22" s="272"/>
      <c r="F22" s="762">
        <f>'数据-取费表'!B37</f>
        <v>0.02</v>
      </c>
      <c r="G22" s="5" t="s">
        <v>1628</v>
      </c>
      <c r="H22" s="743"/>
      <c r="I22" s="743"/>
      <c r="J22" s="743"/>
      <c r="K22" s="744"/>
    </row>
    <row r="23" spans="1:33" s="749" customFormat="1" ht="13.5" customHeight="1">
      <c r="A23" s="738" t="s">
        <v>1600</v>
      </c>
      <c r="B23" s="759" t="s">
        <v>1629</v>
      </c>
      <c r="C23" s="760">
        <f ca="1">ROUND(C4*F23*F11,0)</f>
        <v>0</v>
      </c>
      <c r="D23" s="272"/>
      <c r="E23" s="272"/>
      <c r="F23" s="762">
        <f>'数据-取费表'!B38</f>
        <v>0.02</v>
      </c>
      <c r="G23" s="5" t="s">
        <v>1630</v>
      </c>
      <c r="H23" s="743"/>
      <c r="I23" s="743"/>
      <c r="J23" s="743"/>
      <c r="K23" s="744"/>
    </row>
    <row r="24" spans="1:33" s="749" customFormat="1" ht="13.5" customHeight="1">
      <c r="A24" s="738" t="s">
        <v>1631</v>
      </c>
      <c r="B24" s="759" t="s">
        <v>1632</v>
      </c>
      <c r="C24" s="271">
        <f>ROUND(F24/(1+'数据-取费表'!C42),4)</f>
        <v>2.9000000000000001E-2</v>
      </c>
      <c r="D24" s="272" t="s">
        <v>12</v>
      </c>
      <c r="E24" s="272"/>
      <c r="F24" s="762">
        <f>IF(项目基本情况!B8="出让",0,'数据-取费表'!B48+'数据-取费表'!B49)</f>
        <v>3.0499999999999999E-2</v>
      </c>
      <c r="G24" s="5" t="s">
        <v>1633</v>
      </c>
      <c r="H24" s="764"/>
      <c r="I24" s="764"/>
      <c r="J24" s="764"/>
      <c r="K24" s="55"/>
    </row>
    <row r="25" spans="1:33" s="749" customFormat="1" ht="13.5" customHeight="1">
      <c r="A25" s="738" t="s">
        <v>1634</v>
      </c>
      <c r="B25" s="761" t="s">
        <v>1635</v>
      </c>
      <c r="C25" s="1033">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1636</v>
      </c>
      <c r="C26" s="1034">
        <f ca="1">ROUND(IF('数据-取费表'!B22&lt;=1,(1+C24)*F25*'数据-取费表'!B24,(1+C24)*(POWER((1+F25),'数据-取费表'!B24)-1)),4)</f>
        <v>0</v>
      </c>
      <c r="D26" s="275"/>
      <c r="E26" s="276"/>
      <c r="F26" s="277"/>
      <c r="G26" s="1711"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1637</v>
      </c>
      <c r="C27" s="1035">
        <f ca="1">ROUND(IF('数据-取费表'!B22&lt;=1,(C21+C22+C23)*F25*'数据-取费表'!B24/2,(C21+C22+C23)*(POWER((1+F25),'数据-取费表'!B24/2)-1)),0)</f>
        <v>0</v>
      </c>
      <c r="D27" s="275"/>
      <c r="E27" s="276"/>
      <c r="F27" s="277"/>
      <c r="G27" s="1711" t="str">
        <f>IF('数据-取费表'!B22&lt;=1,"（1）-（3）项×年利率×建设期÷2","（1）-（3）项×((1+年利率)^(建设期÷2)-1)")</f>
        <v>（1）-（3）项×((1+年利率)^(建设期÷2)-1)</v>
      </c>
      <c r="H27" s="753"/>
      <c r="I27" s="753"/>
      <c r="J27" s="753"/>
      <c r="K27" s="754"/>
    </row>
    <row r="28" spans="1:33" s="280" customFormat="1" ht="13.5" customHeight="1">
      <c r="A28" s="738" t="s">
        <v>1638</v>
      </c>
      <c r="B28" s="1712" t="s">
        <v>1639</v>
      </c>
      <c r="C28" s="278">
        <f ca="1">C30</f>
        <v>0</v>
      </c>
      <c r="D28" s="271">
        <f ca="1">C29</f>
        <v>0</v>
      </c>
      <c r="E28" s="273" t="s">
        <v>12</v>
      </c>
      <c r="F28" s="279">
        <f ca="1">IF(C1="",'数据-取费表'!Q16,INDIRECT("'数据-取费表'!q"&amp;$K$1))</f>
        <v>0.15</v>
      </c>
      <c r="G28" s="763"/>
      <c r="H28" s="764"/>
      <c r="I28" s="764"/>
      <c r="J28" s="764"/>
      <c r="K28" s="55"/>
    </row>
    <row r="29" spans="1:33" s="282" customFormat="1" ht="13.5" customHeight="1">
      <c r="A29" s="746" t="s">
        <v>358</v>
      </c>
      <c r="B29" s="767" t="s">
        <v>1640</v>
      </c>
      <c r="C29" s="275">
        <f ca="1">ROUND((1+C24)*F28*'数据-取费表'!B24/'数据-取费表'!B20,4)</f>
        <v>0</v>
      </c>
      <c r="D29" s="275"/>
      <c r="E29" s="276"/>
      <c r="F29" s="281"/>
      <c r="G29" s="122" t="s">
        <v>1641</v>
      </c>
      <c r="H29" s="753"/>
      <c r="I29" s="753"/>
      <c r="J29" s="753"/>
      <c r="K29" s="754"/>
    </row>
    <row r="30" spans="1:33" s="282" customFormat="1" ht="13.5" customHeight="1">
      <c r="A30" s="746" t="s">
        <v>359</v>
      </c>
      <c r="B30" s="767" t="s">
        <v>1642</v>
      </c>
      <c r="C30" s="283">
        <f ca="1">ROUND((C21+C22+C23)*F28,0)</f>
        <v>0</v>
      </c>
      <c r="D30" s="275"/>
      <c r="E30" s="276"/>
      <c r="F30" s="281"/>
      <c r="G30" s="122"/>
      <c r="H30" s="753"/>
      <c r="I30" s="753"/>
      <c r="J30" s="753"/>
      <c r="K30" s="754"/>
    </row>
    <row r="31" spans="1:33" s="749" customFormat="1" ht="13.5" customHeight="1" thickBot="1">
      <c r="A31" s="1713" t="s">
        <v>1643</v>
      </c>
      <c r="B31" s="777" t="s">
        <v>1644</v>
      </c>
      <c r="C31" s="778">
        <f>ROUND(C4*F31/(1+'数据-取费表'!C42),0)</f>
        <v>0</v>
      </c>
      <c r="D31" s="779"/>
      <c r="E31" s="780"/>
      <c r="F31" s="781">
        <f>'数据-取费表'!B41</f>
        <v>5.6000000000000001E-2</v>
      </c>
      <c r="G31" s="782" t="s">
        <v>1645</v>
      </c>
      <c r="H31" s="783"/>
      <c r="I31" s="783"/>
      <c r="J31" s="783"/>
      <c r="K31" s="784"/>
    </row>
    <row r="32" spans="1:33" s="745" customFormat="1" ht="13.5" customHeight="1" thickBot="1">
      <c r="A32" s="448" t="s">
        <v>1646</v>
      </c>
      <c r="B32" s="773"/>
      <c r="C32" s="774">
        <f ca="1">ROUND((C4-C21-C22-C23-C25-C28-C31)/(1+C24+D25+D28),0)</f>
        <v>0</v>
      </c>
      <c r="D32" s="773"/>
      <c r="E32" s="773"/>
      <c r="F32" s="773"/>
      <c r="G32" s="775" t="s">
        <v>1647</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c r="D1" s="1260" t="s">
        <v>43</v>
      </c>
      <c r="E1" s="1261" t="s">
        <v>675</v>
      </c>
      <c r="F1" s="989">
        <f ca="1">J53</f>
        <v>0</v>
      </c>
      <c r="G1" s="1275">
        <f>MATCH(C1,'数据-取费表'!A6:A16,0)+5</f>
        <v>10</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1283" t="e">
        <f ca="1">C40+J29+L46</f>
        <v>#DIV/0!</v>
      </c>
      <c r="C2" s="1278" t="s">
        <v>802</v>
      </c>
      <c r="D2" s="1278"/>
      <c r="E2" s="1284"/>
      <c r="F2" s="1285"/>
      <c r="G2" s="2466"/>
      <c r="H2" s="2456"/>
      <c r="I2" s="2456"/>
      <c r="J2" s="2456"/>
      <c r="K2" s="2457"/>
      <c r="L2" s="2456"/>
      <c r="M2" s="2456"/>
    </row>
    <row r="3" spans="1:37" ht="18" customHeight="1" thickBot="1">
      <c r="A3" s="1286" t="s">
        <v>803</v>
      </c>
      <c r="B3" s="1287">
        <f ca="1">IF(ISERROR(B2*10000/F43),0,ROUND(B2*10000/F43,0))</f>
        <v>0</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0</v>
      </c>
      <c r="D5" s="1262" t="s">
        <v>690</v>
      </c>
      <c r="E5" s="998"/>
      <c r="F5" s="999"/>
      <c r="G5" s="1281"/>
      <c r="H5" s="290">
        <v>1</v>
      </c>
      <c r="I5" s="291" t="s">
        <v>689</v>
      </c>
      <c r="J5" s="997">
        <f ca="1">J6+J10+J12</f>
        <v>0</v>
      </c>
      <c r="K5" s="1262" t="s">
        <v>690</v>
      </c>
      <c r="L5" s="998"/>
      <c r="M5" s="999"/>
    </row>
    <row r="6" spans="1:37" ht="18" customHeight="1">
      <c r="A6" s="996" t="s">
        <v>398</v>
      </c>
      <c r="B6" s="3440" t="s">
        <v>691</v>
      </c>
      <c r="C6" s="1001">
        <f ca="1">ROUND(F6*F8*F7*(1-F9)/10000,0)</f>
        <v>0</v>
      </c>
      <c r="D6" s="146" t="s">
        <v>2101</v>
      </c>
      <c r="E6" s="293" t="s">
        <v>693</v>
      </c>
      <c r="F6" s="294">
        <f ca="1">INDIRECT("'数据-取费表'!u"&amp;$G$1)</f>
        <v>0</v>
      </c>
      <c r="G6" s="1281"/>
      <c r="H6" s="996" t="s">
        <v>398</v>
      </c>
      <c r="I6" s="3440" t="s">
        <v>691</v>
      </c>
      <c r="J6" s="292">
        <f ca="1">ROUND(M6*M8*M7*(1-M9)/10000,0)</f>
        <v>0</v>
      </c>
      <c r="K6" s="146" t="s">
        <v>2100</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0</v>
      </c>
      <c r="G7" s="1281"/>
      <c r="H7" s="295"/>
      <c r="I7" s="3441"/>
      <c r="J7" s="297"/>
      <c r="K7" s="298"/>
      <c r="L7" s="293" t="s">
        <v>694</v>
      </c>
      <c r="M7" s="294">
        <f ca="1">F7</f>
        <v>0</v>
      </c>
    </row>
    <row r="8" spans="1:37" ht="18" customHeight="1">
      <c r="A8" s="295"/>
      <c r="B8" s="3441"/>
      <c r="C8" s="297"/>
      <c r="D8" s="298"/>
      <c r="E8" s="293" t="s">
        <v>695</v>
      </c>
      <c r="F8" s="294">
        <f ca="1">INDIRECT("'数据-取费表'!ai"&amp;$G$1)</f>
        <v>0</v>
      </c>
      <c r="G8" s="1281"/>
      <c r="H8" s="295"/>
      <c r="I8" s="3441"/>
      <c r="J8" s="297"/>
      <c r="K8" s="298"/>
      <c r="L8" s="293" t="s">
        <v>695</v>
      </c>
      <c r="M8" s="294">
        <f ca="1">INDIRECT("'数据-取费表'!ai"&amp;$G$1)</f>
        <v>0</v>
      </c>
    </row>
    <row r="9" spans="1:37" ht="18" customHeight="1">
      <c r="A9" s="295"/>
      <c r="B9" s="3442"/>
      <c r="C9" s="297"/>
      <c r="D9" s="298"/>
      <c r="E9" s="293" t="s">
        <v>696</v>
      </c>
      <c r="F9" s="303">
        <f ca="1">INDIRECT("'数据-取费表'!w"&amp;$G$1)</f>
        <v>0</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0</v>
      </c>
      <c r="D10" s="149" t="s">
        <v>2109</v>
      </c>
      <c r="E10" s="304" t="s">
        <v>698</v>
      </c>
      <c r="F10" s="1043"/>
      <c r="G10" s="1281"/>
      <c r="H10" s="996" t="s">
        <v>402</v>
      </c>
      <c r="I10" s="1263" t="s">
        <v>697</v>
      </c>
      <c r="J10" s="292">
        <f ca="1">ROUND(IF(M10="押一",J6/12*M11,IF(M10="押二",J6/12*2*M11,IF(M10="押三",J6/12*3*M11,J11*M11))),0)</f>
        <v>0</v>
      </c>
      <c r="K10" s="149" t="s">
        <v>2108</v>
      </c>
      <c r="L10" s="304" t="s">
        <v>698</v>
      </c>
      <c r="M10" s="1043"/>
    </row>
    <row r="11" spans="1:37" ht="18" customHeight="1">
      <c r="A11" s="299"/>
      <c r="B11" s="1264" t="s">
        <v>676</v>
      </c>
      <c r="C11" s="898"/>
      <c r="D11" s="1265"/>
      <c r="E11" s="304" t="s">
        <v>699</v>
      </c>
      <c r="F11" s="305">
        <f ca="1">'数据-取费表'!B39</f>
        <v>1.4999999999999999E-2</v>
      </c>
      <c r="G11" s="1281"/>
      <c r="H11" s="1004"/>
      <c r="I11" s="1264" t="s">
        <v>676</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0</v>
      </c>
      <c r="D13" s="1008" t="s">
        <v>702</v>
      </c>
      <c r="E13" s="1008" t="s">
        <v>703</v>
      </c>
      <c r="F13" s="1009">
        <f ca="1">INDIRECT("'数据-取费表'!y"&amp;$G$1)</f>
        <v>0</v>
      </c>
      <c r="G13" s="1281"/>
      <c r="H13" s="1006">
        <v>2</v>
      </c>
      <c r="I13" s="1007" t="s">
        <v>701</v>
      </c>
      <c r="J13" s="995">
        <f ca="1">ROUND(J14*J15,0)</f>
        <v>0</v>
      </c>
      <c r="K13" s="1014" t="s">
        <v>702</v>
      </c>
      <c r="L13" s="1288"/>
      <c r="M13" s="1289"/>
    </row>
    <row r="14" spans="1:37" ht="18" customHeight="1">
      <c r="A14" s="921" t="s">
        <v>397</v>
      </c>
      <c r="B14" s="293" t="s">
        <v>704</v>
      </c>
      <c r="C14" s="309">
        <f ca="1">INDIRECT("'数据-取费表'!m"&amp;$G$1)+INDIRECT("'数据-取费表'!t"&amp;$G$1)</f>
        <v>0</v>
      </c>
      <c r="D14" s="1246" t="s">
        <v>705</v>
      </c>
      <c r="E14" s="1244"/>
      <c r="F14" s="310"/>
      <c r="G14" s="1281"/>
      <c r="H14" s="921" t="s">
        <v>398</v>
      </c>
      <c r="I14" s="293" t="s">
        <v>706</v>
      </c>
      <c r="J14" s="21">
        <f ca="1">C29</f>
        <v>0</v>
      </c>
      <c r="K14" s="12"/>
      <c r="L14" s="753"/>
      <c r="M14" s="754"/>
    </row>
    <row r="15" spans="1:37" s="1293" customFormat="1" ht="18" customHeight="1" thickBot="1">
      <c r="A15" s="921" t="s">
        <v>399</v>
      </c>
      <c r="B15" s="293" t="s">
        <v>707</v>
      </c>
      <c r="C15" s="21">
        <f ca="1">ROUND(C14*F15,0)</f>
        <v>0</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ROUND(INDIRECT("'数据-取费表'!m"&amp;$G$1)*F16,0)</f>
        <v>0</v>
      </c>
      <c r="D16" s="293" t="s">
        <v>708</v>
      </c>
      <c r="E16" s="293" t="s">
        <v>709</v>
      </c>
      <c r="F16" s="313">
        <f ca="1">IF(INDIRECT("'数据-取费表'!c"&amp;$G$1)="住宅",'数据-取费表'!B34,0)</f>
        <v>0</v>
      </c>
      <c r="G16" s="1281"/>
      <c r="H16" s="1006" t="s">
        <v>393</v>
      </c>
      <c r="I16" s="1007" t="s">
        <v>711</v>
      </c>
      <c r="J16" s="301">
        <f ca="1">ROUND(J17+J22+J23+J24,0)</f>
        <v>0</v>
      </c>
      <c r="K16" s="1014" t="s">
        <v>712</v>
      </c>
      <c r="L16" s="1015"/>
      <c r="M16" s="999"/>
    </row>
    <row r="17" spans="1:37" s="1293" customFormat="1" ht="18" customHeight="1">
      <c r="A17" s="921" t="s">
        <v>678</v>
      </c>
      <c r="B17" s="293" t="s">
        <v>713</v>
      </c>
      <c r="C17" s="21">
        <f ca="1">ROUND(F17*(F43+INDIRECT("'数据-取费表'!S"&amp;$G$1))/10000,0)</f>
        <v>0</v>
      </c>
      <c r="D17" s="293" t="s">
        <v>714</v>
      </c>
      <c r="E17" s="293" t="s">
        <v>715</v>
      </c>
      <c r="F17" s="23">
        <f>'数据-取费表'!B35</f>
        <v>200</v>
      </c>
      <c r="G17" s="1292"/>
      <c r="H17" s="921" t="s">
        <v>398</v>
      </c>
      <c r="I17" s="293" t="s">
        <v>716</v>
      </c>
      <c r="J17" s="2129">
        <f ca="1">ROUND(IF(AND(项目基本情况!B11="自然人",项目基本情况!B10="北京市"),J6*M17/(1+'数据-取费表'!C42),J18+J19+J20),2)</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0</v>
      </c>
      <c r="D18" s="293" t="s">
        <v>708</v>
      </c>
      <c r="E18" s="293" t="s">
        <v>709</v>
      </c>
      <c r="F18" s="313">
        <f>'数据-取费表'!B36</f>
        <v>0.02</v>
      </c>
      <c r="G18" s="1292"/>
      <c r="H18" s="921" t="s">
        <v>397</v>
      </c>
      <c r="I18" s="293" t="s">
        <v>720</v>
      </c>
      <c r="J18" s="21">
        <f ca="1">ROUND(J6*M18/(1+'数据-取费表'!C42),2)</f>
        <v>0</v>
      </c>
      <c r="K18" s="1245" t="s">
        <v>721</v>
      </c>
      <c r="L18" s="293" t="s">
        <v>709</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0</v>
      </c>
      <c r="D19" s="122" t="s">
        <v>723</v>
      </c>
      <c r="E19" s="1258"/>
      <c r="F19" s="23"/>
      <c r="G19" s="1281"/>
      <c r="H19" s="921" t="s">
        <v>399</v>
      </c>
      <c r="I19" s="293" t="s">
        <v>724</v>
      </c>
      <c r="J19" s="21">
        <f ca="1">IF(K19="按租金收入计税",ROUND(J6*M19/(1+'数据-取费表'!C42),2),ROUND(C29*M19*0.7,2))</f>
        <v>0</v>
      </c>
      <c r="K19" s="1267" t="s">
        <v>3326</v>
      </c>
      <c r="L19" s="293" t="s">
        <v>709</v>
      </c>
      <c r="M19" s="313">
        <f>IF(K19="按租金收入计税",'数据-取费表'!B51,'数据-取费表'!B50)</f>
        <v>0.12</v>
      </c>
    </row>
    <row r="20" spans="1:37" s="1293" customFormat="1" ht="18" customHeight="1">
      <c r="A20" s="921" t="s">
        <v>402</v>
      </c>
      <c r="B20" s="293" t="s">
        <v>725</v>
      </c>
      <c r="C20" s="21">
        <f ca="1">ROUND(C19*F20,0)</f>
        <v>0</v>
      </c>
      <c r="D20" s="314" t="s">
        <v>726</v>
      </c>
      <c r="E20" s="293" t="s">
        <v>709</v>
      </c>
      <c r="F20" s="313">
        <f>'数据-取费表'!B37</f>
        <v>0.02</v>
      </c>
      <c r="G20" s="1292"/>
      <c r="H20" s="921" t="s">
        <v>677</v>
      </c>
      <c r="I20" s="146" t="s">
        <v>727</v>
      </c>
      <c r="J20" s="22">
        <f ca="1">ROUND(M20*M21/10000,2)</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15</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ROUND(J14*M22,2)</f>
        <v>0</v>
      </c>
      <c r="K22" s="1245" t="s">
        <v>736</v>
      </c>
      <c r="L22" s="293" t="s">
        <v>709</v>
      </c>
      <c r="M22" s="319">
        <f ca="1">INDIRECT("'数据-取费表'!Ak"&amp;$G$1)</f>
        <v>0</v>
      </c>
    </row>
    <row r="23" spans="1:37" s="1293" customFormat="1" ht="18" customHeight="1">
      <c r="A23" s="921" t="s">
        <v>397</v>
      </c>
      <c r="B23" s="293" t="s">
        <v>737</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ROUND(J13*M23,2)</f>
        <v>0</v>
      </c>
      <c r="K23" s="1245" t="s">
        <v>740</v>
      </c>
      <c r="L23" s="293" t="s">
        <v>741</v>
      </c>
      <c r="M23" s="320">
        <f ca="1">INDIRECT("'数据-取费表'!Al"&amp;$G$1)</f>
        <v>0</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ROUND(J5*M24,2)</f>
        <v>0</v>
      </c>
      <c r="K24" s="1019" t="s">
        <v>745</v>
      </c>
      <c r="L24" s="1017" t="s">
        <v>741</v>
      </c>
      <c r="M24" s="1013">
        <f ca="1">INDIRECT("'数据-取费表'!Am"&amp;$G$1)</f>
        <v>0</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1" t="s">
        <v>746</v>
      </c>
      <c r="B25" s="293" t="s">
        <v>747</v>
      </c>
      <c r="C25" s="21"/>
      <c r="D25" s="122" t="s">
        <v>748</v>
      </c>
      <c r="E25" s="1258"/>
      <c r="F25" s="23"/>
      <c r="G25" s="1281"/>
      <c r="H25" s="1006" t="s">
        <v>394</v>
      </c>
      <c r="I25" s="1021" t="s">
        <v>749</v>
      </c>
      <c r="J25" s="301">
        <f ca="1">J5-J16</f>
        <v>0</v>
      </c>
      <c r="K25" s="1022" t="s">
        <v>750</v>
      </c>
      <c r="L25" s="1023"/>
      <c r="M25" s="1024"/>
    </row>
    <row r="26" spans="1:37">
      <c r="A26" s="921" t="s">
        <v>397</v>
      </c>
      <c r="B26" s="293" t="s">
        <v>751</v>
      </c>
      <c r="C26" s="21">
        <f ca="1">ROUND((C19+C20)*F26,0)</f>
        <v>0</v>
      </c>
      <c r="D26" s="314" t="s">
        <v>752</v>
      </c>
      <c r="E26" s="304" t="s">
        <v>753</v>
      </c>
      <c r="F26" s="303">
        <f ca="1">INDIRECT("'数据-取费表'!q"&amp;$G$1)</f>
        <v>0</v>
      </c>
      <c r="G26" s="1281"/>
      <c r="H26" s="290" t="s">
        <v>395</v>
      </c>
      <c r="I26" s="291" t="s">
        <v>754</v>
      </c>
      <c r="J26" s="292">
        <f ca="1">IF(J5&lt;&gt;0,ROUND(J25*(1-((1+M28)/(1+M26))^M27)/(M26-M28),0),0)</f>
        <v>0</v>
      </c>
      <c r="K26" s="315" t="s">
        <v>755</v>
      </c>
      <c r="L26" s="293" t="s">
        <v>756</v>
      </c>
      <c r="M26" s="303">
        <f ca="1">INDIRECT("'数据-取费表'!I"&amp;$G$1)</f>
        <v>0</v>
      </c>
    </row>
    <row r="27" spans="1:37" ht="18" customHeight="1">
      <c r="A27" s="921" t="s">
        <v>399</v>
      </c>
      <c r="B27" s="293" t="s">
        <v>757</v>
      </c>
      <c r="C27" s="21">
        <f ca="1">ROUND(F21*F26,4)</f>
        <v>0</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5.33E-2</v>
      </c>
      <c r="D28" s="314" t="s">
        <v>762</v>
      </c>
      <c r="E28" s="293" t="s">
        <v>709</v>
      </c>
      <c r="F28" s="313">
        <f>'数据-取费表'!B41</f>
        <v>5.6000000000000001E-2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0</v>
      </c>
      <c r="D29" s="1019"/>
      <c r="E29" s="1017"/>
      <c r="F29" s="1020"/>
      <c r="G29" s="1292"/>
      <c r="H29" s="324" t="s">
        <v>396</v>
      </c>
      <c r="I29" s="325" t="s">
        <v>765</v>
      </c>
      <c r="J29" s="326">
        <f ca="1">ROUND(J26/(1+F40)^F41,0)</f>
        <v>0</v>
      </c>
      <c r="K29" s="327" t="s">
        <v>766</v>
      </c>
      <c r="L29" s="328"/>
      <c r="M29" s="329">
        <f ca="1">INDIRECT("'数据-取费表'!k"&amp;$G$1)</f>
        <v>0</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0</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ROUND(IF(AND(项目基本情况!B11="自然人",项目基本情况!B10="北京市"),C6*F31/(1+'数据-取费表'!C42),C32+C33+C34),2)</f>
        <v>0</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IF(项目基本情况!B11="自然人","——",ROUND(C6*F32/(1+'数据-取费表'!C42),2))</f>
        <v>0</v>
      </c>
      <c r="D32" s="1245" t="s">
        <v>721</v>
      </c>
      <c r="E32" s="293" t="s">
        <v>709</v>
      </c>
      <c r="F32" s="321">
        <f>'数据-取费表'!B41</f>
        <v>5.6000000000000001E-2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IF(项目基本情况!B11="自然人","——",IF(D33="按租金收入计税",ROUND(C6*F33/(1+'数据-取费表'!C42),2),IF(D33="按房产原值计税",ROUND(C29*F33*0.7,2),INDIRECT("'数据-取费表'!Aj"&amp;$G$1))))</f>
        <v>0</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IF(项目基本情况!B11="自然人","——",ROUND(F34*F35/10000,2))</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ROUND(C29*F36,2)</f>
        <v>0</v>
      </c>
      <c r="D36" s="1245" t="s">
        <v>768</v>
      </c>
      <c r="E36" s="293" t="s">
        <v>709</v>
      </c>
      <c r="F36" s="319">
        <f ca="1">INDIRECT("'数据-取费表'!Ak"&amp;$G$1)</f>
        <v>0</v>
      </c>
      <c r="G36" s="1281"/>
      <c r="H36" s="2461"/>
      <c r="I36" s="1294"/>
      <c r="J36" s="1295"/>
      <c r="K36" s="2318"/>
      <c r="L36" s="2461"/>
      <c r="M36" s="2461"/>
    </row>
    <row r="37" spans="1:18" ht="18" customHeight="1">
      <c r="A37" s="921" t="s">
        <v>437</v>
      </c>
      <c r="B37" s="293" t="s">
        <v>739</v>
      </c>
      <c r="C37" s="21">
        <f ca="1">ROUND(C13*F37,2)</f>
        <v>0</v>
      </c>
      <c r="D37" s="1245" t="s">
        <v>740</v>
      </c>
      <c r="E37" s="293" t="s">
        <v>741</v>
      </c>
      <c r="F37" s="320">
        <f ca="1">INDIRECT("'数据-取费表'!Al"&amp;$G$1)</f>
        <v>0</v>
      </c>
      <c r="G37" s="1281"/>
      <c r="H37" s="2461"/>
      <c r="I37" s="1294"/>
      <c r="J37" s="1295"/>
      <c r="K37" s="2318"/>
      <c r="L37" s="2461"/>
      <c r="M37" s="2461"/>
    </row>
    <row r="38" spans="1:18" ht="18" customHeight="1" thickBot="1">
      <c r="A38" s="1016" t="s">
        <v>681</v>
      </c>
      <c r="B38" s="1017" t="s">
        <v>725</v>
      </c>
      <c r="C38" s="1018">
        <f ca="1">ROUND(C5*F38,2)</f>
        <v>0</v>
      </c>
      <c r="D38" s="1019" t="s">
        <v>745</v>
      </c>
      <c r="E38" s="1017" t="s">
        <v>741</v>
      </c>
      <c r="F38" s="1013">
        <f ca="1">INDIRECT("'数据-取费表'!Am"&amp;$G$1)</f>
        <v>0</v>
      </c>
      <c r="G38" s="1281"/>
      <c r="H38" s="2461"/>
      <c r="I38" s="1294"/>
      <c r="J38" s="1295"/>
      <c r="K38" s="2459"/>
      <c r="L38" s="2461"/>
      <c r="M38" s="2461"/>
    </row>
    <row r="39" spans="1:18" ht="24.6" customHeight="1" thickTop="1">
      <c r="A39" s="1006" t="s">
        <v>394</v>
      </c>
      <c r="B39" s="1021" t="s">
        <v>769</v>
      </c>
      <c r="C39" s="301">
        <f ca="1">C5-C30</f>
        <v>0</v>
      </c>
      <c r="D39" s="1022" t="s">
        <v>770</v>
      </c>
      <c r="E39" s="1023"/>
      <c r="F39" s="1024"/>
      <c r="G39" s="1281"/>
      <c r="H39" s="2461"/>
      <c r="I39" s="1294"/>
      <c r="J39" s="1295"/>
      <c r="K39" s="2459"/>
      <c r="L39" s="2461"/>
      <c r="M39" s="2461"/>
    </row>
    <row r="40" spans="1:18" ht="18" customHeight="1">
      <c r="A40" s="290" t="s">
        <v>395</v>
      </c>
      <c r="B40" s="291" t="s">
        <v>771</v>
      </c>
      <c r="C40" s="292" t="e">
        <f ca="1">ROUND(C39*(1-((1+F42)/(1+F40))^F41)/(F40-F42),0)</f>
        <v>#DIV/0!</v>
      </c>
      <c r="D40" s="315" t="s">
        <v>755</v>
      </c>
      <c r="E40" s="293" t="s">
        <v>756</v>
      </c>
      <c r="F40" s="303">
        <f ca="1">INDIRECT("'数据-取费表'!I"&amp;$G$1)</f>
        <v>0</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0</v>
      </c>
      <c r="G41" s="1281"/>
      <c r="H41" s="120"/>
      <c r="I41" s="1294"/>
      <c r="J41" s="1295"/>
      <c r="K41" s="2318"/>
      <c r="L41" s="120"/>
      <c r="M41" s="120"/>
    </row>
    <row r="42" spans="1:18" ht="18" customHeight="1">
      <c r="A42" s="299"/>
      <c r="B42" s="300"/>
      <c r="C42" s="301"/>
      <c r="D42" s="318"/>
      <c r="E42" s="293" t="s">
        <v>763</v>
      </c>
      <c r="F42" s="303">
        <f ca="1">INDIRECT("'数据-取费表'!v"&amp;$G$1)</f>
        <v>0</v>
      </c>
      <c r="G42" s="1281"/>
      <c r="H42" s="120"/>
      <c r="I42" s="1294"/>
      <c r="J42" s="1295"/>
      <c r="K42" s="2318"/>
      <c r="L42" s="120"/>
      <c r="M42" s="120"/>
    </row>
    <row r="43" spans="1:18" ht="18" customHeight="1" thickBot="1">
      <c r="A43" s="324" t="s">
        <v>396</v>
      </c>
      <c r="B43" s="325" t="s">
        <v>773</v>
      </c>
      <c r="C43" s="326" t="e">
        <f ca="1">ROUND(C40*10000/F43,0)</f>
        <v>#DIV/0!</v>
      </c>
      <c r="D43" s="327" t="s">
        <v>774</v>
      </c>
      <c r="E43" s="328" t="s">
        <v>775</v>
      </c>
      <c r="F43" s="329">
        <f ca="1">INDIRECT("'数据-取费表'!k"&amp;$G$1)</f>
        <v>0</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5" t="s">
        <v>805</v>
      </c>
      <c r="P45" s="1355"/>
      <c r="Q45" s="1355"/>
      <c r="R45" s="1355"/>
    </row>
    <row r="46" spans="1:18" s="1281" customFormat="1" ht="13.5" thickBot="1">
      <c r="A46" s="1300" t="s">
        <v>806</v>
      </c>
      <c r="C46" s="1301" t="e">
        <f ca="1">C68-C40</f>
        <v>#DIV/0!</v>
      </c>
      <c r="D46" s="1302" t="str">
        <f>C2</f>
        <v>万元</v>
      </c>
      <c r="E46" s="1296"/>
      <c r="F46" s="1296"/>
      <c r="I46" s="1303" t="s">
        <v>807</v>
      </c>
      <c r="J46" s="1304"/>
      <c r="K46" s="1305"/>
      <c r="L46" s="1306" t="e">
        <f ca="1">IF(M47="住宅",0,IF(L48&gt;J51,L60,J60))</f>
        <v>#DIV/0!</v>
      </c>
      <c r="O46" s="1307" t="s">
        <v>808</v>
      </c>
      <c r="P46" s="1308" t="s">
        <v>809</v>
      </c>
      <c r="Q46" s="1309" t="s">
        <v>810</v>
      </c>
      <c r="R46" s="1309" t="s">
        <v>811</v>
      </c>
    </row>
    <row r="47" spans="1:18" s="1281" customFormat="1" ht="13.5" thickBot="1">
      <c r="A47" s="885" t="s">
        <v>684</v>
      </c>
      <c r="B47" s="917" t="s">
        <v>685</v>
      </c>
      <c r="C47" s="1044" t="s">
        <v>686</v>
      </c>
      <c r="D47" s="917" t="s">
        <v>687</v>
      </c>
      <c r="E47" s="985" t="s">
        <v>688</v>
      </c>
      <c r="F47" s="986"/>
      <c r="G47" s="677"/>
      <c r="I47" s="1310" t="s">
        <v>812</v>
      </c>
      <c r="J47" s="1311"/>
      <c r="K47" s="1312" t="s">
        <v>813</v>
      </c>
      <c r="L47" s="1313">
        <f ca="1">INDIRECT("'数据-取费表'!d"&amp;$G$1)</f>
        <v>0</v>
      </c>
      <c r="M47" s="1277" t="str">
        <f>IF(ISNUMBER(FIND("住宅",C1)),"住宅","非住宅")</f>
        <v>非住宅</v>
      </c>
      <c r="O47" s="1314" t="s">
        <v>403</v>
      </c>
      <c r="P47" s="1315" t="s">
        <v>814</v>
      </c>
      <c r="Q47" s="1316" t="e">
        <f ca="1">C40+J29</f>
        <v>#DIV/0!</v>
      </c>
      <c r="R47" s="1316" t="s">
        <v>815</v>
      </c>
    </row>
    <row r="48" spans="1:18" s="1281" customFormat="1" ht="28.5" thickBot="1">
      <c r="A48" s="1037" t="s">
        <v>438</v>
      </c>
      <c r="B48" s="291" t="s">
        <v>689</v>
      </c>
      <c r="C48" s="1257">
        <f ca="1">C49+C53+C55</f>
        <v>0</v>
      </c>
      <c r="D48" s="1039"/>
      <c r="E48" s="1040"/>
      <c r="F48" s="901"/>
      <c r="G48" s="677"/>
      <c r="H48" s="678"/>
      <c r="I48" s="1317" t="s">
        <v>816</v>
      </c>
      <c r="J48" s="1318"/>
      <c r="K48" s="1319" t="s">
        <v>817</v>
      </c>
      <c r="L48" s="1320">
        <f ca="1">INDIRECT("'数据-取费表'!f"&amp;$G$1)</f>
        <v>0</v>
      </c>
      <c r="O48" s="1314" t="s">
        <v>404</v>
      </c>
      <c r="P48" s="1315" t="s">
        <v>818</v>
      </c>
      <c r="Q48" s="1316" t="e">
        <f ca="1">J60</f>
        <v>#DIV/0!</v>
      </c>
      <c r="R48" s="1316" t="s">
        <v>819</v>
      </c>
    </row>
    <row r="49" spans="1:18" s="1281" customFormat="1" ht="13.5" thickBot="1">
      <c r="A49" s="914" t="s">
        <v>439</v>
      </c>
      <c r="B49" s="1268" t="s">
        <v>776</v>
      </c>
      <c r="C49" s="1041">
        <f ca="1">ROUND(F49*F51*F50*(1-F52)/10000,0)</f>
        <v>0</v>
      </c>
      <c r="D49" s="982" t="s">
        <v>2102</v>
      </c>
      <c r="E49" s="1269" t="s">
        <v>777</v>
      </c>
      <c r="F49" s="987"/>
      <c r="H49" s="678"/>
      <c r="I49" s="1317" t="s">
        <v>820</v>
      </c>
      <c r="J49" s="1321"/>
      <c r="K49" s="1319" t="s">
        <v>821</v>
      </c>
      <c r="L49" s="1322"/>
      <c r="O49" s="1323" t="s">
        <v>405</v>
      </c>
      <c r="P49" s="1315" t="s">
        <v>822</v>
      </c>
      <c r="Q49" s="1316">
        <f ca="1">C29</f>
        <v>0</v>
      </c>
      <c r="R49" s="1316" t="s">
        <v>815</v>
      </c>
    </row>
    <row r="50" spans="1:18" s="1281" customFormat="1" ht="13.5" thickBot="1">
      <c r="A50" s="915"/>
      <c r="B50" s="918"/>
      <c r="C50" s="1045"/>
      <c r="D50" s="892"/>
      <c r="E50" s="983" t="s">
        <v>694</v>
      </c>
      <c r="F50" s="984">
        <f ca="1">F7</f>
        <v>0</v>
      </c>
      <c r="H50" s="678"/>
      <c r="I50" s="1317" t="s">
        <v>823</v>
      </c>
      <c r="J50" s="1324">
        <f>SUMPRODUCT((I63:I65=J47)*(J62:L62=J48)*(J63:L65))</f>
        <v>0</v>
      </c>
      <c r="K50" s="1319" t="s">
        <v>824</v>
      </c>
      <c r="L50" s="1322"/>
      <c r="M50" s="1325"/>
      <c r="O50" s="1323" t="s">
        <v>406</v>
      </c>
      <c r="P50" s="1315" t="s">
        <v>825</v>
      </c>
      <c r="Q50" s="1326" t="e">
        <f ca="1">J58</f>
        <v>#DIV/0!</v>
      </c>
      <c r="R50" s="1316"/>
    </row>
    <row r="51" spans="1:18" s="1281" customFormat="1" ht="13.5" thickBot="1">
      <c r="A51" s="916"/>
      <c r="B51" s="918"/>
      <c r="C51" s="919"/>
      <c r="D51" s="892"/>
      <c r="E51" s="920" t="s">
        <v>695</v>
      </c>
      <c r="F51" s="294">
        <f ca="1">F8</f>
        <v>0</v>
      </c>
      <c r="I51" s="1327" t="s">
        <v>826</v>
      </c>
      <c r="J51" s="1320">
        <f>IF(J49="",J50,J49+J50-YEAR('数据-取费表'!B2))</f>
        <v>0</v>
      </c>
      <c r="K51" s="1328" t="s">
        <v>827</v>
      </c>
      <c r="L51" s="1329">
        <f ca="1">ROUND(-PV(INDIRECT("'数据-取费表'!h"&amp;$G$1),J51,(C39-C13*C76),0),0)</f>
        <v>0</v>
      </c>
      <c r="M51" s="1330"/>
      <c r="O51" s="1323" t="s">
        <v>407</v>
      </c>
      <c r="P51" s="1315" t="s">
        <v>828</v>
      </c>
      <c r="Q51" s="1326">
        <f>J52</f>
        <v>0</v>
      </c>
      <c r="R51" s="1316"/>
    </row>
    <row r="52" spans="1:18" s="1281" customFormat="1" ht="13.5" thickBot="1">
      <c r="A52" s="916"/>
      <c r="B52" s="918"/>
      <c r="C52" s="919"/>
      <c r="D52" s="892"/>
      <c r="E52" s="920" t="s">
        <v>696</v>
      </c>
      <c r="F52" s="981"/>
      <c r="I52" s="1331" t="s">
        <v>829</v>
      </c>
      <c r="J52" s="1332"/>
      <c r="K52" s="1331" t="s">
        <v>830</v>
      </c>
      <c r="L52" s="1332"/>
      <c r="O52" s="1323" t="s">
        <v>408</v>
      </c>
      <c r="P52" s="1315" t="s">
        <v>831</v>
      </c>
      <c r="Q52" s="1316">
        <f ca="1">J53</f>
        <v>0</v>
      </c>
      <c r="R52" s="1316" t="s">
        <v>832</v>
      </c>
    </row>
    <row r="53" spans="1:18" s="1281" customFormat="1" ht="24.75" thickBot="1">
      <c r="A53" s="1069" t="s">
        <v>440</v>
      </c>
      <c r="B53" s="1270" t="s">
        <v>697</v>
      </c>
      <c r="C53" s="307">
        <f ca="1">ROUND(IF(F53="押一",C49/12*F11,IF(F53="押二",C49/12*2*F11,IF(F53="押三",C49/12*3*F11,C54*F11))),0)</f>
        <v>0</v>
      </c>
      <c r="D53" s="149" t="s">
        <v>2108</v>
      </c>
      <c r="E53" s="304" t="s">
        <v>698</v>
      </c>
      <c r="F53" s="1043"/>
      <c r="I53" s="1333" t="s">
        <v>833</v>
      </c>
      <c r="J53" s="1995">
        <f ca="1">IF(M47="住宅",IF(D1="——",MAX(J51,L48),MAX(J51,L48-'数据-取费表'!B24)),IF(D1="——",MIN(J51,L48),MIN(J51,L48-'数据-取费表'!B24)))</f>
        <v>0</v>
      </c>
      <c r="K53" s="3438" t="s">
        <v>834</v>
      </c>
      <c r="L53" s="3439"/>
      <c r="O53" s="1314" t="s">
        <v>409</v>
      </c>
      <c r="P53" s="1315" t="s">
        <v>835</v>
      </c>
      <c r="Q53" s="1316" t="e">
        <f ca="1">Q47+Q48</f>
        <v>#DIV/0!</v>
      </c>
      <c r="R53" s="1316" t="s">
        <v>410</v>
      </c>
    </row>
    <row r="54" spans="1:18" s="1281" customFormat="1" ht="13.5" thickBot="1">
      <c r="A54" s="1070"/>
      <c r="B54" s="1264" t="s">
        <v>676</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t="e">
        <f ca="1">ROUND(IF(J47="钢混",J57/J50,1-(1-2%)*(J50-J57)/J50),3)</f>
        <v>#DIV/0!</v>
      </c>
      <c r="K55" s="1339" t="s">
        <v>838</v>
      </c>
      <c r="L55" s="1340"/>
      <c r="O55" s="1307" t="s">
        <v>808</v>
      </c>
      <c r="P55" s="1308" t="s">
        <v>809</v>
      </c>
      <c r="Q55" s="1309" t="s">
        <v>810</v>
      </c>
      <c r="R55" s="1309" t="s">
        <v>811</v>
      </c>
    </row>
    <row r="56" spans="1:18" s="1281" customFormat="1" ht="25.5" thickTop="1" thickBot="1">
      <c r="A56" s="896">
        <v>2</v>
      </c>
      <c r="B56" s="897" t="s">
        <v>701</v>
      </c>
      <c r="C56" s="223">
        <f ca="1">C13</f>
        <v>0</v>
      </c>
      <c r="D56" s="1341"/>
      <c r="E56" s="1342"/>
      <c r="F56" s="1334"/>
      <c r="I56" s="1343" t="s">
        <v>839</v>
      </c>
      <c r="J56" s="1344"/>
      <c r="K56" s="1317" t="s">
        <v>840</v>
      </c>
      <c r="L56" s="1320">
        <f ca="1">IF(L48&lt;J51,"——",L48-J53)</f>
        <v>0</v>
      </c>
      <c r="O56" s="1314" t="s">
        <v>403</v>
      </c>
      <c r="P56" s="1315" t="s">
        <v>814</v>
      </c>
      <c r="Q56" s="1316" t="e">
        <f ca="1">C40+J29</f>
        <v>#DIV/0!</v>
      </c>
      <c r="R56" s="1316" t="s">
        <v>815</v>
      </c>
    </row>
    <row r="57" spans="1:18" s="1281" customFormat="1" ht="24.75" thickBot="1">
      <c r="A57" s="1345"/>
      <c r="B57" s="889" t="s">
        <v>764</v>
      </c>
      <c r="C57" s="229">
        <f ca="1">C29</f>
        <v>0</v>
      </c>
      <c r="D57" s="1346"/>
      <c r="E57" s="1347"/>
      <c r="F57" s="1348"/>
      <c r="I57" s="1349" t="s">
        <v>841</v>
      </c>
      <c r="J57" s="1350">
        <f ca="1">IF(OR(M47="住宅",J51&lt;L48,J56="是"),"——",J51-L48)</f>
        <v>0</v>
      </c>
      <c r="K57" s="1317" t="s">
        <v>842</v>
      </c>
      <c r="L57" s="1320">
        <f ca="1">IF(L48&lt;J51,"——",IF(L55="比较法",L49,IF(L55="基准地价",L50,L51)))</f>
        <v>0</v>
      </c>
      <c r="O57" s="1314" t="s">
        <v>404</v>
      </c>
      <c r="P57" s="1315" t="s">
        <v>843</v>
      </c>
      <c r="Q57" s="1316" t="e">
        <f ca="1">L60</f>
        <v>#DIV/0!</v>
      </c>
      <c r="R57" s="1316" t="s">
        <v>844</v>
      </c>
    </row>
    <row r="58" spans="1:18" s="1281" customFormat="1" ht="24.75" thickBot="1">
      <c r="A58" s="306" t="s">
        <v>393</v>
      </c>
      <c r="B58" s="897" t="s">
        <v>711</v>
      </c>
      <c r="C58" s="307">
        <f ca="1">ROUND(C59+C64+C65+C66,0)</f>
        <v>0</v>
      </c>
      <c r="D58" s="899" t="s">
        <v>712</v>
      </c>
      <c r="E58" s="900"/>
      <c r="F58" s="901"/>
      <c r="I58" s="1349" t="s">
        <v>845</v>
      </c>
      <c r="J58" s="1351" t="e">
        <f ca="1">IF(J55&lt;0.4,0.4,J55)</f>
        <v>#DIV/0!</v>
      </c>
      <c r="K58" s="1328" t="s">
        <v>846</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t="e">
        <f ca="1">IF(OR(M47="住宅",J51&lt;L48,J56="是"),"——",ROUND(C29*J58,0))</f>
        <v>#DIV/0!</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IF(项目基本情况!B11="自然人","——",ROUND(C48*F60/(1+'数据-取费表'!C42),2))</f>
        <v>0</v>
      </c>
      <c r="D60" s="903" t="s">
        <v>721</v>
      </c>
      <c r="E60" s="889" t="s">
        <v>709</v>
      </c>
      <c r="F60" s="321">
        <f t="shared" ref="F60:F66" si="0">F32</f>
        <v>5.6000000000000001E-2</v>
      </c>
      <c r="I60" s="1352" t="s">
        <v>850</v>
      </c>
      <c r="J60" s="1353" t="e">
        <f ca="1">IF(OR(M47="住宅",J51&lt;L48,J56="是"),"0",ROUND(J59/(1+J52)^J53,0))</f>
        <v>#DIV/0!</v>
      </c>
      <c r="K60" s="1354" t="s">
        <v>851</v>
      </c>
      <c r="L60" s="1353" t="e">
        <f ca="1">IF(OR(M47="住宅",L48&lt;J51),0,ROUND(L57*(L58/L59-1),0))</f>
        <v>#DIV/0!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IF(项目基本情况!B11="自然人","——",IF(D61="按租金收入计税",ROUND(C49*F61/(1+'数据-取费表'!C42),2),IF(D61="按房产原值计税",ROUND(C57*F61*0.7,2),INDIRECT("'数据-取费表'!Aj"&amp;$G$1))))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IF(项目基本情况!B11="自然人","——",ROUND(F62*F63/10000,2))</f>
        <v>0</v>
      </c>
      <c r="D62" s="904" t="s">
        <v>783</v>
      </c>
      <c r="E62" s="889" t="s">
        <v>784</v>
      </c>
      <c r="F62" s="316">
        <f t="shared" si="0"/>
        <v>1.5</v>
      </c>
      <c r="I62" s="1356" t="s">
        <v>855</v>
      </c>
      <c r="J62" s="609" t="s">
        <v>856</v>
      </c>
      <c r="K62" s="609" t="s">
        <v>857</v>
      </c>
      <c r="L62" s="609" t="s">
        <v>858</v>
      </c>
      <c r="M62" s="1357" t="s">
        <v>859</v>
      </c>
      <c r="O62" s="1314" t="s">
        <v>409</v>
      </c>
      <c r="P62" s="1315" t="s">
        <v>860</v>
      </c>
      <c r="Q62" s="1316" t="e">
        <f ca="1">Q56+Q57</f>
        <v>#DIV/0!</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ROUND(C57*F64,2)</f>
        <v>0</v>
      </c>
      <c r="D64" s="903" t="s">
        <v>788</v>
      </c>
      <c r="E64" s="889" t="s">
        <v>780</v>
      </c>
      <c r="F64" s="319">
        <f t="shared" ca="1" si="0"/>
        <v>0</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ROUND(C56*F65,2)</f>
        <v>0</v>
      </c>
      <c r="D65" s="903" t="s">
        <v>740</v>
      </c>
      <c r="E65" s="889" t="s">
        <v>741</v>
      </c>
      <c r="F65" s="320">
        <f t="shared" ca="1" si="0"/>
        <v>0</v>
      </c>
      <c r="I65" s="1356" t="s">
        <v>864</v>
      </c>
      <c r="J65" s="609">
        <v>40</v>
      </c>
      <c r="K65" s="609">
        <v>30</v>
      </c>
      <c r="L65" s="609">
        <v>50</v>
      </c>
      <c r="M65" s="1358">
        <v>0.02</v>
      </c>
      <c r="O65" s="1314" t="s">
        <v>403</v>
      </c>
      <c r="P65" s="1315" t="s">
        <v>865</v>
      </c>
      <c r="Q65" s="1316" t="e">
        <f ca="1">C40+J29</f>
        <v>#DIV/0!</v>
      </c>
      <c r="R65" s="1316" t="s">
        <v>815</v>
      </c>
    </row>
    <row r="66" spans="1:18" s="1281" customFormat="1" ht="16.5" thickBot="1">
      <c r="A66" s="921" t="s">
        <v>790</v>
      </c>
      <c r="B66" s="889" t="s">
        <v>725</v>
      </c>
      <c r="C66" s="21">
        <f ca="1">ROUND(C48*F66,2)</f>
        <v>0</v>
      </c>
      <c r="D66" s="903" t="s">
        <v>791</v>
      </c>
      <c r="E66" s="889" t="s">
        <v>709</v>
      </c>
      <c r="F66" s="303">
        <f t="shared" ca="1" si="0"/>
        <v>0</v>
      </c>
      <c r="O66" s="1314" t="s">
        <v>404</v>
      </c>
      <c r="P66" s="1315" t="s">
        <v>843</v>
      </c>
      <c r="Q66" s="1316" t="e">
        <f ca="1">L60</f>
        <v>#DIV/0!</v>
      </c>
      <c r="R66" s="1316" t="s">
        <v>866</v>
      </c>
    </row>
    <row r="67" spans="1:18" s="1281" customFormat="1" ht="16.5" thickBot="1">
      <c r="A67" s="896" t="s">
        <v>394</v>
      </c>
      <c r="B67" s="906" t="s">
        <v>749</v>
      </c>
      <c r="C67" s="307">
        <f ca="1">C48-C58</f>
        <v>0</v>
      </c>
      <c r="D67" s="902" t="s">
        <v>750</v>
      </c>
      <c r="E67" s="907"/>
      <c r="F67" s="908"/>
      <c r="O67" s="1323" t="s">
        <v>405</v>
      </c>
      <c r="P67" s="1315" t="s">
        <v>847</v>
      </c>
      <c r="Q67" s="1359">
        <f ca="1">L51</f>
        <v>0</v>
      </c>
      <c r="R67" s="1316" t="s">
        <v>867</v>
      </c>
    </row>
    <row r="68" spans="1:18" s="1281" customFormat="1" ht="16.5" thickBot="1">
      <c r="A68" s="886" t="s">
        <v>395</v>
      </c>
      <c r="B68" s="887" t="s">
        <v>771</v>
      </c>
      <c r="C68" s="292" t="e">
        <f ca="1">ROUND(C67*(1-((1+F70)/(1+F68))^F69)/(F68-F70),0)</f>
        <v>#DIV/0!</v>
      </c>
      <c r="D68" s="904" t="s">
        <v>755</v>
      </c>
      <c r="E68" s="889" t="s">
        <v>756</v>
      </c>
      <c r="F68" s="303">
        <f ca="1">F40</f>
        <v>0</v>
      </c>
      <c r="O68" s="1323" t="s">
        <v>406</v>
      </c>
      <c r="P68" s="1360" t="s">
        <v>868</v>
      </c>
      <c r="Q68" s="1316">
        <f ca="1">ROUND(Q69-Q70*Q71,0)</f>
        <v>0</v>
      </c>
      <c r="R68" s="1316" t="s">
        <v>414</v>
      </c>
    </row>
    <row r="69" spans="1:18" s="1281" customFormat="1" ht="13.5" thickBot="1">
      <c r="A69" s="890"/>
      <c r="B69" s="891"/>
      <c r="C69" s="297"/>
      <c r="D69" s="909" t="s">
        <v>759</v>
      </c>
      <c r="E69" s="889" t="s">
        <v>760</v>
      </c>
      <c r="F69" s="323">
        <f ca="1">F41</f>
        <v>0</v>
      </c>
      <c r="O69" s="1323" t="s">
        <v>411</v>
      </c>
      <c r="P69" s="1360" t="s">
        <v>869</v>
      </c>
      <c r="Q69" s="1316">
        <f ca="1">C39</f>
        <v>0</v>
      </c>
      <c r="R69" s="1316" t="s">
        <v>815</v>
      </c>
    </row>
    <row r="70" spans="1:18" s="1281" customFormat="1" ht="13.5" thickBot="1">
      <c r="A70" s="893"/>
      <c r="B70" s="894"/>
      <c r="C70" s="301"/>
      <c r="D70" s="905"/>
      <c r="E70" s="889" t="s">
        <v>763</v>
      </c>
      <c r="F70" s="981"/>
      <c r="O70" s="1323" t="s">
        <v>412</v>
      </c>
      <c r="P70" s="1360" t="s">
        <v>870</v>
      </c>
      <c r="Q70" s="1316">
        <f ca="1">C13</f>
        <v>0</v>
      </c>
      <c r="R70" s="1316" t="s">
        <v>815</v>
      </c>
    </row>
    <row r="71" spans="1:18" s="1281" customFormat="1" ht="13.5" thickBot="1">
      <c r="A71" s="910" t="s">
        <v>396</v>
      </c>
      <c r="B71" s="911" t="s">
        <v>773</v>
      </c>
      <c r="C71" s="326" t="e">
        <f ca="1">ROUND(C68*10000/F71,0)</f>
        <v>#DIV/0!</v>
      </c>
      <c r="D71" s="912" t="s">
        <v>774</v>
      </c>
      <c r="E71" s="913" t="s">
        <v>775</v>
      </c>
      <c r="F71" s="329">
        <f ca="1">F43</f>
        <v>0</v>
      </c>
      <c r="O71" s="1323" t="s">
        <v>413</v>
      </c>
      <c r="P71" s="1360" t="s">
        <v>871</v>
      </c>
      <c r="Q71" s="1326">
        <f ca="1">C76</f>
        <v>0</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0</v>
      </c>
      <c r="D75" s="1281"/>
      <c r="E75" s="1281"/>
      <c r="F75" s="1281"/>
      <c r="K75" s="1298"/>
      <c r="L75" s="1281"/>
      <c r="O75" s="1314" t="s">
        <v>409</v>
      </c>
      <c r="P75" s="1315" t="s">
        <v>835</v>
      </c>
      <c r="Q75" s="1316" t="e">
        <f ca="1">Q65+Q66</f>
        <v>#DIV/0!</v>
      </c>
      <c r="R75" s="1316" t="s">
        <v>410</v>
      </c>
    </row>
    <row r="76" spans="1:18">
      <c r="B76" s="332" t="s">
        <v>793</v>
      </c>
      <c r="C76" s="333">
        <f ca="1">INDIRECT("'数据-取费表'!j"&amp;$G$1)</f>
        <v>0</v>
      </c>
      <c r="I76" s="1281"/>
      <c r="J76" s="1281"/>
      <c r="K76" s="1298"/>
      <c r="L76" s="1281"/>
    </row>
    <row r="77" spans="1:18">
      <c r="B77" s="334" t="s">
        <v>794</v>
      </c>
      <c r="C77" s="335"/>
      <c r="I77" s="1281"/>
      <c r="J77" s="1281"/>
      <c r="K77" s="1298"/>
      <c r="L77" s="1281"/>
    </row>
    <row r="78" spans="1:18">
      <c r="B78" s="261" t="s">
        <v>795</v>
      </c>
      <c r="C78" s="336"/>
    </row>
    <row r="79" spans="1:18">
      <c r="B79" s="330" t="s">
        <v>796</v>
      </c>
      <c r="C79" s="265" t="e">
        <f ca="1">1-C80</f>
        <v>#DIV/0!</v>
      </c>
    </row>
    <row r="80" spans="1:18">
      <c r="B80" s="330" t="s">
        <v>797</v>
      </c>
      <c r="C80" s="265" t="e">
        <f ca="1">ROUND(C75/C39,3)</f>
        <v>#DIV/0!</v>
      </c>
    </row>
    <row r="81" spans="2:3">
      <c r="B81" s="261" t="s">
        <v>798</v>
      </c>
      <c r="C81" s="229"/>
    </row>
    <row r="82" spans="2:3">
      <c r="B82" s="264" t="s">
        <v>799</v>
      </c>
      <c r="C82" s="266" t="e">
        <f ca="1">1-C83</f>
        <v>#DIV/0!</v>
      </c>
    </row>
    <row r="83" spans="2:3">
      <c r="B83" s="264" t="s">
        <v>800</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8" priority="3">
      <formula>$F$10="自定义"</formula>
    </cfRule>
  </conditionalFormatting>
  <conditionalFormatting sqref="C54">
    <cfRule type="expression" dxfId="157" priority="1">
      <formula>$F$53="自定义"</formula>
    </cfRule>
  </conditionalFormatting>
  <conditionalFormatting sqref="I55 I60">
    <cfRule type="expression" dxfId="156" priority="57">
      <formula>$J$51&gt;$L$48</formula>
    </cfRule>
  </conditionalFormatting>
  <conditionalFormatting sqref="J11">
    <cfRule type="expression" dxfId="155" priority="2">
      <formula>$M$10="自定义"</formula>
    </cfRule>
  </conditionalFormatting>
  <conditionalFormatting sqref="K55 K60">
    <cfRule type="expression" dxfId="154"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AB45-0B6A-4210-B3B9-C69477B3C4D4}">
  <sheetPr>
    <tabColor rgb="FF92D050"/>
    <pageSetUpPr fitToPage="1"/>
  </sheetPr>
  <dimension ref="A1:AC132"/>
  <sheetViews>
    <sheetView view="pageBreakPreview" topLeftCell="D31" zoomScaleNormal="70" zoomScaleSheetLayoutView="100" workbookViewId="0">
      <selection activeCell="J29" sqref="J2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4026</v>
      </c>
      <c r="F1" s="1724" t="s">
        <v>4080</v>
      </c>
      <c r="G1" s="1142" t="s">
        <v>1660</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682</v>
      </c>
      <c r="B2" s="1075">
        <f>IF(E1="项目模式",IF(C2="——",ROUND(C50*D3/10000,0),ROUND(C50*D3/10000,0)-D2),IF(E1="单套模式",IF(C2="——",ROUND(C50*D3/10000,4),ROUND(C50*D3/10000,4)-D2)))</f>
        <v>1.24E-2</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683</v>
      </c>
      <c r="B3" s="535">
        <f>IF(C2="——",C50,ROUND(B2*10000/D3,0))</f>
        <v>2.4</v>
      </c>
      <c r="C3" s="343" t="s">
        <v>1662</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1663</v>
      </c>
      <c r="B4" s="345"/>
      <c r="C4" s="3406" t="s">
        <v>1664</v>
      </c>
      <c r="D4" s="3407"/>
      <c r="E4" s="3408" t="s">
        <v>1665</v>
      </c>
      <c r="F4" s="3409"/>
      <c r="G4" s="3406" t="s">
        <v>1666</v>
      </c>
      <c r="H4" s="3407"/>
      <c r="I4" s="3406" t="s">
        <v>1667</v>
      </c>
      <c r="J4" s="3407"/>
      <c r="K4" s="536" t="s">
        <v>1668</v>
      </c>
      <c r="L4" s="2474"/>
      <c r="M4" s="2475"/>
      <c r="N4" s="2475"/>
      <c r="O4" s="2475"/>
      <c r="P4" s="3410" t="s">
        <v>1669</v>
      </c>
      <c r="Q4" s="3411"/>
      <c r="R4" s="3389" t="s">
        <v>1665</v>
      </c>
      <c r="S4" s="3390"/>
      <c r="T4" s="3389" t="s">
        <v>1666</v>
      </c>
      <c r="U4" s="3390"/>
      <c r="V4" s="3418" t="s">
        <v>1667</v>
      </c>
      <c r="W4" s="3418"/>
      <c r="X4" s="1798"/>
      <c r="Y4" s="3389" t="s">
        <v>1669</v>
      </c>
      <c r="Z4" s="3390"/>
      <c r="AA4" s="3384" t="s">
        <v>1665</v>
      </c>
      <c r="AB4" s="3384" t="s">
        <v>1666</v>
      </c>
      <c r="AC4" s="3403" t="s">
        <v>1667</v>
      </c>
    </row>
    <row r="5" spans="1:29" ht="15" customHeight="1">
      <c r="A5" s="347"/>
      <c r="B5" s="348"/>
      <c r="C5" s="3395" t="s">
        <v>1670</v>
      </c>
      <c r="D5" s="3396"/>
      <c r="E5" s="3399" t="s">
        <v>4079</v>
      </c>
      <c r="F5" s="3396"/>
      <c r="G5" s="3393" t="s">
        <v>4081</v>
      </c>
      <c r="H5" s="3394"/>
      <c r="I5" s="3399" t="s">
        <v>4082</v>
      </c>
      <c r="J5" s="3396"/>
      <c r="K5" s="536"/>
      <c r="L5" s="2474"/>
      <c r="M5" s="2475"/>
      <c r="N5" s="2475"/>
      <c r="O5" s="2475"/>
      <c r="P5" s="3412"/>
      <c r="Q5" s="3413"/>
      <c r="R5" s="3391"/>
      <c r="S5" s="3392"/>
      <c r="T5" s="3391"/>
      <c r="U5" s="3392"/>
      <c r="V5" s="3419"/>
      <c r="W5" s="3419"/>
      <c r="X5" s="1254"/>
      <c r="Y5" s="3391"/>
      <c r="Z5" s="3392"/>
      <c r="AA5" s="3385"/>
      <c r="AB5" s="3385"/>
      <c r="AC5" s="3404"/>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14"/>
      <c r="Q6" s="3415"/>
      <c r="R6" s="3391"/>
      <c r="S6" s="3392"/>
      <c r="T6" s="3416"/>
      <c r="U6" s="3417"/>
      <c r="V6" s="3419"/>
      <c r="W6" s="3419"/>
      <c r="X6" s="1254"/>
      <c r="Y6" s="3416"/>
      <c r="Z6" s="3417"/>
      <c r="AA6" s="3386"/>
      <c r="AB6" s="3386"/>
      <c r="AC6" s="3405"/>
    </row>
    <row r="7" spans="1:29" s="102" customFormat="1" ht="15.75" thickBot="1">
      <c r="A7" s="351" t="s">
        <v>1676</v>
      </c>
      <c r="B7" s="352"/>
      <c r="C7" s="353">
        <f>'数据-取费表'!B2</f>
        <v>45596</v>
      </c>
      <c r="D7" s="354">
        <v>100</v>
      </c>
      <c r="E7" s="355">
        <v>45566</v>
      </c>
      <c r="F7" s="356">
        <f>SUMIF(59:59,YEAR(E7)&amp;"-"&amp;MONTH(E7),60:60)</f>
        <v>100</v>
      </c>
      <c r="G7" s="355">
        <v>45566</v>
      </c>
      <c r="H7" s="354">
        <f>SUMIF(59:59,YEAR(G7)&amp;"-"&amp;MONTH(G7),60:60)</f>
        <v>100</v>
      </c>
      <c r="I7" s="355">
        <v>45566</v>
      </c>
      <c r="J7" s="354">
        <f>SUMIF(59:59,YEAR(I7)&amp;"-"&amp;MONTH(I7),60:60)</f>
        <v>100</v>
      </c>
      <c r="K7" s="38"/>
      <c r="L7" s="2476"/>
      <c r="M7" s="2427"/>
      <c r="N7" s="2427"/>
      <c r="O7" s="2427"/>
      <c r="P7" s="3420"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796">
        <f>D7/J7</f>
        <v>1</v>
      </c>
    </row>
    <row r="8" spans="1:29" s="102" customFormat="1" ht="15.75" thickBot="1">
      <c r="A8" s="351" t="s">
        <v>1678</v>
      </c>
      <c r="B8" s="352"/>
      <c r="C8" s="357" t="s">
        <v>4010</v>
      </c>
      <c r="D8" s="354">
        <v>100</v>
      </c>
      <c r="E8" s="357" t="s">
        <v>4028</v>
      </c>
      <c r="F8" s="356">
        <f>SUMIF(62:62,E8,63:63)-SUMIF(62:62,C8,63:63)+100</f>
        <v>102</v>
      </c>
      <c r="G8" s="357" t="s">
        <v>4028</v>
      </c>
      <c r="H8" s="354">
        <f>SUMIF(62:62,G8,63:63)-SUMIF(62:62,C8,63:63)+100</f>
        <v>102</v>
      </c>
      <c r="I8" s="357" t="s">
        <v>4028</v>
      </c>
      <c r="J8" s="354">
        <f>SUMIF(62:62,I8,63:63)-SUMIF(62:62,C8,63:63)+100</f>
        <v>102</v>
      </c>
      <c r="K8" s="38"/>
      <c r="L8" s="2476"/>
      <c r="M8" s="2427"/>
      <c r="N8" s="2427"/>
      <c r="O8" s="2427"/>
      <c r="P8" s="3420" t="s">
        <v>1680</v>
      </c>
      <c r="Q8" s="3388"/>
      <c r="R8" s="660" t="s">
        <v>14</v>
      </c>
      <c r="S8" s="661">
        <f t="shared" si="0"/>
        <v>102</v>
      </c>
      <c r="T8" s="660" t="s">
        <v>14</v>
      </c>
      <c r="U8" s="661">
        <f t="shared" si="1"/>
        <v>102</v>
      </c>
      <c r="V8" s="660" t="s">
        <v>14</v>
      </c>
      <c r="W8" s="661">
        <f t="shared" si="2"/>
        <v>102</v>
      </c>
      <c r="X8" s="662"/>
      <c r="Y8" s="3387" t="s">
        <v>1680</v>
      </c>
      <c r="Z8" s="3388"/>
      <c r="AA8" s="50">
        <f t="shared" ref="AA8:AA47" si="3">D8/F8</f>
        <v>0.98039215686274506</v>
      </c>
      <c r="AB8" s="50">
        <f t="shared" ref="AB8:AB47" si="4">D8/H8</f>
        <v>0.98039215686274506</v>
      </c>
      <c r="AC8" s="796">
        <f t="shared" ref="AC8:AC47" si="5">D8/J8</f>
        <v>0.98039215686274506</v>
      </c>
    </row>
    <row r="9" spans="1:29" s="102" customFormat="1">
      <c r="A9" s="358" t="s">
        <v>1681</v>
      </c>
      <c r="B9" s="60" t="s">
        <v>1682</v>
      </c>
      <c r="C9" s="3164" t="s">
        <v>4021</v>
      </c>
      <c r="D9" s="59">
        <v>100</v>
      </c>
      <c r="E9" s="361" t="s">
        <v>21</v>
      </c>
      <c r="F9" s="59">
        <f>SUMIF(64:64,E9,65:65)-SUMIF(64:64,C9,65:65)+100</f>
        <v>100</v>
      </c>
      <c r="G9" s="361" t="s">
        <v>21</v>
      </c>
      <c r="H9" s="59">
        <f>SUMIF(64:64,G9,65:65)-SUMIF(64:64,C9,65:65)+100</f>
        <v>100</v>
      </c>
      <c r="I9" s="361" t="s">
        <v>4087</v>
      </c>
      <c r="J9" s="59">
        <f>SUMIF(64:64,I9,65:65)-SUMIF(64:64,C9,65:65)+100</f>
        <v>95</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95</v>
      </c>
      <c r="X9" s="662"/>
      <c r="Y9" s="3360" t="s">
        <v>1684</v>
      </c>
      <c r="Z9" s="50" t="str">
        <f t="shared" ref="Z9:Z15" si="7">Q9</f>
        <v>用途</v>
      </c>
      <c r="AA9" s="50">
        <f t="shared" si="3"/>
        <v>1</v>
      </c>
      <c r="AB9" s="50">
        <f t="shared" si="4"/>
        <v>1</v>
      </c>
      <c r="AC9" s="796">
        <f t="shared" si="5"/>
        <v>1.0526315789473684</v>
      </c>
    </row>
    <row r="10" spans="1:29" s="365" customFormat="1" ht="27">
      <c r="A10" s="362"/>
      <c r="B10" s="363" t="s">
        <v>1685</v>
      </c>
      <c r="C10" s="367" t="s">
        <v>4030</v>
      </c>
      <c r="D10" s="118">
        <v>100</v>
      </c>
      <c r="E10" s="3167" t="s">
        <v>4031</v>
      </c>
      <c r="F10" s="118">
        <f>SUMIF(66:66,E10,67:67)-SUMIF(66:66,C10,67:67)+100</f>
        <v>102</v>
      </c>
      <c r="G10" s="3167" t="s">
        <v>4031</v>
      </c>
      <c r="H10" s="118">
        <f>SUMIF(66:66,G10,67:67)-SUMIF(66:66,C10,67:67)+100</f>
        <v>102</v>
      </c>
      <c r="I10" s="3167" t="s">
        <v>4031</v>
      </c>
      <c r="J10" s="118">
        <f>SUMIF(66:66,I10,67:67)-SUMIF(66:66,C10,67:67)+100</f>
        <v>102</v>
      </c>
      <c r="K10" s="38"/>
      <c r="L10" s="2477"/>
      <c r="M10" s="2478"/>
      <c r="N10" s="2478"/>
      <c r="O10" s="2478"/>
      <c r="P10" s="3402"/>
      <c r="Q10" s="529" t="str">
        <f t="shared" si="6"/>
        <v>土地使用年限（年）</v>
      </c>
      <c r="R10" s="660" t="s">
        <v>14</v>
      </c>
      <c r="S10" s="661">
        <f t="shared" si="0"/>
        <v>102</v>
      </c>
      <c r="T10" s="660" t="s">
        <v>14</v>
      </c>
      <c r="U10" s="661">
        <f t="shared" si="1"/>
        <v>102</v>
      </c>
      <c r="V10" s="660" t="s">
        <v>14</v>
      </c>
      <c r="W10" s="661">
        <f t="shared" si="2"/>
        <v>102</v>
      </c>
      <c r="X10" s="662"/>
      <c r="Y10" s="3360"/>
      <c r="Z10" s="50" t="str">
        <f t="shared" si="7"/>
        <v>土地使用年限（年）</v>
      </c>
      <c r="AA10" s="50">
        <f t="shared" si="3"/>
        <v>0.98039215686274506</v>
      </c>
      <c r="AB10" s="50">
        <f t="shared" si="4"/>
        <v>0.98039215686274506</v>
      </c>
      <c r="AC10" s="796">
        <f t="shared" si="5"/>
        <v>0.98039215686274506</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422" t="s">
        <v>1688</v>
      </c>
      <c r="Q15" s="1252" t="str">
        <f t="shared" si="6"/>
        <v>办公集聚程度</v>
      </c>
      <c r="R15" s="663" t="s">
        <v>14</v>
      </c>
      <c r="S15" s="664">
        <f t="shared" si="0"/>
        <v>100</v>
      </c>
      <c r="T15" s="663" t="s">
        <v>14</v>
      </c>
      <c r="U15" s="664">
        <f t="shared" si="1"/>
        <v>100</v>
      </c>
      <c r="V15" s="663" t="s">
        <v>14</v>
      </c>
      <c r="W15" s="664">
        <f t="shared" si="2"/>
        <v>100</v>
      </c>
      <c r="X15" s="1254"/>
      <c r="Y15" s="3424" t="s">
        <v>1688</v>
      </c>
      <c r="Z15" s="1253" t="str">
        <f t="shared" si="7"/>
        <v>办公集聚程度</v>
      </c>
      <c r="AA15" s="1253">
        <f t="shared" si="3"/>
        <v>1</v>
      </c>
      <c r="AB15" s="1253">
        <f t="shared" si="4"/>
        <v>1</v>
      </c>
      <c r="AC15" s="1801">
        <f t="shared" si="5"/>
        <v>1</v>
      </c>
    </row>
    <row r="16" spans="1:29" ht="15">
      <c r="A16" s="366"/>
      <c r="B16" s="554"/>
      <c r="C16" s="1747" t="s">
        <v>4005</v>
      </c>
      <c r="D16" s="386"/>
      <c r="E16" s="1747" t="s">
        <v>4005</v>
      </c>
      <c r="F16" s="386"/>
      <c r="G16" s="1747" t="s">
        <v>4005</v>
      </c>
      <c r="H16" s="388"/>
      <c r="I16" s="1747" t="s">
        <v>4005</v>
      </c>
      <c r="J16" s="386"/>
      <c r="K16" s="540"/>
      <c r="L16" s="2480"/>
      <c r="M16" s="2475"/>
      <c r="N16" s="2475"/>
      <c r="O16" s="2475"/>
      <c r="P16" s="3423"/>
      <c r="Q16" s="1252"/>
      <c r="R16" s="663"/>
      <c r="S16" s="664"/>
      <c r="T16" s="663"/>
      <c r="U16" s="664"/>
      <c r="V16" s="663"/>
      <c r="W16" s="664"/>
      <c r="X16" s="1254"/>
      <c r="Y16" s="3425"/>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100</v>
      </c>
      <c r="K17" s="539">
        <v>2</v>
      </c>
      <c r="L17" s="2480"/>
      <c r="M17" s="2475"/>
      <c r="N17" s="2475"/>
      <c r="O17" s="2475"/>
      <c r="P17" s="3423"/>
      <c r="Q17" s="1252" t="str">
        <f>B17</f>
        <v>交通便捷度</v>
      </c>
      <c r="R17" s="663" t="s">
        <v>14</v>
      </c>
      <c r="S17" s="664">
        <f>F17</f>
        <v>100</v>
      </c>
      <c r="T17" s="663" t="s">
        <v>14</v>
      </c>
      <c r="U17" s="664">
        <f>H17</f>
        <v>100</v>
      </c>
      <c r="V17" s="663" t="s">
        <v>14</v>
      </c>
      <c r="W17" s="664">
        <f>J17</f>
        <v>100</v>
      </c>
      <c r="X17" s="1254"/>
      <c r="Y17" s="3425"/>
      <c r="Z17" s="1253" t="str">
        <f>Q17</f>
        <v>交通便捷度</v>
      </c>
      <c r="AA17" s="1253">
        <f t="shared" si="3"/>
        <v>1</v>
      </c>
      <c r="AB17" s="1253">
        <f t="shared" si="4"/>
        <v>1</v>
      </c>
      <c r="AC17" s="1801">
        <f t="shared" si="5"/>
        <v>1</v>
      </c>
    </row>
    <row r="18" spans="1:29" ht="15">
      <c r="A18" s="366"/>
      <c r="B18" s="400"/>
      <c r="C18" s="1747" t="s">
        <v>4005</v>
      </c>
      <c r="D18" s="388"/>
      <c r="E18" s="1747" t="s">
        <v>4005</v>
      </c>
      <c r="F18" s="388"/>
      <c r="G18" s="1747" t="s">
        <v>4005</v>
      </c>
      <c r="H18" s="386"/>
      <c r="I18" s="1747" t="s">
        <v>4005</v>
      </c>
      <c r="J18" s="386"/>
      <c r="K18" s="540"/>
      <c r="L18" s="2480"/>
      <c r="M18" s="2475"/>
      <c r="N18" s="2475"/>
      <c r="O18" s="2475"/>
      <c r="P18" s="3423"/>
      <c r="Q18" s="1252"/>
      <c r="R18" s="663"/>
      <c r="S18" s="664"/>
      <c r="T18" s="663"/>
      <c r="U18" s="664"/>
      <c r="V18" s="663"/>
      <c r="W18" s="664"/>
      <c r="X18" s="1254"/>
      <c r="Y18" s="3425"/>
      <c r="Z18" s="1253"/>
      <c r="AA18" s="1253">
        <v>1</v>
      </c>
      <c r="AB18" s="1253">
        <v>1</v>
      </c>
      <c r="AC18" s="1801">
        <v>1</v>
      </c>
    </row>
    <row r="19" spans="1:29" ht="15">
      <c r="A19" s="366"/>
      <c r="B19" s="555" t="s">
        <v>1809</v>
      </c>
      <c r="C19" s="1802" t="str">
        <f>估价对象房地状况!C7</f>
        <v>较好</v>
      </c>
      <c r="D19" s="393">
        <v>100</v>
      </c>
      <c r="E19" s="397"/>
      <c r="F19" s="393">
        <f>SUMIF(81:81,E20,82:82)-SUMIF(81:81,C20,82:82)+100</f>
        <v>100</v>
      </c>
      <c r="G19" s="397"/>
      <c r="H19" s="388">
        <f>SUMIF(81:81,G20,82:82)-SUMIF(81:81,C20,82:82)+100</f>
        <v>100</v>
      </c>
      <c r="I19" s="395"/>
      <c r="J19" s="388">
        <f>SUMIF(81:81,I20,82:82)-SUMIF(81:81,C20,82:82)+100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801">
        <f t="shared" si="5"/>
        <v>1</v>
      </c>
    </row>
    <row r="20" spans="1:29" ht="15">
      <c r="A20" s="366"/>
      <c r="B20" s="400"/>
      <c r="C20" s="1747" t="s">
        <v>4024</v>
      </c>
      <c r="D20" s="386"/>
      <c r="E20" s="1747" t="s">
        <v>4024</v>
      </c>
      <c r="F20" s="386"/>
      <c r="G20" s="1747" t="s">
        <v>4024</v>
      </c>
      <c r="H20" s="386"/>
      <c r="I20" s="1747" t="s">
        <v>4024</v>
      </c>
      <c r="J20" s="386"/>
      <c r="K20" s="540"/>
      <c r="L20" s="2480"/>
      <c r="M20" s="2475"/>
      <c r="N20" s="2475"/>
      <c r="O20" s="2475"/>
      <c r="P20" s="3423"/>
      <c r="Q20" s="1252"/>
      <c r="R20" s="663"/>
      <c r="S20" s="664"/>
      <c r="T20" s="663"/>
      <c r="U20" s="664"/>
      <c r="V20" s="663"/>
      <c r="W20" s="664"/>
      <c r="X20" s="1254"/>
      <c r="Y20" s="3425"/>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801">
        <f t="shared" ref="AC21" si="10">D21/J21</f>
        <v>1</v>
      </c>
    </row>
    <row r="22" spans="1:29" ht="15">
      <c r="A22" s="366"/>
      <c r="B22" s="556"/>
      <c r="C22" s="1803" t="s">
        <v>4007</v>
      </c>
      <c r="D22" s="386"/>
      <c r="E22" s="1803" t="s">
        <v>4007</v>
      </c>
      <c r="F22" s="386"/>
      <c r="G22" s="1803" t="s">
        <v>4007</v>
      </c>
      <c r="H22" s="386"/>
      <c r="I22" s="1803" t="s">
        <v>4007</v>
      </c>
      <c r="J22" s="386"/>
      <c r="K22" s="1054"/>
      <c r="L22" s="2480"/>
      <c r="M22" s="2475"/>
      <c r="N22" s="2475"/>
      <c r="O22" s="2475"/>
      <c r="P22" s="3423"/>
      <c r="Q22" s="1252"/>
      <c r="R22" s="663"/>
      <c r="S22" s="664"/>
      <c r="T22" s="663"/>
      <c r="U22" s="664"/>
      <c r="V22" s="663"/>
      <c r="W22" s="664"/>
      <c r="X22" s="1254"/>
      <c r="Y22" s="3425"/>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100</v>
      </c>
      <c r="I23" s="390"/>
      <c r="J23" s="388">
        <f>SUMIF(85:85,I24,86:86)-SUMIF(85:85,C24,86:86)+100</f>
        <v>100</v>
      </c>
      <c r="K23" s="539">
        <v>2</v>
      </c>
      <c r="L23" s="2480"/>
      <c r="M23" s="2475"/>
      <c r="N23" s="2475"/>
      <c r="O23" s="2475"/>
      <c r="P23" s="3423"/>
      <c r="Q23" s="1252" t="str">
        <f>B23</f>
        <v>环境质量</v>
      </c>
      <c r="R23" s="663" t="s">
        <v>14</v>
      </c>
      <c r="S23" s="664">
        <f>F23</f>
        <v>100</v>
      </c>
      <c r="T23" s="663" t="s">
        <v>14</v>
      </c>
      <c r="U23" s="664">
        <f>H23</f>
        <v>100</v>
      </c>
      <c r="V23" s="663" t="s">
        <v>14</v>
      </c>
      <c r="W23" s="664">
        <f>J23</f>
        <v>100</v>
      </c>
      <c r="X23" s="1254"/>
      <c r="Y23" s="3425"/>
      <c r="Z23" s="1253" t="str">
        <f>Q23</f>
        <v>环境质量</v>
      </c>
      <c r="AA23" s="1253">
        <f t="shared" si="3"/>
        <v>1</v>
      </c>
      <c r="AB23" s="1253">
        <f t="shared" si="4"/>
        <v>1</v>
      </c>
      <c r="AC23" s="1801">
        <f t="shared" si="5"/>
        <v>1</v>
      </c>
    </row>
    <row r="24" spans="1:29" ht="15">
      <c r="A24" s="366"/>
      <c r="B24" s="556"/>
      <c r="C24" s="1747" t="s">
        <v>4005</v>
      </c>
      <c r="D24" s="386"/>
      <c r="E24" s="1747" t="s">
        <v>4005</v>
      </c>
      <c r="F24" s="386"/>
      <c r="G24" s="1747" t="s">
        <v>4005</v>
      </c>
      <c r="H24" s="386"/>
      <c r="I24" s="1747" t="s">
        <v>4005</v>
      </c>
      <c r="J24" s="386"/>
      <c r="K24" s="540"/>
      <c r="L24" s="2480"/>
      <c r="M24" s="2475"/>
      <c r="N24" s="2475"/>
      <c r="O24" s="2475"/>
      <c r="P24" s="3423"/>
      <c r="Q24" s="1252"/>
      <c r="R24" s="663"/>
      <c r="S24" s="664"/>
      <c r="T24" s="663"/>
      <c r="U24" s="664"/>
      <c r="V24" s="663"/>
      <c r="W24" s="664"/>
      <c r="X24" s="1254"/>
      <c r="Y24" s="3425"/>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423"/>
      <c r="Q25" s="1252" t="str">
        <f>B25</f>
        <v>毗邻道路的类型与等级</v>
      </c>
      <c r="R25" s="663" t="s">
        <v>14</v>
      </c>
      <c r="S25" s="664">
        <f>F25</f>
        <v>100</v>
      </c>
      <c r="T25" s="663" t="s">
        <v>14</v>
      </c>
      <c r="U25" s="664">
        <f>H25</f>
        <v>100</v>
      </c>
      <c r="V25" s="663" t="s">
        <v>14</v>
      </c>
      <c r="W25" s="664">
        <f>J25</f>
        <v>100</v>
      </c>
      <c r="X25" s="1254"/>
      <c r="Y25" s="3425"/>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423"/>
      <c r="Q26" s="1252"/>
      <c r="R26" s="663"/>
      <c r="S26" s="664"/>
      <c r="T26" s="663"/>
      <c r="U26" s="664"/>
      <c r="V26" s="663"/>
      <c r="W26" s="664"/>
      <c r="X26" s="1254"/>
      <c r="Y26" s="3425"/>
      <c r="Z26" s="1253"/>
      <c r="AA26" s="1253">
        <v>1</v>
      </c>
      <c r="AB26" s="1253">
        <v>1</v>
      </c>
      <c r="AC26" s="1801">
        <v>1</v>
      </c>
    </row>
    <row r="27" spans="1:29" ht="15">
      <c r="A27" s="366"/>
      <c r="B27" s="400" t="s">
        <v>1780</v>
      </c>
      <c r="C27" s="557" t="s">
        <v>3409</v>
      </c>
      <c r="D27" s="373">
        <v>100</v>
      </c>
      <c r="E27" s="541" t="s">
        <v>3553</v>
      </c>
      <c r="F27" s="373">
        <f>SUMIF(89:89,E27,90:90)-SUMIF(89:89,C27,90:90)+100</f>
        <v>102</v>
      </c>
      <c r="G27" s="541" t="s">
        <v>3553</v>
      </c>
      <c r="H27" s="373">
        <f>SUMIF(89:89,G27,90:90)-SUMIF(89:89,C27,90:90)+100</f>
        <v>102</v>
      </c>
      <c r="I27" s="541" t="s">
        <v>3409</v>
      </c>
      <c r="J27" s="373">
        <f>SUMIF(89:89,I27,90:90)-SUMIF(89:89,C27,90:90)+100</f>
        <v>100</v>
      </c>
      <c r="K27" s="537">
        <v>2</v>
      </c>
      <c r="L27" s="2480"/>
      <c r="M27" s="2475"/>
      <c r="N27" s="2475"/>
      <c r="O27" s="2475"/>
      <c r="P27" s="3423"/>
      <c r="Q27" s="1252" t="str">
        <f t="shared" ref="Q27:Q47" si="11">B27</f>
        <v>楼层</v>
      </c>
      <c r="R27" s="663" t="s">
        <v>14</v>
      </c>
      <c r="S27" s="664">
        <f>F27</f>
        <v>102</v>
      </c>
      <c r="T27" s="663" t="s">
        <v>14</v>
      </c>
      <c r="U27" s="664">
        <f>H27</f>
        <v>102</v>
      </c>
      <c r="V27" s="663" t="s">
        <v>14</v>
      </c>
      <c r="W27" s="664">
        <f>J27</f>
        <v>100</v>
      </c>
      <c r="X27" s="1254"/>
      <c r="Y27" s="3425"/>
      <c r="Z27" s="1253" t="str">
        <f>Q27</f>
        <v>楼层</v>
      </c>
      <c r="AA27" s="1253">
        <f t="shared" si="3"/>
        <v>0.98039215686274506</v>
      </c>
      <c r="AB27" s="1253">
        <f t="shared" si="4"/>
        <v>0.98039215686274506</v>
      </c>
      <c r="AC27" s="1801">
        <f t="shared" si="5"/>
        <v>1</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423"/>
      <c r="Q28" s="529" t="str">
        <f t="shared" si="11"/>
        <v>朝向</v>
      </c>
      <c r="R28" s="660" t="s">
        <v>14</v>
      </c>
      <c r="S28" s="661">
        <f>F28</f>
        <v>100</v>
      </c>
      <c r="T28" s="660" t="s">
        <v>14</v>
      </c>
      <c r="U28" s="661">
        <f>H28</f>
        <v>100</v>
      </c>
      <c r="V28" s="660" t="s">
        <v>14</v>
      </c>
      <c r="W28" s="661">
        <f>J28</f>
        <v>100</v>
      </c>
      <c r="X28" s="662"/>
      <c r="Y28" s="3425"/>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423"/>
      <c r="Q29" s="1252">
        <f t="shared" si="11"/>
        <v>111</v>
      </c>
      <c r="R29" s="663" t="s">
        <v>14</v>
      </c>
      <c r="S29" s="664">
        <f t="shared" ref="S29:S47" si="12">F29</f>
        <v>100</v>
      </c>
      <c r="T29" s="663" t="s">
        <v>14</v>
      </c>
      <c r="U29" s="664">
        <f t="shared" ref="U29:U47" si="13">H29</f>
        <v>100</v>
      </c>
      <c r="V29" s="663" t="s">
        <v>14</v>
      </c>
      <c r="W29" s="664">
        <f t="shared" ref="W29:W47" si="14">J29</f>
        <v>100</v>
      </c>
      <c r="X29" s="1254"/>
      <c r="Y29" s="3425"/>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423"/>
      <c r="Q32" s="1252">
        <f t="shared" si="11"/>
        <v>111</v>
      </c>
      <c r="R32" s="663" t="s">
        <v>14</v>
      </c>
      <c r="S32" s="664">
        <f t="shared" si="12"/>
        <v>100</v>
      </c>
      <c r="T32" s="663" t="s">
        <v>14</v>
      </c>
      <c r="U32" s="664">
        <f t="shared" si="13"/>
        <v>100</v>
      </c>
      <c r="V32" s="663" t="s">
        <v>14</v>
      </c>
      <c r="W32" s="664">
        <f t="shared" si="14"/>
        <v>100</v>
      </c>
      <c r="X32" s="1254"/>
      <c r="Y32" s="3425"/>
      <c r="Z32" s="1253">
        <f t="shared" si="15"/>
        <v>111</v>
      </c>
      <c r="AA32" s="1253">
        <f t="shared" si="3"/>
        <v>1</v>
      </c>
      <c r="AB32" s="1253">
        <f t="shared" si="4"/>
        <v>1</v>
      </c>
      <c r="AC32" s="1801">
        <f t="shared" si="5"/>
        <v>1</v>
      </c>
    </row>
    <row r="33" spans="1:29" ht="15">
      <c r="A33" s="378" t="s">
        <v>1691</v>
      </c>
      <c r="B33" s="60" t="s">
        <v>1814</v>
      </c>
      <c r="C33" s="1753" t="s">
        <v>4023</v>
      </c>
      <c r="D33" s="404">
        <v>100</v>
      </c>
      <c r="E33" s="1753" t="s">
        <v>4023</v>
      </c>
      <c r="F33" s="399">
        <f>SUMIF(101:101,E33,102:102)-SUMIF(101:101,C33,102:102)+100</f>
        <v>100</v>
      </c>
      <c r="G33" s="1753" t="s">
        <v>4023</v>
      </c>
      <c r="H33" s="373">
        <f>SUMIF(101:101,G33,102:102)-SUMIF(101:101,C33,102:102)+100</f>
        <v>100</v>
      </c>
      <c r="I33" s="1753" t="s">
        <v>4025</v>
      </c>
      <c r="J33" s="404">
        <f>SUMIF(101:101,I33,102:102)-SUMIF(101:101,C33,102:102)+100</f>
        <v>105</v>
      </c>
      <c r="K33" s="537">
        <v>5</v>
      </c>
      <c r="L33" s="2480"/>
      <c r="M33" s="2475"/>
      <c r="N33" s="2475"/>
      <c r="O33" s="2475"/>
      <c r="P33" s="3426" t="s">
        <v>1693</v>
      </c>
      <c r="Q33" s="1252" t="str">
        <f t="shared" si="11"/>
        <v>建筑类型</v>
      </c>
      <c r="R33" s="663" t="s">
        <v>14</v>
      </c>
      <c r="S33" s="664">
        <f t="shared" si="12"/>
        <v>100</v>
      </c>
      <c r="T33" s="663" t="s">
        <v>14</v>
      </c>
      <c r="U33" s="664">
        <f t="shared" si="13"/>
        <v>100</v>
      </c>
      <c r="V33" s="663" t="s">
        <v>14</v>
      </c>
      <c r="W33" s="664">
        <f t="shared" si="14"/>
        <v>105</v>
      </c>
      <c r="X33" s="1254"/>
      <c r="Y33" s="3429" t="s">
        <v>1693</v>
      </c>
      <c r="Z33" s="1253" t="str">
        <f t="shared" si="15"/>
        <v>建筑类型</v>
      </c>
      <c r="AA33" s="1253">
        <f t="shared" si="3"/>
        <v>1</v>
      </c>
      <c r="AB33" s="1253">
        <f t="shared" si="4"/>
        <v>1</v>
      </c>
      <c r="AC33" s="1801">
        <f t="shared" si="5"/>
        <v>0.95238095238095233</v>
      </c>
    </row>
    <row r="34" spans="1:29" s="407" customFormat="1" ht="15">
      <c r="A34" s="405"/>
      <c r="B34" s="363" t="s">
        <v>1694</v>
      </c>
      <c r="C34" s="406">
        <f>'[1]典型户型修正-办公'!B24</f>
        <v>51.46</v>
      </c>
      <c r="D34" s="118">
        <v>100</v>
      </c>
      <c r="E34" s="406">
        <v>73.87</v>
      </c>
      <c r="F34" s="363">
        <f>LOOKUP(E34,104:104,105:105)-LOOKUP(C34,104:104,105:105)+100</f>
        <v>101</v>
      </c>
      <c r="G34" s="367">
        <v>222</v>
      </c>
      <c r="H34" s="118">
        <f>LOOKUP(G34,104:104,105:105)-LOOKUP(C34,104:104,105:105)+100</f>
        <v>102</v>
      </c>
      <c r="I34" s="367">
        <v>298</v>
      </c>
      <c r="J34" s="118">
        <f>LOOKUP(I34,104:104,105:105)-LOOKUP(C34,104:104,105:105)+100</f>
        <v>102</v>
      </c>
      <c r="K34" s="538"/>
      <c r="L34" s="2479"/>
      <c r="M34" s="2481"/>
      <c r="N34" s="2481"/>
      <c r="O34" s="2481"/>
      <c r="P34" s="3427"/>
      <c r="Q34" s="530" t="str">
        <f t="shared" si="11"/>
        <v>项目建筑规模</v>
      </c>
      <c r="R34" s="665" t="s">
        <v>14</v>
      </c>
      <c r="S34" s="666">
        <f t="shared" si="12"/>
        <v>101</v>
      </c>
      <c r="T34" s="665" t="s">
        <v>14</v>
      </c>
      <c r="U34" s="666">
        <f t="shared" si="13"/>
        <v>102</v>
      </c>
      <c r="V34" s="665" t="s">
        <v>14</v>
      </c>
      <c r="W34" s="666">
        <f t="shared" si="14"/>
        <v>102</v>
      </c>
      <c r="X34" s="667"/>
      <c r="Y34" s="3429"/>
      <c r="Z34" s="668" t="str">
        <f t="shared" si="15"/>
        <v>项目建筑规模</v>
      </c>
      <c r="AA34" s="1253">
        <f t="shared" si="3"/>
        <v>0.99009900990099009</v>
      </c>
      <c r="AB34" s="1253">
        <f t="shared" si="4"/>
        <v>0.98039215686274506</v>
      </c>
      <c r="AC34" s="1801">
        <f t="shared" si="5"/>
        <v>0.98039215686274506</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427"/>
      <c r="Q35" s="1252" t="str">
        <f t="shared" si="11"/>
        <v>建筑结构</v>
      </c>
      <c r="R35" s="663" t="s">
        <v>14</v>
      </c>
      <c r="S35" s="664">
        <f t="shared" si="12"/>
        <v>100</v>
      </c>
      <c r="T35" s="663" t="s">
        <v>14</v>
      </c>
      <c r="U35" s="664">
        <f t="shared" si="13"/>
        <v>100</v>
      </c>
      <c r="V35" s="663" t="s">
        <v>14</v>
      </c>
      <c r="W35" s="664">
        <f t="shared" si="14"/>
        <v>100</v>
      </c>
      <c r="X35" s="1254"/>
      <c r="Y35" s="3429"/>
      <c r="Z35" s="1253" t="str">
        <f t="shared" si="15"/>
        <v>建筑结构</v>
      </c>
      <c r="AA35" s="1253">
        <f t="shared" si="3"/>
        <v>1</v>
      </c>
      <c r="AB35" s="1253">
        <f t="shared" si="4"/>
        <v>1</v>
      </c>
      <c r="AC35" s="1801">
        <f t="shared" si="5"/>
        <v>1</v>
      </c>
    </row>
    <row r="36" spans="1:29" ht="15">
      <c r="A36" s="408"/>
      <c r="B36" s="363" t="s">
        <v>1782</v>
      </c>
      <c r="C36" s="398" t="s">
        <v>4013</v>
      </c>
      <c r="D36" s="373">
        <v>100</v>
      </c>
      <c r="E36" s="398" t="s">
        <v>4013</v>
      </c>
      <c r="F36" s="399">
        <f>SUMIF(108:108,E36,109:109)-SUMIF(108:108,C36,109:109)+100</f>
        <v>100</v>
      </c>
      <c r="G36" s="398" t="s">
        <v>4013</v>
      </c>
      <c r="H36" s="373">
        <f>SUMIF(108:108,G36,109:109)-SUMIF(108:108,C36,109:109)+100</f>
        <v>100</v>
      </c>
      <c r="I36" s="398" t="s">
        <v>4013</v>
      </c>
      <c r="J36" s="373">
        <f>SUMIF(108:108,I36,109:109)-SUMIF(108:108,C36,109:109)+100</f>
        <v>100</v>
      </c>
      <c r="K36" s="537">
        <v>2</v>
      </c>
      <c r="L36" s="2480"/>
      <c r="M36" s="2475"/>
      <c r="N36" s="2475"/>
      <c r="O36" s="2475"/>
      <c r="P36" s="3427"/>
      <c r="Q36" s="1252" t="str">
        <f t="shared" si="11"/>
        <v>公共部分装修</v>
      </c>
      <c r="R36" s="663" t="s">
        <v>14</v>
      </c>
      <c r="S36" s="664">
        <f t="shared" si="12"/>
        <v>100</v>
      </c>
      <c r="T36" s="663" t="s">
        <v>14</v>
      </c>
      <c r="U36" s="664">
        <f t="shared" si="13"/>
        <v>100</v>
      </c>
      <c r="V36" s="663" t="s">
        <v>14</v>
      </c>
      <c r="W36" s="664">
        <f t="shared" si="14"/>
        <v>100</v>
      </c>
      <c r="X36" s="1254"/>
      <c r="Y36" s="3429"/>
      <c r="Z36" s="1253" t="str">
        <f t="shared" si="15"/>
        <v>公共部分装修</v>
      </c>
      <c r="AA36" s="1253">
        <f t="shared" si="3"/>
        <v>1</v>
      </c>
      <c r="AB36" s="1253">
        <f t="shared" si="4"/>
        <v>1</v>
      </c>
      <c r="AC36" s="1801">
        <f t="shared" si="5"/>
        <v>1</v>
      </c>
    </row>
    <row r="37" spans="1:29" ht="15">
      <c r="A37" s="408"/>
      <c r="B37" s="363" t="s">
        <v>1783</v>
      </c>
      <c r="C37" s="686">
        <v>1</v>
      </c>
      <c r="D37" s="373">
        <v>100</v>
      </c>
      <c r="E37" s="686">
        <v>1</v>
      </c>
      <c r="F37" s="399">
        <f>LOOKUP(E37,111:111,112:112)-LOOKUP(C37,111:111,112:112)+100</f>
        <v>100</v>
      </c>
      <c r="G37" s="686">
        <v>1</v>
      </c>
      <c r="H37" s="399">
        <f>LOOKUP(G37,111:111,112:112)-LOOKUP(C37,111:111,112:112)+100</f>
        <v>100</v>
      </c>
      <c r="I37" s="686">
        <v>1</v>
      </c>
      <c r="J37" s="373">
        <f>LOOKUP(I37,111:111,112:112)-LOOKUP(C37,111:111,112:112)+100</f>
        <v>100</v>
      </c>
      <c r="K37" s="537">
        <v>1</v>
      </c>
      <c r="L37" s="2480"/>
      <c r="M37" s="2475"/>
      <c r="N37" s="2475"/>
      <c r="O37" s="2475"/>
      <c r="P37" s="3427"/>
      <c r="Q37" s="1252" t="str">
        <f t="shared" si="11"/>
        <v>成新度</v>
      </c>
      <c r="R37" s="663" t="s">
        <v>14</v>
      </c>
      <c r="S37" s="664">
        <f t="shared" si="12"/>
        <v>100</v>
      </c>
      <c r="T37" s="663" t="s">
        <v>14</v>
      </c>
      <c r="U37" s="664">
        <f t="shared" si="13"/>
        <v>100</v>
      </c>
      <c r="V37" s="663" t="s">
        <v>14</v>
      </c>
      <c r="W37" s="664">
        <f t="shared" si="14"/>
        <v>100</v>
      </c>
      <c r="X37" s="1254"/>
      <c r="Y37" s="3429"/>
      <c r="Z37" s="1253" t="str">
        <f t="shared" si="15"/>
        <v>成新度</v>
      </c>
      <c r="AA37" s="1253">
        <f t="shared" si="3"/>
        <v>1</v>
      </c>
      <c r="AB37" s="1253">
        <f t="shared" si="4"/>
        <v>1</v>
      </c>
      <c r="AC37" s="1801">
        <f t="shared" si="5"/>
        <v>1</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427"/>
      <c r="Q38" s="529" t="str">
        <f t="shared" si="11"/>
        <v>写字楼等级</v>
      </c>
      <c r="R38" s="660" t="s">
        <v>14</v>
      </c>
      <c r="S38" s="661">
        <f t="shared" si="12"/>
        <v>100</v>
      </c>
      <c r="T38" s="660" t="s">
        <v>14</v>
      </c>
      <c r="U38" s="661">
        <f t="shared" si="13"/>
        <v>100</v>
      </c>
      <c r="V38" s="660" t="s">
        <v>14</v>
      </c>
      <c r="W38" s="661">
        <f t="shared" si="14"/>
        <v>100</v>
      </c>
      <c r="X38" s="662"/>
      <c r="Y38" s="3429"/>
      <c r="Z38" s="50" t="str">
        <f t="shared" si="15"/>
        <v>写字楼等级</v>
      </c>
      <c r="AA38" s="50">
        <f t="shared" si="3"/>
        <v>1</v>
      </c>
      <c r="AB38" s="50">
        <f t="shared" si="4"/>
        <v>1</v>
      </c>
      <c r="AC38" s="796">
        <f t="shared" si="5"/>
        <v>1</v>
      </c>
    </row>
    <row r="39" spans="1:29" ht="15">
      <c r="A39" s="408"/>
      <c r="B39" s="363" t="s">
        <v>1816</v>
      </c>
      <c r="C39" s="398" t="s">
        <v>4018</v>
      </c>
      <c r="D39" s="373">
        <v>100</v>
      </c>
      <c r="E39" s="398" t="s">
        <v>4018</v>
      </c>
      <c r="F39" s="399">
        <f>SUMIF(115:115,E39,116:116)-SUMIF(115:115,C39,116:116)+100</f>
        <v>100</v>
      </c>
      <c r="G39" s="398" t="s">
        <v>4018</v>
      </c>
      <c r="H39" s="373">
        <f>SUMIF(115:115,G39,116:116)-SUMIF(115:115,C39,116:116)+100</f>
        <v>100</v>
      </c>
      <c r="I39" s="398" t="s">
        <v>4018</v>
      </c>
      <c r="J39" s="373">
        <f>SUMIF(115:115,I39,116:116)-SUMIF(115:115,C39,116:116)+100</f>
        <v>100</v>
      </c>
      <c r="K39" s="537">
        <v>2</v>
      </c>
      <c r="L39" s="2480"/>
      <c r="M39" s="2475"/>
      <c r="N39" s="2475"/>
      <c r="O39" s="2475"/>
      <c r="P39" s="3427" t="s">
        <v>1693</v>
      </c>
      <c r="Q39" s="1252" t="str">
        <f t="shared" si="11"/>
        <v>物业管理</v>
      </c>
      <c r="R39" s="663" t="s">
        <v>14</v>
      </c>
      <c r="S39" s="664">
        <f t="shared" si="12"/>
        <v>100</v>
      </c>
      <c r="T39" s="663" t="s">
        <v>14</v>
      </c>
      <c r="U39" s="664">
        <f t="shared" si="13"/>
        <v>100</v>
      </c>
      <c r="V39" s="663" t="s">
        <v>14</v>
      </c>
      <c r="W39" s="664">
        <f t="shared" si="14"/>
        <v>100</v>
      </c>
      <c r="X39" s="1254"/>
      <c r="Y39" s="3429" t="s">
        <v>1693</v>
      </c>
      <c r="Z39" s="1253" t="str">
        <f t="shared" si="15"/>
        <v>物业管理</v>
      </c>
      <c r="AA39" s="1253">
        <f t="shared" si="3"/>
        <v>1</v>
      </c>
      <c r="AB39" s="1253">
        <f t="shared" si="4"/>
        <v>1</v>
      </c>
      <c r="AC39" s="1801">
        <f t="shared" si="5"/>
        <v>1</v>
      </c>
    </row>
    <row r="40" spans="1:29" ht="15">
      <c r="A40" s="408"/>
      <c r="B40" s="363" t="s">
        <v>1784</v>
      </c>
      <c r="C40" s="398" t="s">
        <v>4019</v>
      </c>
      <c r="D40" s="373">
        <v>100</v>
      </c>
      <c r="E40" s="398" t="s">
        <v>4019</v>
      </c>
      <c r="F40" s="399">
        <f>SUMIF(117:117,E40,118:118)-SUMIF(117:117,C40,118:118)+100</f>
        <v>100</v>
      </c>
      <c r="G40" s="398" t="s">
        <v>4019</v>
      </c>
      <c r="H40" s="373">
        <f>SUMIF(117:117,G40,118:118)-SUMIF(117:117,C40,118:118)+100</f>
        <v>100</v>
      </c>
      <c r="I40" s="398" t="s">
        <v>4019</v>
      </c>
      <c r="J40" s="373">
        <f>SUMIF(117:117,I40,118:118)-SUMIF(117:117,C40,118:118)+100</f>
        <v>100</v>
      </c>
      <c r="K40" s="537">
        <v>1</v>
      </c>
      <c r="L40" s="2480"/>
      <c r="M40" s="2475"/>
      <c r="N40" s="2475"/>
      <c r="O40" s="2475"/>
      <c r="P40" s="3427"/>
      <c r="Q40" s="1252" t="str">
        <f t="shared" si="11"/>
        <v>市政基础设施</v>
      </c>
      <c r="R40" s="663" t="s">
        <v>14</v>
      </c>
      <c r="S40" s="664">
        <f t="shared" si="12"/>
        <v>100</v>
      </c>
      <c r="T40" s="663" t="s">
        <v>14</v>
      </c>
      <c r="U40" s="664">
        <f t="shared" si="13"/>
        <v>100</v>
      </c>
      <c r="V40" s="663" t="s">
        <v>14</v>
      </c>
      <c r="W40" s="664">
        <f t="shared" si="14"/>
        <v>100</v>
      </c>
      <c r="X40" s="1254"/>
      <c r="Y40" s="3429"/>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427"/>
      <c r="Q41" s="1252" t="str">
        <f t="shared" si="11"/>
        <v>层高</v>
      </c>
      <c r="R41" s="663" t="s">
        <v>14</v>
      </c>
      <c r="S41" s="664">
        <f t="shared" si="12"/>
        <v>100</v>
      </c>
      <c r="T41" s="663" t="s">
        <v>14</v>
      </c>
      <c r="U41" s="664">
        <f t="shared" si="13"/>
        <v>100</v>
      </c>
      <c r="V41" s="663" t="s">
        <v>14</v>
      </c>
      <c r="W41" s="664">
        <f t="shared" si="14"/>
        <v>100</v>
      </c>
      <c r="X41" s="1254"/>
      <c r="Y41" s="3429"/>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427"/>
      <c r="Q42" s="530" t="str">
        <f t="shared" si="11"/>
        <v>单套建筑面积</v>
      </c>
      <c r="R42" s="665" t="s">
        <v>14</v>
      </c>
      <c r="S42" s="666">
        <f t="shared" si="12"/>
        <v>100</v>
      </c>
      <c r="T42" s="665" t="s">
        <v>14</v>
      </c>
      <c r="U42" s="666">
        <f t="shared" si="13"/>
        <v>100</v>
      </c>
      <c r="V42" s="665" t="s">
        <v>14</v>
      </c>
      <c r="W42" s="666">
        <f t="shared" si="14"/>
        <v>100</v>
      </c>
      <c r="X42" s="667"/>
      <c r="Y42" s="3429"/>
      <c r="Z42" s="668" t="str">
        <f t="shared" si="15"/>
        <v>单套建筑面积</v>
      </c>
      <c r="AA42" s="1253">
        <f t="shared" si="3"/>
        <v>1</v>
      </c>
      <c r="AB42" s="1253">
        <f t="shared" si="4"/>
        <v>1</v>
      </c>
      <c r="AC42" s="1801">
        <f t="shared" si="5"/>
        <v>1</v>
      </c>
    </row>
    <row r="43" spans="1:29" ht="15">
      <c r="A43" s="408"/>
      <c r="B43" s="363" t="s">
        <v>1789</v>
      </c>
      <c r="C43" s="398" t="s">
        <v>4016</v>
      </c>
      <c r="D43" s="373">
        <v>100</v>
      </c>
      <c r="E43" s="398" t="s">
        <v>4015</v>
      </c>
      <c r="F43" s="399">
        <f>SUMIF(123:123,E43,124:124)-SUMIF(123:123,C43,124:124)+100</f>
        <v>101</v>
      </c>
      <c r="G43" s="398" t="s">
        <v>4015</v>
      </c>
      <c r="H43" s="373">
        <f>SUMIF(123:123,G43,124:124)-SUMIF(123:123,C43,124:124)+100</f>
        <v>101</v>
      </c>
      <c r="I43" s="398" t="s">
        <v>4015</v>
      </c>
      <c r="J43" s="373">
        <f>SUMIF(123:123,I43,124:124)-SUMIF(123:123,C43,124:124)+100</f>
        <v>101</v>
      </c>
      <c r="K43" s="537">
        <v>1</v>
      </c>
      <c r="L43" s="2480"/>
      <c r="M43" s="2475"/>
      <c r="N43" s="2475"/>
      <c r="O43" s="2475"/>
      <c r="P43" s="3427"/>
      <c r="Q43" s="1252" t="str">
        <f t="shared" si="11"/>
        <v>内部装修</v>
      </c>
      <c r="R43" s="663" t="s">
        <v>14</v>
      </c>
      <c r="S43" s="664">
        <f t="shared" si="12"/>
        <v>101</v>
      </c>
      <c r="T43" s="663" t="s">
        <v>14</v>
      </c>
      <c r="U43" s="664">
        <f t="shared" si="13"/>
        <v>101</v>
      </c>
      <c r="V43" s="663" t="s">
        <v>14</v>
      </c>
      <c r="W43" s="664">
        <f t="shared" si="14"/>
        <v>101</v>
      </c>
      <c r="X43" s="1254"/>
      <c r="Y43" s="3429"/>
      <c r="Z43" s="1253" t="str">
        <f t="shared" si="15"/>
        <v>内部装修</v>
      </c>
      <c r="AA43" s="1253">
        <f t="shared" si="3"/>
        <v>0.99009900990099009</v>
      </c>
      <c r="AB43" s="1253">
        <f t="shared" si="4"/>
        <v>0.99009900990099009</v>
      </c>
      <c r="AC43" s="1801">
        <f t="shared" si="5"/>
        <v>0.99009900990099009</v>
      </c>
    </row>
    <row r="44" spans="1:29" ht="15">
      <c r="A44" s="408"/>
      <c r="B44" s="363" t="s">
        <v>1704</v>
      </c>
      <c r="C44" s="398" t="s">
        <v>4024</v>
      </c>
      <c r="D44" s="373">
        <v>100</v>
      </c>
      <c r="E44" s="398" t="s">
        <v>4024</v>
      </c>
      <c r="F44" s="399">
        <f>SUMIF(125:125,E44,126:126)-SUMIF(125:125,C44,126:126)+100</f>
        <v>100</v>
      </c>
      <c r="G44" s="398" t="s">
        <v>4024</v>
      </c>
      <c r="H44" s="373">
        <f>SUMIF(125:125,G44,126:126)-SUMIF(125:125,C44,126:126)+100</f>
        <v>100</v>
      </c>
      <c r="I44" s="398" t="s">
        <v>4024</v>
      </c>
      <c r="J44" s="373">
        <f>SUMIF(125:125,I44,126:126)-SUMIF(125:125,C44,126:126)+100</f>
        <v>100</v>
      </c>
      <c r="K44" s="537">
        <v>2</v>
      </c>
      <c r="L44" s="2480"/>
      <c r="M44" s="2475"/>
      <c r="N44" s="2475"/>
      <c r="O44" s="2475"/>
      <c r="P44" s="3427"/>
      <c r="Q44" s="1252" t="str">
        <f t="shared" si="11"/>
        <v>内部装修维护情况</v>
      </c>
      <c r="R44" s="663" t="s">
        <v>14</v>
      </c>
      <c r="S44" s="664">
        <f t="shared" si="12"/>
        <v>100</v>
      </c>
      <c r="T44" s="663" t="s">
        <v>14</v>
      </c>
      <c r="U44" s="664">
        <f t="shared" si="13"/>
        <v>100</v>
      </c>
      <c r="V44" s="663" t="s">
        <v>14</v>
      </c>
      <c r="W44" s="664">
        <f t="shared" si="14"/>
        <v>100</v>
      </c>
      <c r="X44" s="1254"/>
      <c r="Y44" s="3429"/>
      <c r="Z44" s="1253" t="str">
        <f t="shared" si="15"/>
        <v>内部装修维护情况</v>
      </c>
      <c r="AA44" s="1253">
        <f t="shared" si="3"/>
        <v>1</v>
      </c>
      <c r="AB44" s="1253">
        <f t="shared" si="4"/>
        <v>1</v>
      </c>
      <c r="AC44" s="1801">
        <f t="shared" si="5"/>
        <v>1</v>
      </c>
    </row>
    <row r="45" spans="1:29" s="102" customFormat="1" ht="15">
      <c r="A45" s="409"/>
      <c r="B45" s="3163" t="s">
        <v>4020</v>
      </c>
      <c r="C45" s="3165" t="s">
        <v>21</v>
      </c>
      <c r="D45" s="118">
        <v>100</v>
      </c>
      <c r="E45" s="3165" t="s">
        <v>21</v>
      </c>
      <c r="F45" s="363">
        <f>SUMIF(127:127,E45,128:128)-SUMIF(127:127,C45,128:128)+100</f>
        <v>100</v>
      </c>
      <c r="G45" s="3165" t="s">
        <v>21</v>
      </c>
      <c r="H45" s="118">
        <f>SUMIF(127:127,G45,128:128)-SUMIF(127:127,C45,128:128)+100</f>
        <v>100</v>
      </c>
      <c r="I45" s="3165" t="s">
        <v>21</v>
      </c>
      <c r="J45" s="118">
        <f>SUMIF(127:127,I45,128:128)-SUMIF(127:127,C45,128:128)+100</f>
        <v>100</v>
      </c>
      <c r="K45" s="538"/>
      <c r="L45" s="2476"/>
      <c r="M45" s="2427"/>
      <c r="N45" s="2427"/>
      <c r="O45" s="2427"/>
      <c r="P45" s="3427"/>
      <c r="Q45" s="529" t="str">
        <f t="shared" si="11"/>
        <v>现状</v>
      </c>
      <c r="R45" s="660" t="s">
        <v>14</v>
      </c>
      <c r="S45" s="661">
        <f t="shared" si="12"/>
        <v>100</v>
      </c>
      <c r="T45" s="660" t="s">
        <v>14</v>
      </c>
      <c r="U45" s="661">
        <f t="shared" si="13"/>
        <v>100</v>
      </c>
      <c r="V45" s="660" t="s">
        <v>14</v>
      </c>
      <c r="W45" s="661">
        <f t="shared" si="14"/>
        <v>100</v>
      </c>
      <c r="X45" s="662"/>
      <c r="Y45" s="3429"/>
      <c r="Z45" s="50" t="str">
        <f t="shared" si="15"/>
        <v>现状</v>
      </c>
      <c r="AA45" s="50">
        <f t="shared" si="3"/>
        <v>1</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427"/>
      <c r="Q46" s="1252">
        <f t="shared" si="11"/>
        <v>111</v>
      </c>
      <c r="R46" s="663" t="s">
        <v>14</v>
      </c>
      <c r="S46" s="664">
        <f t="shared" si="12"/>
        <v>100</v>
      </c>
      <c r="T46" s="663" t="s">
        <v>14</v>
      </c>
      <c r="U46" s="664">
        <f t="shared" si="13"/>
        <v>100</v>
      </c>
      <c r="V46" s="663" t="s">
        <v>14</v>
      </c>
      <c r="W46" s="664">
        <f t="shared" si="14"/>
        <v>100</v>
      </c>
      <c r="X46" s="1254"/>
      <c r="Y46" s="3429"/>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428"/>
      <c r="Q47" s="1252">
        <f t="shared" si="11"/>
        <v>111</v>
      </c>
      <c r="R47" s="663" t="s">
        <v>14</v>
      </c>
      <c r="S47" s="664">
        <f t="shared" si="12"/>
        <v>100</v>
      </c>
      <c r="T47" s="663" t="s">
        <v>14</v>
      </c>
      <c r="U47" s="664">
        <f t="shared" si="13"/>
        <v>100</v>
      </c>
      <c r="V47" s="663" t="s">
        <v>14</v>
      </c>
      <c r="W47" s="664">
        <f t="shared" si="14"/>
        <v>100</v>
      </c>
      <c r="X47" s="1254"/>
      <c r="Y47" s="3430"/>
      <c r="Z47" s="1253">
        <f t="shared" si="15"/>
        <v>111</v>
      </c>
      <c r="AA47" s="1253">
        <f t="shared" si="3"/>
        <v>1</v>
      </c>
      <c r="AB47" s="1253">
        <f t="shared" si="4"/>
        <v>1</v>
      </c>
      <c r="AC47" s="1801">
        <f t="shared" si="5"/>
        <v>1</v>
      </c>
    </row>
    <row r="48" spans="1:29" ht="15">
      <c r="A48" s="415" t="s">
        <v>1705</v>
      </c>
      <c r="B48" s="416"/>
      <c r="C48" s="1071" t="s">
        <v>0</v>
      </c>
      <c r="D48" s="417"/>
      <c r="E48" s="3200">
        <v>2.4</v>
      </c>
      <c r="F48" s="419"/>
      <c r="G48" s="420">
        <v>2.5</v>
      </c>
      <c r="H48" s="421"/>
      <c r="I48" s="418">
        <v>2.85</v>
      </c>
      <c r="J48" s="421"/>
      <c r="K48" s="670"/>
      <c r="L48" s="2482"/>
      <c r="M48" s="2475"/>
      <c r="N48" s="2475"/>
      <c r="O48" s="2475"/>
      <c r="P48" s="3402" t="str">
        <f>A48</f>
        <v>成交单价（元/平方米）</v>
      </c>
      <c r="Q48" s="3431"/>
      <c r="R48" s="3419">
        <f>E48</f>
        <v>2.4</v>
      </c>
      <c r="S48" s="3419"/>
      <c r="T48" s="3419">
        <f>G48</f>
        <v>2.5</v>
      </c>
      <c r="U48" s="3419"/>
      <c r="V48" s="3419">
        <f>I48</f>
        <v>2.85</v>
      </c>
      <c r="W48" s="3419"/>
      <c r="X48" s="384"/>
      <c r="Y48" s="669"/>
      <c r="Z48" s="384"/>
      <c r="AA48" s="384"/>
      <c r="AB48" s="384"/>
      <c r="AC48" s="554"/>
    </row>
    <row r="49" spans="1:29" ht="15.75" thickBot="1">
      <c r="A49" s="422" t="s">
        <v>1706</v>
      </c>
      <c r="B49" s="423"/>
      <c r="C49" s="1072">
        <f>R50</f>
        <v>2.4</v>
      </c>
      <c r="D49" s="2130" t="s">
        <v>2130</v>
      </c>
      <c r="E49" s="1073">
        <f>R49</f>
        <v>2.2000000000000002</v>
      </c>
      <c r="F49" s="2131"/>
      <c r="G49" s="1072">
        <f>T49</f>
        <v>2.2999999999999998</v>
      </c>
      <c r="H49" s="2131"/>
      <c r="I49" s="1073">
        <f>V49</f>
        <v>2.7</v>
      </c>
      <c r="J49" s="2131"/>
      <c r="K49" s="2133">
        <f>F49+H49+J49</f>
        <v>0</v>
      </c>
      <c r="L49" s="2482"/>
      <c r="M49" s="2475"/>
      <c r="N49" s="2475"/>
      <c r="O49" s="2475"/>
      <c r="P49" s="3402" t="str">
        <f>A49</f>
        <v>比较价值（元/平方米）</v>
      </c>
      <c r="Q49" s="3431"/>
      <c r="R49" s="3419">
        <f>IF(F1="售价",ROUND(PRODUCT(R48,AA7:AA47),0),ROUND(PRODUCT(R48,AA7:AA47),1))</f>
        <v>2.2000000000000002</v>
      </c>
      <c r="S49" s="3419"/>
      <c r="T49" s="3419">
        <f>IF(F1="售价",ROUND(PRODUCT(T48,AB7:AB47),0),ROUND(PRODUCT(T48,AB7:AB47),1))</f>
        <v>2.2999999999999998</v>
      </c>
      <c r="U49" s="3419"/>
      <c r="V49" s="3419">
        <f>IF(F1="售价",ROUND(PRODUCT(V48,AC7:AC47),0),ROUND(PRODUCT(V48,AC7:AC47),1))</f>
        <v>2.7</v>
      </c>
      <c r="W49" s="3419"/>
      <c r="X49" s="384"/>
      <c r="Y49" s="384"/>
      <c r="Z49" s="384"/>
      <c r="AA49" s="384"/>
      <c r="AB49" s="384"/>
      <c r="AC49" s="554"/>
    </row>
    <row r="50" spans="1:29" ht="15.75" thickBot="1">
      <c r="A50" s="426" t="s">
        <v>1707</v>
      </c>
      <c r="B50" s="427"/>
      <c r="C50" s="350">
        <f>R50</f>
        <v>2.4</v>
      </c>
      <c r="D50" s="350"/>
      <c r="E50" s="350"/>
      <c r="F50" s="350"/>
      <c r="G50" s="350"/>
      <c r="H50" s="350"/>
      <c r="I50" s="350"/>
      <c r="J50" s="428"/>
      <c r="K50" s="671"/>
      <c r="L50" s="2482"/>
      <c r="M50" s="2475"/>
      <c r="N50" s="2475"/>
      <c r="O50" s="2475"/>
      <c r="P50" s="3432" t="str">
        <f>A50</f>
        <v>估价对象XX用房的比较价值（楼面单价，元/平方米）</v>
      </c>
      <c r="Q50" s="3433"/>
      <c r="R50" s="3434">
        <f>IF(F1="售价",ROUND(IF(D49="简单平均",AVERAGE(R49:V49),R49*F49+T49*H49+V49*J49),0),ROUND(IF(D49="简单平均",AVERAGE(R49:V49),R49*F49+T49*H49+V49*J49),1))</f>
        <v>2.4</v>
      </c>
      <c r="S50" s="3434"/>
      <c r="T50" s="3434"/>
      <c r="U50" s="3434"/>
      <c r="V50" s="3434"/>
      <c r="W50" s="3434"/>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1708</v>
      </c>
      <c r="D53" s="432"/>
      <c r="E53" s="433">
        <f>IF(E48&lt;E49,E49/E48-1,E48/E49-1)</f>
        <v>9.0909090909090828E-2</v>
      </c>
      <c r="F53" s="434" t="str">
        <f>IF(OR(E53&gt;=0.3,E53&lt;=-0.3),"超过30%","")</f>
        <v/>
      </c>
      <c r="G53" s="433">
        <f>IF(G48&lt;G49,G49/G48-1,G48/G49-1)</f>
        <v>8.6956521739130599E-2</v>
      </c>
      <c r="H53" s="434" t="str">
        <f>IF(OR(G53&gt;=0.3,G53&lt;=-0.3),"超过30%","")</f>
        <v/>
      </c>
      <c r="I53" s="433">
        <f>IF(I48&lt;I49,I49/I48-1,I48/I49-1)</f>
        <v>5.555555555555558E-2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1709</v>
      </c>
      <c r="D54" s="435"/>
      <c r="E54" s="433">
        <f>IF(E49&lt;G49,G49/E49-1,E49/G49-1)</f>
        <v>4.5454545454545192E-2</v>
      </c>
      <c r="F54" s="434" t="str">
        <f>IF(OR(E54&gt;=0.2,E54&lt;=-0.2),"超过20%","")</f>
        <v/>
      </c>
      <c r="G54" s="433">
        <f>IF(G49&lt;I49,I49/G49-1,G49/I49-1)</f>
        <v>0.17391304347826098</v>
      </c>
      <c r="H54" s="434" t="str">
        <f>IF(OR(G54&gt;=0.2,G54&lt;=-0.2),"超过20%","")</f>
        <v/>
      </c>
      <c r="I54" s="433">
        <f>IF(I49&lt;E49,E49/I49-1,I49/E49-1)</f>
        <v>0.22727272727272729</v>
      </c>
      <c r="J54" s="434" t="str">
        <f>IF(OR(I54&gt;=0.2,I54&lt;=-0.2),"超过20%","")</f>
        <v>超过20%</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1710</v>
      </c>
      <c r="D55" s="435"/>
      <c r="E55" s="433">
        <f>IF(E48&lt;G48,G48/E48-1,E48/G48-1)</f>
        <v>4.1666666666666741E-2</v>
      </c>
      <c r="F55" s="434" t="str">
        <f>IF(OR(E55&gt;=0.3,E55&lt;=-0.3),"超过30%","")</f>
        <v/>
      </c>
      <c r="G55" s="433">
        <f>IF(G48&lt;I48,I48/G48-1,G48/I48-1)</f>
        <v>0.14000000000000012</v>
      </c>
      <c r="H55" s="434" t="str">
        <f>IF(OR(G55&gt;=0.3,G55&lt;=-0.3),"超过30%","")</f>
        <v/>
      </c>
      <c r="I55" s="433">
        <f>IF(I48&lt;E48,E48/I48-1,I48/E48-1)</f>
        <v>0.1875</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1711</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2024-10</v>
      </c>
      <c r="D59" s="1094">
        <f>EDATE(C59,-1)</f>
        <v>45536</v>
      </c>
      <c r="E59" s="1094">
        <f>EDATE(D59,-1)</f>
        <v>45505</v>
      </c>
      <c r="F59" s="1094">
        <f t="shared" ref="F59:O59" si="16">EDATE(E59,-1)</f>
        <v>45474</v>
      </c>
      <c r="G59" s="1094">
        <f t="shared" si="16"/>
        <v>45444</v>
      </c>
      <c r="H59" s="1094">
        <f t="shared" si="16"/>
        <v>45413</v>
      </c>
      <c r="I59" s="1094">
        <f t="shared" si="16"/>
        <v>45383</v>
      </c>
      <c r="J59" s="1094">
        <f t="shared" si="16"/>
        <v>45352</v>
      </c>
      <c r="K59" s="1094">
        <f t="shared" si="16"/>
        <v>45323</v>
      </c>
      <c r="L59" s="1094">
        <f t="shared" si="16"/>
        <v>45292</v>
      </c>
      <c r="M59" s="1094">
        <f t="shared" si="16"/>
        <v>45261</v>
      </c>
      <c r="N59" s="1094">
        <f t="shared" si="16"/>
        <v>45231</v>
      </c>
      <c r="O59" s="1094">
        <f t="shared" si="16"/>
        <v>45200</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1715</v>
      </c>
      <c r="D62" s="3166" t="s">
        <v>4029</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3161" t="s">
        <v>4088</v>
      </c>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v>95</v>
      </c>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4032</v>
      </c>
      <c r="D66" s="512" t="s">
        <v>4033</v>
      </c>
      <c r="E66" s="512" t="s">
        <v>4031</v>
      </c>
      <c r="F66" s="512" t="s">
        <v>4034</v>
      </c>
      <c r="G66" s="512" t="s">
        <v>4030</v>
      </c>
      <c r="H66" s="512" t="s">
        <v>4035</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0" t="s">
        <v>3710</v>
      </c>
      <c r="D89" s="3160" t="s">
        <v>3553</v>
      </c>
      <c r="E89" s="3160"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1" t="s">
        <v>4011</v>
      </c>
      <c r="D101" s="3161" t="s">
        <v>4012</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95</v>
      </c>
      <c r="E102" s="474">
        <f t="shared" si="23"/>
        <v>90</v>
      </c>
      <c r="F102" s="474">
        <f t="shared" si="23"/>
        <v>85</v>
      </c>
      <c r="G102" s="474">
        <f t="shared" si="23"/>
        <v>80</v>
      </c>
      <c r="H102" s="474">
        <f t="shared" si="23"/>
        <v>75</v>
      </c>
      <c r="I102" s="474">
        <f t="shared" si="23"/>
        <v>70</v>
      </c>
      <c r="J102" s="474">
        <f t="shared" si="23"/>
        <v>65</v>
      </c>
      <c r="K102" s="474">
        <f t="shared" si="23"/>
        <v>60</v>
      </c>
      <c r="L102" s="474">
        <f t="shared" si="23"/>
        <v>55</v>
      </c>
      <c r="M102" s="475">
        <f t="shared" si="23"/>
        <v>50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0"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0" t="s">
        <v>4013</v>
      </c>
      <c r="D108" s="3160" t="s">
        <v>4014</v>
      </c>
      <c r="E108" s="3160" t="s">
        <v>4015</v>
      </c>
      <c r="F108" s="3162" t="s">
        <v>4016</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0" t="s">
        <v>4017</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0" t="s">
        <v>4018</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0" t="s">
        <v>4007</v>
      </c>
      <c r="D117" s="3160" t="s">
        <v>4019</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2">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0" t="s">
        <v>4013</v>
      </c>
      <c r="D123" s="3160" t="s">
        <v>4014</v>
      </c>
      <c r="E123" s="3160" t="s">
        <v>4015</v>
      </c>
      <c r="F123" s="3162" t="s">
        <v>4016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0" t="s">
        <v>4021</v>
      </c>
      <c r="D127" s="3160" t="s">
        <v>4022</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53" priority="14" stopIfTrue="1">
      <formula>$F$53="超过30%"</formula>
    </cfRule>
  </conditionalFormatting>
  <conditionalFormatting sqref="E54">
    <cfRule type="expression" dxfId="152" priority="13" stopIfTrue="1">
      <formula>$F$54="超过20%"</formula>
    </cfRule>
  </conditionalFormatting>
  <conditionalFormatting sqref="E55">
    <cfRule type="expression" dxfId="151" priority="12" stopIfTrue="1">
      <formula>$F$55="超过30%"</formula>
    </cfRule>
  </conditionalFormatting>
  <conditionalFormatting sqref="F7:F47 H7:H47 J7:J47">
    <cfRule type="cellIs" dxfId="150" priority="1" operator="notEqual">
      <formula>100</formula>
    </cfRule>
  </conditionalFormatting>
  <conditionalFormatting sqref="F49">
    <cfRule type="expression" dxfId="149" priority="4">
      <formula>$D$49="简单平均"</formula>
    </cfRule>
  </conditionalFormatting>
  <conditionalFormatting sqref="F53:F55 H53:H55">
    <cfRule type="containsText" dxfId="148" priority="15" stopIfTrue="1" operator="containsText" text="超过">
      <formula>NOT(ISERROR(SEARCH("超过",F53)))</formula>
    </cfRule>
  </conditionalFormatting>
  <conditionalFormatting sqref="G53">
    <cfRule type="expression" dxfId="147" priority="10" stopIfTrue="1">
      <formula>$H$53="超过30%"</formula>
    </cfRule>
  </conditionalFormatting>
  <conditionalFormatting sqref="G54">
    <cfRule type="expression" dxfId="146" priority="9" stopIfTrue="1">
      <formula>$H$54="超过20%"</formula>
    </cfRule>
  </conditionalFormatting>
  <conditionalFormatting sqref="G55">
    <cfRule type="expression" dxfId="145" priority="11" stopIfTrue="1">
      <formula>$H$55="超过30%"</formula>
    </cfRule>
  </conditionalFormatting>
  <conditionalFormatting sqref="H49">
    <cfRule type="expression" dxfId="144" priority="3">
      <formula>$D$49="简单平均"</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J49">
    <cfRule type="expression" dxfId="140" priority="2">
      <formula>$D$49="简单平均"</formula>
    </cfRule>
  </conditionalFormatting>
  <conditionalFormatting sqref="J53:J55">
    <cfRule type="containsText" dxfId="139" priority="8" stopIfTrue="1" operator="containsText" text="超过">
      <formula>NOT(ISERROR(SEARCH("超过",J53)))</formula>
    </cfRule>
  </conditionalFormatting>
  <dataValidations count="25">
    <dataValidation type="list" allowBlank="1" showInputMessage="1" showErrorMessage="1" sqref="E1" xr:uid="{0D1C5E32-6C11-4BD3-80CC-95C316872F06}">
      <formula1>"项目模式,单套模式"</formula1>
    </dataValidation>
    <dataValidation type="list" allowBlank="1" showInputMessage="1" showErrorMessage="1" sqref="D49" xr:uid="{3BFA82EA-79B7-4542-847A-33C152629712}">
      <formula1>"简单平均,加权平均"</formula1>
    </dataValidation>
    <dataValidation type="list" allowBlank="1" showInputMessage="1" showErrorMessage="1" sqref="F2" xr:uid="{1F25B3EA-A20D-4FF3-9B6E-8634DA2A67C7}">
      <formula1>估价方法</formula1>
    </dataValidation>
    <dataValidation type="list" allowBlank="1" showInputMessage="1" showErrorMessage="1" sqref="C2" xr:uid="{D1232682-0221-428B-8CB1-AB2E4D4F0DBE}">
      <formula1>"需扣减承租人权益,——"</formula1>
    </dataValidation>
    <dataValidation type="list" allowBlank="1" showInputMessage="1" showErrorMessage="1" sqref="F1" xr:uid="{15D13327-F412-41D7-BA6C-EA29621142F8}">
      <formula1>"售价,租金"</formula1>
    </dataValidation>
    <dataValidation type="list" allowBlank="1" showInputMessage="1" showErrorMessage="1" sqref="C22 E22 G22 I22" xr:uid="{37D17B31-5202-4E50-86FF-A8ECD761441A}">
      <formula1>基础设施水平</formula1>
    </dataValidation>
    <dataValidation type="list" allowBlank="1" showInputMessage="1" showErrorMessage="1" sqref="C8 E8 G8 I8" xr:uid="{57874C66-2676-4D53-B833-E98D7364C28A}">
      <formula1>办公交易情况</formula1>
    </dataValidation>
    <dataValidation type="list" allowBlank="1" showInputMessage="1" showErrorMessage="1" sqref="C43 E43 G43 I43" xr:uid="{41371817-450C-4277-911F-D7644F27EA1D}">
      <formula1>办公内部装修</formula1>
    </dataValidation>
    <dataValidation type="list" allowBlank="1" showInputMessage="1" showErrorMessage="1" sqref="C41 E41 G41 I41" xr:uid="{DB1605A5-49C2-402B-A0C3-802B8A78B398}">
      <formula1>办公层高</formula1>
    </dataValidation>
    <dataValidation type="list" allowBlank="1" showInputMessage="1" showErrorMessage="1" sqref="C40 E40 G40 I40" xr:uid="{BABD1CED-CACD-47E0-BDFD-5D0131D6D29E}">
      <formula1>办公基础设施水平</formula1>
    </dataValidation>
    <dataValidation type="list" allowBlank="1" showInputMessage="1" showErrorMessage="1" sqref="C39 E39 G39 I39" xr:uid="{99AC664B-F07B-4BEC-9CC4-D2B6EA13502F}">
      <formula1>办公物业管理</formula1>
    </dataValidation>
    <dataValidation type="list" allowBlank="1" showInputMessage="1" showErrorMessage="1" sqref="C38 E38 G38 I38" xr:uid="{A5FDF347-F40B-4AD7-8D3A-EEB7621AAD84}">
      <formula1>写字楼等级</formula1>
    </dataValidation>
    <dataValidation type="list" allowBlank="1" showInputMessage="1" showErrorMessage="1" sqref="C36 E36 G36 I36" xr:uid="{84208FA3-7DAC-4586-9F76-EE0465A32834}">
      <formula1>办公公共部分装修</formula1>
    </dataValidation>
    <dataValidation type="list" allowBlank="1" showInputMessage="1" showErrorMessage="1" sqref="C33 E33 G33 I33" xr:uid="{E4664157-9C91-4D8F-ADA6-42187BF046F0}">
      <formula1>办公建筑类型</formula1>
    </dataValidation>
    <dataValidation type="list" allowBlank="1" showInputMessage="1" showErrorMessage="1" sqref="C27 E27 G27 I27" xr:uid="{6F748D01-5822-4FD4-B7A2-5716B6609CC1}">
      <formula1>办公楼层</formula1>
    </dataValidation>
    <dataValidation type="list" allowBlank="1" showInputMessage="1" showErrorMessage="1" sqref="C28 E28 G28 I28" xr:uid="{B1B3AE0B-A45C-43AB-AA14-6EB897878F92}">
      <formula1>办公朝向</formula1>
    </dataValidation>
    <dataValidation type="list" allowBlank="1" showInputMessage="1" showErrorMessage="1" sqref="G26 C26 E26 I26" xr:uid="{FAC83557-8E52-4830-BA50-023E3C379A64}">
      <formula1>办公道路级别</formula1>
    </dataValidation>
    <dataValidation type="list" allowBlank="1" showInputMessage="1" showErrorMessage="1" sqref="C16 E16 G16 I16" xr:uid="{88859768-2CB2-4E9A-A94B-4AB41F30150B}">
      <formula1>办公集聚程度</formula1>
    </dataValidation>
    <dataValidation type="list" allowBlank="1" showInputMessage="1" showErrorMessage="1" sqref="E9 G9 I9" xr:uid="{1B3E5862-EECF-4022-8BB2-578C26B9EEA1}">
      <formula1>办公用途</formula1>
    </dataValidation>
    <dataValidation type="list" allowBlank="1" showInputMessage="1" showErrorMessage="1" sqref="D1" xr:uid="{7C518B26-17B3-41B3-ABFC-D202DD63DE40}">
      <formula1>项目类型</formula1>
    </dataValidation>
    <dataValidation type="list" allowBlank="1" showInputMessage="1" showErrorMessage="1" sqref="C44 E44 G44 I44" xr:uid="{872419A8-B936-4956-8103-504825860CD4}">
      <formula1>内部装修维护情况</formula1>
    </dataValidation>
    <dataValidation type="list" allowBlank="1" showInputMessage="1" showErrorMessage="1" sqref="E20 I20 G20 C20" xr:uid="{8205B22B-9BB1-4DA6-9F97-92221F29FF52}">
      <formula1>公共配套设施</formula1>
    </dataValidation>
    <dataValidation type="list" allowBlank="1" showInputMessage="1" showErrorMessage="1" sqref="E18 G18 I18 C18" xr:uid="{140604D8-0467-404D-BDE7-B3D2D1128C10}">
      <formula1>交通便捷度</formula1>
    </dataValidation>
    <dataValidation type="list" allowBlank="1" showInputMessage="1" showErrorMessage="1" sqref="E24 G24 I24 C24" xr:uid="{C0AF8BCC-229D-4722-A0BA-AC7B43401DF8}">
      <formula1>环境</formula1>
    </dataValidation>
    <dataValidation type="list" allowBlank="1" showInputMessage="1" showErrorMessage="1" sqref="C35 E35 G35 I35" xr:uid="{ADD41866-71AB-4AAA-B482-0537BA264E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C40" sqref="C40"/>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3994</v>
      </c>
      <c r="D1" s="1260" t="s">
        <v>43</v>
      </c>
      <c r="E1" s="1261" t="s">
        <v>675</v>
      </c>
      <c r="F1" s="989">
        <f ca="1">J53</f>
        <v>25.53</v>
      </c>
      <c r="G1" s="1275">
        <f>MATCH(C1,'数据-取费表'!A6:A16,0)+5</f>
        <v>8</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875</v>
      </c>
      <c r="B2" s="3111">
        <f ca="1">ROUND(D2/10000,4)</f>
        <v>54.47</v>
      </c>
      <c r="C2" s="1278" t="s">
        <v>876</v>
      </c>
      <c r="D2" s="1364">
        <f ca="1">C40+J29+L46</f>
        <v>544700</v>
      </c>
      <c r="E2" s="1284" t="s">
        <v>877</v>
      </c>
      <c r="F2" s="1285"/>
      <c r="G2" s="2466"/>
      <c r="H2" s="2456"/>
      <c r="I2" s="2456"/>
      <c r="J2" s="2456"/>
      <c r="K2" s="2457"/>
      <c r="L2" s="2456"/>
      <c r="M2" s="2456"/>
    </row>
    <row r="3" spans="1:37" ht="18" customHeight="1" thickBot="1">
      <c r="A3" s="1286" t="s">
        <v>878</v>
      </c>
      <c r="B3" s="1287">
        <f ca="1">IF(ISERROR(D2/F43),0,ROUND(D2/F43,0))</f>
        <v>10585</v>
      </c>
      <c r="C3" s="1278" t="s">
        <v>879</v>
      </c>
      <c r="D3" s="1278"/>
      <c r="E3" s="1284"/>
      <c r="F3" s="1285"/>
      <c r="G3" s="2466"/>
      <c r="H3" s="645" t="s">
        <v>873</v>
      </c>
      <c r="I3" s="1279"/>
      <c r="J3" s="1279"/>
      <c r="K3" s="1280"/>
      <c r="L3" s="1279"/>
      <c r="M3" s="1279"/>
    </row>
    <row r="4" spans="1:37" ht="18" customHeight="1">
      <c r="A4" s="286" t="s">
        <v>880</v>
      </c>
      <c r="B4" s="287" t="s">
        <v>881</v>
      </c>
      <c r="C4" s="287" t="s">
        <v>882</v>
      </c>
      <c r="D4" s="287" t="s">
        <v>883</v>
      </c>
      <c r="E4" s="288" t="s">
        <v>884</v>
      </c>
      <c r="F4" s="289"/>
      <c r="G4" s="1281"/>
      <c r="H4" s="286" t="s">
        <v>880</v>
      </c>
      <c r="I4" s="287" t="s">
        <v>881</v>
      </c>
      <c r="J4" s="287" t="s">
        <v>882</v>
      </c>
      <c r="K4" s="287" t="s">
        <v>883</v>
      </c>
      <c r="L4" s="288" t="s">
        <v>884</v>
      </c>
      <c r="M4" s="289"/>
    </row>
    <row r="5" spans="1:37" ht="18" customHeight="1">
      <c r="A5" s="290">
        <v>1</v>
      </c>
      <c r="B5" s="291" t="s">
        <v>885</v>
      </c>
      <c r="C5" s="997">
        <f ca="1">C6+C10+C12</f>
        <v>40622</v>
      </c>
      <c r="D5" s="1262" t="s">
        <v>886</v>
      </c>
      <c r="E5" s="998"/>
      <c r="F5" s="999"/>
      <c r="G5" s="1281"/>
      <c r="H5" s="290">
        <v>1</v>
      </c>
      <c r="I5" s="291" t="s">
        <v>885</v>
      </c>
      <c r="J5" s="997">
        <f ca="1">J6+J10+J12</f>
        <v>0</v>
      </c>
      <c r="K5" s="1262" t="s">
        <v>886</v>
      </c>
      <c r="L5" s="998"/>
      <c r="M5" s="999"/>
    </row>
    <row r="6" spans="1:37" ht="18" customHeight="1">
      <c r="A6" s="996" t="s">
        <v>398</v>
      </c>
      <c r="B6" s="3440" t="s">
        <v>691</v>
      </c>
      <c r="C6" s="1001">
        <f ca="1">ROUND(F6*F8*F7*(1-F9),0)</f>
        <v>40571</v>
      </c>
      <c r="D6" s="146" t="s">
        <v>2098</v>
      </c>
      <c r="E6" s="293" t="s">
        <v>693</v>
      </c>
      <c r="F6" s="294">
        <f ca="1">INDIRECT("'数据-取费表'!u"&amp;$G$1)</f>
        <v>2.4</v>
      </c>
      <c r="G6" s="1281"/>
      <c r="H6" s="996" t="s">
        <v>398</v>
      </c>
      <c r="I6" s="3440" t="s">
        <v>691</v>
      </c>
      <c r="J6" s="292">
        <f ca="1">ROUND(M6*M8*M7*(1-M9),0)</f>
        <v>0</v>
      </c>
      <c r="K6" s="1273" t="s">
        <v>2099</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51.46</v>
      </c>
      <c r="G7" s="1281"/>
      <c r="H7" s="295"/>
      <c r="I7" s="3441"/>
      <c r="J7" s="297"/>
      <c r="K7" s="298"/>
      <c r="L7" s="293" t="s">
        <v>694</v>
      </c>
      <c r="M7" s="294">
        <f ca="1">F7</f>
        <v>51.46</v>
      </c>
    </row>
    <row r="8" spans="1:37" ht="18" customHeight="1">
      <c r="A8" s="295"/>
      <c r="B8" s="3441"/>
      <c r="C8" s="297"/>
      <c r="D8" s="298"/>
      <c r="E8" s="293" t="s">
        <v>695</v>
      </c>
      <c r="F8" s="294">
        <f ca="1">INDIRECT("'数据-取费表'!ai"&amp;$G$1)</f>
        <v>365</v>
      </c>
      <c r="G8" s="1281"/>
      <c r="H8" s="295"/>
      <c r="I8" s="3441"/>
      <c r="J8" s="297"/>
      <c r="K8" s="298"/>
      <c r="L8" s="293" t="s">
        <v>695</v>
      </c>
      <c r="M8" s="294">
        <f ca="1">INDIRECT("'数据-取费表'!ai"&amp;$G$1)</f>
        <v>365</v>
      </c>
    </row>
    <row r="9" spans="1:37" ht="18" customHeight="1">
      <c r="A9" s="295"/>
      <c r="B9" s="3442"/>
      <c r="C9" s="297"/>
      <c r="D9" s="298"/>
      <c r="E9" s="293" t="s">
        <v>696</v>
      </c>
      <c r="F9" s="303">
        <f ca="1">INDIRECT("'数据-取费表'!w"&amp;$G$1)</f>
        <v>0.1</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51</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233132</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180110</v>
      </c>
      <c r="D14" s="1246" t="s">
        <v>705</v>
      </c>
      <c r="E14" s="1244"/>
      <c r="F14" s="310"/>
      <c r="G14" s="1281"/>
      <c r="H14" s="921" t="s">
        <v>398</v>
      </c>
      <c r="I14" s="293" t="s">
        <v>706</v>
      </c>
      <c r="J14" s="21">
        <f ca="1">C29</f>
        <v>264923</v>
      </c>
      <c r="K14" s="12"/>
      <c r="L14" s="753"/>
      <c r="M14" s="754"/>
    </row>
    <row r="15" spans="1:37" s="1293" customFormat="1" ht="18" customHeight="1" thickBot="1">
      <c r="A15" s="921" t="s">
        <v>399</v>
      </c>
      <c r="B15" s="293" t="s">
        <v>707</v>
      </c>
      <c r="C15" s="21">
        <f ca="1">ROUND(C14*F15,0)</f>
        <v>9006</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1325</v>
      </c>
      <c r="K16" s="1014" t="s">
        <v>712</v>
      </c>
      <c r="L16" s="1015"/>
      <c r="M16" s="999"/>
    </row>
    <row r="17" spans="1:37" s="1293" customFormat="1" ht="18" customHeight="1">
      <c r="A17" s="921" t="s">
        <v>678</v>
      </c>
      <c r="B17" s="293" t="s">
        <v>713</v>
      </c>
      <c r="C17" s="21">
        <f ca="1">ROUND(F17*(F43+INDIRECT("'数据-取费表'!S"&amp;$G$1)),0)</f>
        <v>10292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3602</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203010</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4060</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1325</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6419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741</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ROUND(J5*M24,0)</f>
        <v>0</v>
      </c>
      <c r="K24" s="1019" t="s">
        <v>745</v>
      </c>
      <c r="L24" s="1017" t="s">
        <v>741</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-1325</v>
      </c>
      <c r="K25" s="1022" t="s">
        <v>750</v>
      </c>
      <c r="L25" s="1023"/>
      <c r="M25" s="1024"/>
    </row>
    <row r="26" spans="1:37" ht="18" customHeight="1">
      <c r="A26" s="921" t="s">
        <v>397</v>
      </c>
      <c r="B26" s="293" t="s">
        <v>751</v>
      </c>
      <c r="C26" s="21">
        <f ca="1">ROUND((C19+C20)*F26,0)</f>
        <v>31061</v>
      </c>
      <c r="D26" s="314" t="s">
        <v>752</v>
      </c>
      <c r="E26" s="304" t="s">
        <v>753</v>
      </c>
      <c r="F26" s="303">
        <f ca="1">INDIRECT("'数据-取费表'!q"&amp;$G$1)</f>
        <v>0.15</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3.0000000000000001E-3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5.33E-2</v>
      </c>
      <c r="D28" s="314" t="s">
        <v>762</v>
      </c>
      <c r="E28" s="293" t="s">
        <v>709</v>
      </c>
      <c r="F28" s="313">
        <f>'数据-取费表'!B41</f>
        <v>5.6000000000000001E-2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264923</v>
      </c>
      <c r="D29" s="1019"/>
      <c r="E29" s="1017"/>
      <c r="F29" s="1020"/>
      <c r="G29" s="1292"/>
      <c r="H29" s="324" t="s">
        <v>396</v>
      </c>
      <c r="I29" s="325" t="s">
        <v>765</v>
      </c>
      <c r="J29" s="326">
        <f ca="1">ROUND(J26/(1+F40)^F41,0)</f>
        <v>0</v>
      </c>
      <c r="K29" s="327" t="s">
        <v>766</v>
      </c>
      <c r="L29" s="328"/>
      <c r="M29" s="329">
        <f ca="1">INDIRECT("'数据-取费表'!k"&amp;$G$1)</f>
        <v>51.46</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8765</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6801</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2164</v>
      </c>
      <c r="D32" s="1245" t="s">
        <v>721</v>
      </c>
      <c r="E32" s="293" t="s">
        <v>709</v>
      </c>
      <c r="F32" s="321">
        <f>'数据-取费表'!B41</f>
        <v>5.6000000000000001E-2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4637</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1325</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233</v>
      </c>
      <c r="D37" s="1245" t="s">
        <v>740</v>
      </c>
      <c r="E37" s="293" t="s">
        <v>741</v>
      </c>
      <c r="F37" s="320">
        <f ca="1">INDIRECT("'数据-取费表'!Al"&amp;$G$1)</f>
        <v>1E-3</v>
      </c>
      <c r="G37" s="1281"/>
      <c r="H37" s="2461"/>
      <c r="I37" s="1294"/>
      <c r="J37" s="1295"/>
      <c r="K37" s="2318"/>
      <c r="L37" s="2461"/>
      <c r="M37" s="2461"/>
    </row>
    <row r="38" spans="1:18" ht="18" customHeight="1" thickBot="1">
      <c r="A38" s="1016" t="s">
        <v>681</v>
      </c>
      <c r="B38" s="1017" t="s">
        <v>725</v>
      </c>
      <c r="C38" s="1018">
        <f ca="1">ROUND(C5*F38,0)</f>
        <v>406</v>
      </c>
      <c r="D38" s="1019" t="s">
        <v>745</v>
      </c>
      <c r="E38" s="1017" t="s">
        <v>741</v>
      </c>
      <c r="F38" s="1013">
        <f ca="1">INDIRECT("'数据-取费表'!Am"&amp;$G$1)</f>
        <v>0.01</v>
      </c>
      <c r="G38" s="1281"/>
      <c r="H38" s="2461"/>
      <c r="I38" s="1294"/>
      <c r="J38" s="1295"/>
      <c r="K38" s="2459"/>
      <c r="L38" s="2461"/>
      <c r="M38" s="2461"/>
    </row>
    <row r="39" spans="1:18" ht="24.6" customHeight="1" thickTop="1">
      <c r="A39" s="1006" t="s">
        <v>394</v>
      </c>
      <c r="B39" s="1021" t="s">
        <v>769</v>
      </c>
      <c r="C39" s="301">
        <f ca="1">C5-C30</f>
        <v>31857</v>
      </c>
      <c r="D39" s="1022" t="s">
        <v>770</v>
      </c>
      <c r="E39" s="1023"/>
      <c r="F39" s="1024"/>
      <c r="G39" s="1281"/>
      <c r="H39" s="2461"/>
      <c r="I39" s="1294"/>
      <c r="J39" s="1295"/>
      <c r="K39" s="2459"/>
      <c r="L39" s="2461"/>
      <c r="M39" s="2461"/>
    </row>
    <row r="40" spans="1:18" ht="18" customHeight="1">
      <c r="A40" s="290" t="s">
        <v>395</v>
      </c>
      <c r="B40" s="291" t="s">
        <v>771</v>
      </c>
      <c r="C40" s="292">
        <f ca="1">ROUND(C39*(1-((1+F42)/(1+F40))^F41)/(F40-F42),0)</f>
        <v>525552</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25.53</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10213</v>
      </c>
      <c r="D43" s="327" t="s">
        <v>774</v>
      </c>
      <c r="E43" s="328" t="s">
        <v>775</v>
      </c>
      <c r="F43" s="329">
        <f ca="1">INDIRECT("'数据-取费表'!k"&amp;$G$1)</f>
        <v>51.46</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-54.665900000000001</v>
      </c>
      <c r="D45" s="3117" t="s">
        <v>3343</v>
      </c>
      <c r="E45" s="1296"/>
      <c r="F45" s="1296"/>
      <c r="O45" s="1299" t="s">
        <v>805</v>
      </c>
      <c r="P45" s="1355"/>
      <c r="Q45" s="1355"/>
      <c r="R45" s="1355"/>
    </row>
    <row r="46" spans="1:18" s="1281" customFormat="1" ht="13.5" thickBot="1">
      <c r="A46" s="1300" t="s">
        <v>806</v>
      </c>
      <c r="C46" s="1301">
        <f ca="1">ROUND(C45,0)</f>
        <v>-55</v>
      </c>
      <c r="D46" s="1302" t="str">
        <f>C2</f>
        <v>万元</v>
      </c>
      <c r="I46" s="1303" t="s">
        <v>807</v>
      </c>
      <c r="J46" s="1304"/>
      <c r="K46" s="1305"/>
      <c r="L46" s="1306">
        <f ca="1">IF(M47="住宅",0,IF(L48&gt;J51,L60,J60))</f>
        <v>19148</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50</v>
      </c>
      <c r="M47" s="1277" t="str">
        <f>IF(ISNUMBER(FIND("住宅",C1)),"住宅","非住宅")</f>
        <v>非住宅</v>
      </c>
      <c r="O47" s="1314" t="s">
        <v>403</v>
      </c>
      <c r="P47" s="1315" t="s">
        <v>814</v>
      </c>
      <c r="Q47" s="1316">
        <f ca="1">C40+J29</f>
        <v>525552</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25.53</v>
      </c>
      <c r="O48" s="1314" t="s">
        <v>404</v>
      </c>
      <c r="P48" s="1315" t="s">
        <v>818</v>
      </c>
      <c r="Q48" s="1316">
        <f ca="1">J60</f>
        <v>19148</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264923</v>
      </c>
      <c r="R49" s="1316" t="s">
        <v>815</v>
      </c>
    </row>
    <row r="50" spans="1:18" s="1281" customFormat="1" ht="13.5" thickBot="1">
      <c r="A50" s="915"/>
      <c r="B50" s="918"/>
      <c r="C50" s="919"/>
      <c r="D50" s="892"/>
      <c r="E50" s="983" t="s">
        <v>694</v>
      </c>
      <c r="F50" s="984">
        <f ca="1">F7</f>
        <v>51.46</v>
      </c>
      <c r="H50" s="678"/>
      <c r="I50" s="1317" t="s">
        <v>823</v>
      </c>
      <c r="J50" s="1324">
        <f>SUMPRODUCT((I63:I65=J47)*(J62:L62=J48)*(J63:L65))</f>
        <v>60</v>
      </c>
      <c r="K50" s="1319" t="s">
        <v>824</v>
      </c>
      <c r="L50" s="1322"/>
      <c r="M50" s="1325"/>
      <c r="O50" s="1323" t="s">
        <v>406</v>
      </c>
      <c r="P50" s="1315" t="s">
        <v>825</v>
      </c>
      <c r="Q50" s="1326">
        <f ca="1">J58</f>
        <v>0.45800000000000002</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311786</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25.53</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25.53</v>
      </c>
      <c r="K53" s="3438" t="s">
        <v>834</v>
      </c>
      <c r="L53" s="3439"/>
      <c r="O53" s="1314" t="s">
        <v>409</v>
      </c>
      <c r="P53" s="1315" t="s">
        <v>835</v>
      </c>
      <c r="Q53" s="1316">
        <f ca="1">Q47+Q48</f>
        <v>544700</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0.45800000000000002</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233132</v>
      </c>
      <c r="D56" s="1341"/>
      <c r="E56" s="1342"/>
      <c r="F56" s="1334"/>
      <c r="I56" s="1343" t="s">
        <v>839</v>
      </c>
      <c r="J56" s="1344" t="s">
        <v>4002</v>
      </c>
      <c r="K56" s="1317" t="s">
        <v>840</v>
      </c>
      <c r="L56" s="1320" t="str">
        <f ca="1">IF(L48&lt;J51,"——",L48-J51)</f>
        <v>——</v>
      </c>
      <c r="O56" s="1314" t="s">
        <v>403</v>
      </c>
      <c r="P56" s="1315" t="s">
        <v>814</v>
      </c>
      <c r="Q56" s="1316">
        <f ca="1">C40+J29</f>
        <v>525552</v>
      </c>
      <c r="R56" s="1316" t="s">
        <v>815</v>
      </c>
    </row>
    <row r="57" spans="1:18" s="1281" customFormat="1" ht="24.75" thickBot="1">
      <c r="A57" s="1345"/>
      <c r="B57" s="889" t="s">
        <v>764</v>
      </c>
      <c r="C57" s="229">
        <f ca="1">C29</f>
        <v>264923</v>
      </c>
      <c r="D57" s="1346"/>
      <c r="E57" s="1347"/>
      <c r="F57" s="1348"/>
      <c r="I57" s="1349" t="s">
        <v>841</v>
      </c>
      <c r="J57" s="1350">
        <f ca="1">IF(OR(M47="住宅",J51&lt;L48,J56="是"),"——",J51-L48)</f>
        <v>27.47</v>
      </c>
      <c r="K57" s="1317" t="s">
        <v>889</v>
      </c>
      <c r="L57" s="1320" t="str">
        <f ca="1">IF(L48&lt;J51,"——",IF(L55="比较法",L49,IF(L55="基准地价",L50,L51)))</f>
        <v>——</v>
      </c>
      <c r="O57" s="1314" t="s">
        <v>404</v>
      </c>
      <c r="P57" s="1315" t="s">
        <v>890</v>
      </c>
      <c r="Q57" s="1316">
        <f ca="1">L60</f>
        <v>0</v>
      </c>
      <c r="R57" s="1316" t="s">
        <v>891</v>
      </c>
    </row>
    <row r="58" spans="1:18" s="1281" customFormat="1" ht="24.75" thickBot="1">
      <c r="A58" s="306" t="s">
        <v>393</v>
      </c>
      <c r="B58" s="897" t="s">
        <v>711</v>
      </c>
      <c r="C58" s="307">
        <f ca="1">ROUND(C59+C64+C65+C66,0)</f>
        <v>1558</v>
      </c>
      <c r="D58" s="899" t="s">
        <v>712</v>
      </c>
      <c r="E58" s="900"/>
      <c r="F58" s="901"/>
      <c r="I58" s="1349" t="s">
        <v>845</v>
      </c>
      <c r="J58" s="1351">
        <f ca="1">IF(J55&lt;0.4,0.4,J55)</f>
        <v>0.45800000000000002</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121335</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5.6000000000000001E-2</v>
      </c>
      <c r="I60" s="1352" t="s">
        <v>850</v>
      </c>
      <c r="J60" s="1353">
        <f ca="1">IF(OR(M47="住宅",J51&lt;L48,J56="是"),"0",ROUND(J59/(1+J52)^J53,0))</f>
        <v>19148</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IF(项目基本情况!B11="自然人","——",IF(D61="按租金收入计税",ROUND(C49*F61/(1+'数据-取费表'!C42),0),IF(D61="按房产原值计税",ROUND(C57*F61*0.7,0),INDIRECT("'数据-取费表'!Aj"&amp;$G$1))))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IF(项目基本情况!B11="自然人","——",ROUND(F62*F63,0))</f>
        <v>0</v>
      </c>
      <c r="D62" s="904" t="s">
        <v>783</v>
      </c>
      <c r="E62" s="889" t="s">
        <v>784</v>
      </c>
      <c r="F62" s="316">
        <f t="shared" si="0"/>
        <v>1.5</v>
      </c>
      <c r="I62" s="1356" t="s">
        <v>855</v>
      </c>
      <c r="J62" s="609" t="s">
        <v>856</v>
      </c>
      <c r="K62" s="609" t="s">
        <v>857</v>
      </c>
      <c r="L62" s="609" t="s">
        <v>858</v>
      </c>
      <c r="M62" s="1357" t="s">
        <v>859</v>
      </c>
      <c r="O62" s="1314" t="s">
        <v>409</v>
      </c>
      <c r="P62" s="1315" t="s">
        <v>860</v>
      </c>
      <c r="Q62" s="1316">
        <f ca="1">Q56+Q57</f>
        <v>525552</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ROUND(C57*F64,0)</f>
        <v>1325</v>
      </c>
      <c r="D64" s="903" t="s">
        <v>788</v>
      </c>
      <c r="E64" s="889" t="s">
        <v>780</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233</v>
      </c>
      <c r="D65" s="903" t="s">
        <v>740</v>
      </c>
      <c r="E65" s="889" t="s">
        <v>741</v>
      </c>
      <c r="F65" s="320">
        <f t="shared" ca="1" si="0"/>
        <v>1E-3</v>
      </c>
      <c r="I65" s="1356" t="s">
        <v>864</v>
      </c>
      <c r="J65" s="609">
        <v>40</v>
      </c>
      <c r="K65" s="609">
        <v>30</v>
      </c>
      <c r="L65" s="609">
        <v>50</v>
      </c>
      <c r="M65" s="1358">
        <v>0.02</v>
      </c>
      <c r="O65" s="1314" t="s">
        <v>403</v>
      </c>
      <c r="P65" s="1315" t="s">
        <v>865</v>
      </c>
      <c r="Q65" s="1316">
        <f ca="1">C40+J29</f>
        <v>525552</v>
      </c>
      <c r="R65" s="1316" t="s">
        <v>815</v>
      </c>
    </row>
    <row r="66" spans="1:18" s="1281" customFormat="1" ht="16.5" thickBot="1">
      <c r="A66" s="921" t="s">
        <v>790</v>
      </c>
      <c r="B66" s="889" t="s">
        <v>725</v>
      </c>
      <c r="C66" s="21">
        <f ca="1">ROUND(C48*F66,0)</f>
        <v>0</v>
      </c>
      <c r="D66" s="903" t="s">
        <v>791</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-1558</v>
      </c>
      <c r="D67" s="902" t="s">
        <v>750</v>
      </c>
      <c r="E67" s="907"/>
      <c r="F67" s="908"/>
      <c r="O67" s="1323" t="s">
        <v>405</v>
      </c>
      <c r="P67" s="1315" t="s">
        <v>847</v>
      </c>
      <c r="Q67" s="1359">
        <f ca="1">L51</f>
        <v>311786</v>
      </c>
      <c r="R67" s="1316" t="s">
        <v>867</v>
      </c>
    </row>
    <row r="68" spans="1:18" s="1281" customFormat="1" ht="16.5" thickBot="1">
      <c r="A68" s="886" t="s">
        <v>395</v>
      </c>
      <c r="B68" s="887" t="s">
        <v>771</v>
      </c>
      <c r="C68" s="292">
        <f ca="1">ROUND(C67*(1-((1+F70)/(1+F68))^F69)/(F68-F70),0)</f>
        <v>-21107</v>
      </c>
      <c r="D68" s="904" t="s">
        <v>755</v>
      </c>
      <c r="E68" s="889" t="s">
        <v>756</v>
      </c>
      <c r="F68" s="303">
        <f ca="1">F40</f>
        <v>5.5E-2</v>
      </c>
      <c r="O68" s="1323" t="s">
        <v>406</v>
      </c>
      <c r="P68" s="1360" t="s">
        <v>868</v>
      </c>
      <c r="Q68" s="1316">
        <f ca="1">ROUND(Q69-Q70*Q71,0)</f>
        <v>15538</v>
      </c>
      <c r="R68" s="1316" t="s">
        <v>414</v>
      </c>
    </row>
    <row r="69" spans="1:18" s="1281" customFormat="1" ht="13.5" thickBot="1">
      <c r="A69" s="890"/>
      <c r="B69" s="891"/>
      <c r="C69" s="297"/>
      <c r="D69" s="909" t="s">
        <v>759</v>
      </c>
      <c r="E69" s="889" t="s">
        <v>760</v>
      </c>
      <c r="F69" s="323">
        <f ca="1">F41</f>
        <v>25.53</v>
      </c>
      <c r="O69" s="1323" t="s">
        <v>411</v>
      </c>
      <c r="P69" s="1360" t="s">
        <v>869</v>
      </c>
      <c r="Q69" s="1316">
        <f ca="1">C39</f>
        <v>31857</v>
      </c>
      <c r="R69" s="1316" t="s">
        <v>815</v>
      </c>
    </row>
    <row r="70" spans="1:18" s="1281" customFormat="1" ht="13.5" thickBot="1">
      <c r="A70" s="893"/>
      <c r="B70" s="894"/>
      <c r="C70" s="301"/>
      <c r="D70" s="905"/>
      <c r="E70" s="889" t="s">
        <v>763</v>
      </c>
      <c r="F70" s="981"/>
      <c r="O70" s="1323" t="s">
        <v>412</v>
      </c>
      <c r="P70" s="1360" t="s">
        <v>870</v>
      </c>
      <c r="Q70" s="1316">
        <f ca="1">C13</f>
        <v>233132</v>
      </c>
      <c r="R70" s="1316" t="s">
        <v>815</v>
      </c>
    </row>
    <row r="71" spans="1:18" s="1281" customFormat="1" ht="13.5" thickBot="1">
      <c r="A71" s="910" t="s">
        <v>396</v>
      </c>
      <c r="B71" s="911" t="s">
        <v>773</v>
      </c>
      <c r="C71" s="326">
        <f ca="1">ROUND(C68/F71,0)</f>
        <v>-410</v>
      </c>
      <c r="D71" s="912" t="s">
        <v>774</v>
      </c>
      <c r="E71" s="913" t="s">
        <v>775</v>
      </c>
      <c r="F71" s="329">
        <f ca="1">F43</f>
        <v>51.46</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16319</v>
      </c>
      <c r="D75" s="1281"/>
      <c r="E75" s="1281"/>
      <c r="F75" s="1281"/>
      <c r="K75" s="1298"/>
      <c r="L75" s="1281"/>
      <c r="O75" s="1314" t="s">
        <v>409</v>
      </c>
      <c r="P75" s="1315" t="s">
        <v>835</v>
      </c>
      <c r="Q75" s="1316">
        <f ca="1">Q65+Q66</f>
        <v>525552</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0.48799999999999999</v>
      </c>
    </row>
    <row r="80" spans="1:18">
      <c r="B80" s="330" t="s">
        <v>797</v>
      </c>
      <c r="C80" s="265">
        <f ca="1">ROUND(C75/C39,3)</f>
        <v>0.51200000000000001</v>
      </c>
    </row>
    <row r="81" spans="2:3">
      <c r="B81" s="261" t="s">
        <v>798</v>
      </c>
      <c r="C81" s="229"/>
    </row>
    <row r="82" spans="2:3">
      <c r="B82" s="264" t="s">
        <v>799</v>
      </c>
      <c r="C82" s="266">
        <f ca="1">1-C83</f>
        <v>0.55600000000000005</v>
      </c>
    </row>
    <row r="83" spans="2:3">
      <c r="B83" s="264" t="s">
        <v>800</v>
      </c>
      <c r="C83" s="265">
        <f ca="1">ROUND(C13/C40,3)</f>
        <v>0.44400000000000001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2425</v>
      </c>
      <c r="B1" s="2571"/>
      <c r="C1" s="2583"/>
      <c r="D1" s="2583"/>
      <c r="E1" s="2572"/>
      <c r="F1" s="2573"/>
      <c r="G1" s="2574"/>
      <c r="J1" s="2577" t="s">
        <v>2304</v>
      </c>
      <c r="K1" s="2578"/>
      <c r="L1" s="2578"/>
      <c r="M1" s="2578"/>
      <c r="N1" s="2578"/>
      <c r="O1" s="2578"/>
      <c r="P1" s="2578"/>
      <c r="Q1" s="2578"/>
      <c r="R1" s="2579"/>
      <c r="S1" s="2580"/>
      <c r="T1" s="2580"/>
      <c r="U1" s="2580"/>
    </row>
    <row r="2" spans="1:22" s="2592" customFormat="1" ht="13.15" customHeight="1">
      <c r="A2" s="1282" t="s">
        <v>2305</v>
      </c>
      <c r="B2" s="2582" t="e">
        <f>IF(D2="——",C40,C40+E2)</f>
        <v>#DIV/0!</v>
      </c>
      <c r="C2" s="2583" t="s">
        <v>2306</v>
      </c>
      <c r="D2" s="3125" t="s">
        <v>3349</v>
      </c>
      <c r="E2" s="3126"/>
      <c r="F2" s="2585"/>
      <c r="G2" s="2586"/>
      <c r="H2" s="2587"/>
      <c r="I2" s="2588"/>
      <c r="J2" s="3443" t="s">
        <v>2307</v>
      </c>
      <c r="K2" s="3444"/>
      <c r="L2" s="2589" t="s">
        <v>2308</v>
      </c>
      <c r="M2" s="2589" t="s">
        <v>2309</v>
      </c>
      <c r="N2" s="2589" t="s">
        <v>2310</v>
      </c>
      <c r="O2" s="2589" t="s">
        <v>2311</v>
      </c>
      <c r="P2" s="2589" t="s">
        <v>2312</v>
      </c>
      <c r="Q2" s="2590" t="s">
        <v>2313</v>
      </c>
      <c r="R2" s="2591" t="s">
        <v>2314</v>
      </c>
      <c r="S2" s="2580"/>
      <c r="T2" s="2580"/>
      <c r="U2" s="2580"/>
      <c r="V2" s="2588"/>
    </row>
    <row r="3" spans="1:22" s="2592" customFormat="1" ht="13.15" customHeight="1">
      <c r="A3" s="2593" t="s">
        <v>2315</v>
      </c>
      <c r="B3" s="2594" t="e">
        <f>ROUND(B2*10000/B4,0)</f>
        <v>#DIV/0!</v>
      </c>
      <c r="C3" s="2583" t="s">
        <v>2316</v>
      </c>
      <c r="D3" s="2583"/>
      <c r="E3" s="2584"/>
      <c r="F3" s="2585"/>
      <c r="G3" s="2586"/>
      <c r="H3" s="2587"/>
      <c r="I3" s="2588"/>
      <c r="J3" s="3445" t="s">
        <v>2317</v>
      </c>
      <c r="K3" s="3446"/>
      <c r="L3" s="2595"/>
      <c r="M3" s="2595"/>
      <c r="N3" s="2595"/>
      <c r="O3" s="2595"/>
      <c r="P3" s="2595"/>
      <c r="Q3" s="2596"/>
      <c r="R3" s="2597">
        <f>SUM(L3:Q3)</f>
        <v>0</v>
      </c>
      <c r="S3" s="2580"/>
      <c r="T3" s="2580"/>
      <c r="U3" s="2580"/>
      <c r="V3" s="2588"/>
    </row>
    <row r="4" spans="1:22" s="2592" customFormat="1" ht="13.15" customHeight="1">
      <c r="A4" s="2598" t="s">
        <v>2318</v>
      </c>
      <c r="B4" s="2599"/>
      <c r="C4" s="2583"/>
      <c r="D4" s="2583"/>
      <c r="E4" s="2584"/>
      <c r="F4" s="2585"/>
      <c r="G4" s="2586"/>
      <c r="H4" s="2587"/>
      <c r="I4" s="2588"/>
      <c r="J4" s="3445" t="s">
        <v>2319</v>
      </c>
      <c r="K4" s="3446"/>
      <c r="L4" s="2600"/>
      <c r="M4" s="2600"/>
      <c r="N4" s="2600"/>
      <c r="O4" s="2600"/>
      <c r="P4" s="2600"/>
      <c r="Q4" s="2601"/>
      <c r="R4" s="2602">
        <f>SUM(L4:Q4)</f>
        <v>0</v>
      </c>
      <c r="S4" s="2580"/>
      <c r="T4" s="2580"/>
      <c r="U4" s="2580"/>
      <c r="V4" s="2588"/>
    </row>
    <row r="5" spans="1:22" s="2592" customFormat="1" ht="13.15" customHeight="1" thickBot="1">
      <c r="A5" s="2603" t="s">
        <v>2320</v>
      </c>
      <c r="B5" s="2604"/>
      <c r="C5" s="2583"/>
      <c r="D5" s="2605"/>
      <c r="E5" s="2585"/>
      <c r="F5" s="2585"/>
      <c r="G5" s="2586"/>
      <c r="H5" s="2587"/>
      <c r="I5" s="2588"/>
      <c r="J5" s="2606" t="s">
        <v>2321</v>
      </c>
      <c r="K5" s="2607"/>
      <c r="L5" s="2607"/>
      <c r="M5" s="2608"/>
      <c r="N5" s="2608"/>
      <c r="O5" s="2608"/>
      <c r="P5" s="2608"/>
      <c r="Q5" s="2608"/>
      <c r="R5" s="2591">
        <f>SUM(R14,R19,R24,R25,R27,R28)</f>
        <v>0</v>
      </c>
      <c r="S5" s="2580"/>
      <c r="T5" s="2580" t="s">
        <v>2322</v>
      </c>
      <c r="U5" s="2580" t="e">
        <f>ROUND(R5*10000/365/R3,1)</f>
        <v>#DIV/0!</v>
      </c>
      <c r="V5" s="2588"/>
    </row>
    <row r="6" spans="1:22" s="2592" customFormat="1" ht="13.15" customHeight="1" thickBot="1">
      <c r="A6" s="3447" t="s">
        <v>2323</v>
      </c>
      <c r="B6" s="3448"/>
      <c r="C6" s="3449"/>
      <c r="D6" s="2609"/>
      <c r="E6" s="2610"/>
      <c r="F6" s="2611"/>
      <c r="G6" s="2612"/>
      <c r="H6" s="2587"/>
      <c r="I6" s="2588"/>
      <c r="J6" s="3450">
        <v>1</v>
      </c>
      <c r="K6" s="3451" t="s">
        <v>2324</v>
      </c>
      <c r="L6" s="2613" t="s">
        <v>2325</v>
      </c>
      <c r="M6" s="2614" t="s">
        <v>2326</v>
      </c>
      <c r="N6" s="2614" t="s">
        <v>2327</v>
      </c>
      <c r="O6" s="2614" t="s">
        <v>2328</v>
      </c>
      <c r="P6" s="2614" t="s">
        <v>2329</v>
      </c>
      <c r="Q6" s="2614" t="s">
        <v>2330</v>
      </c>
      <c r="R6" s="2597" t="s">
        <v>2331</v>
      </c>
      <c r="S6" s="2580"/>
      <c r="T6" s="2580" t="s">
        <v>2332</v>
      </c>
      <c r="U6" s="2580"/>
      <c r="V6" s="2588"/>
    </row>
    <row r="7" spans="1:22" s="2592" customFormat="1" ht="13.15" customHeight="1">
      <c r="A7" s="2615" t="s">
        <v>2333</v>
      </c>
      <c r="B7" s="2616"/>
      <c r="C7" s="2617"/>
      <c r="D7" s="2618">
        <f>SUM(D9,D10,D11,D17,0)</f>
        <v>0</v>
      </c>
      <c r="E7" s="2619" t="e">
        <f>E9+E10+E11+E17</f>
        <v>#DIV/0!</v>
      </c>
      <c r="F7" s="2620"/>
      <c r="G7" s="2621"/>
      <c r="H7" s="2587"/>
      <c r="I7" s="2588"/>
      <c r="J7" s="3450"/>
      <c r="K7" s="3452"/>
      <c r="L7" s="2622" t="s">
        <v>2334</v>
      </c>
      <c r="M7" s="2623"/>
      <c r="N7" s="2599"/>
      <c r="O7" s="2624"/>
      <c r="P7" s="2624"/>
      <c r="Q7" s="2625">
        <v>365</v>
      </c>
      <c r="R7" s="2626">
        <f>ROUND(M7*N7*O7*P7*Q7/10000,0)</f>
        <v>0</v>
      </c>
      <c r="S7" s="2580"/>
      <c r="T7" s="2580" t="s">
        <v>2335</v>
      </c>
      <c r="U7" s="2580"/>
      <c r="V7" s="2588"/>
    </row>
    <row r="8" spans="1:22" s="2592" customFormat="1" ht="13.15" customHeight="1">
      <c r="A8" s="2627" t="s">
        <v>2336</v>
      </c>
      <c r="B8" s="3454" t="s">
        <v>2337</v>
      </c>
      <c r="C8" s="3455"/>
      <c r="D8" s="2628" t="s">
        <v>2338</v>
      </c>
      <c r="E8" s="2629" t="s">
        <v>2339</v>
      </c>
      <c r="F8" s="2630" t="s">
        <v>2340</v>
      </c>
      <c r="G8" s="2631"/>
      <c r="H8" s="2587"/>
      <c r="I8" s="2588"/>
      <c r="J8" s="3450"/>
      <c r="K8" s="3452"/>
      <c r="L8" s="2622" t="s">
        <v>2341</v>
      </c>
      <c r="M8" s="2623"/>
      <c r="N8" s="2599"/>
      <c r="O8" s="2624"/>
      <c r="P8" s="2624"/>
      <c r="Q8" s="2625">
        <v>365</v>
      </c>
      <c r="R8" s="2626">
        <f t="shared" ref="R8:R13" si="0">ROUND(M8*N8*O8*P8*Q8/10000,0)</f>
        <v>0</v>
      </c>
      <c r="S8" s="2580"/>
      <c r="T8" s="2580" t="s">
        <v>2342</v>
      </c>
      <c r="U8" s="2580"/>
      <c r="V8" s="2588"/>
    </row>
    <row r="9" spans="1:22" s="2592" customFormat="1" ht="13.15" customHeight="1">
      <c r="A9" s="2627">
        <v>1</v>
      </c>
      <c r="B9" s="3454" t="s">
        <v>2343</v>
      </c>
      <c r="C9" s="3455"/>
      <c r="D9" s="2628">
        <f>ROUND(D6*E9,0)</f>
        <v>0</v>
      </c>
      <c r="E9" s="2632"/>
      <c r="F9" s="2633" t="s">
        <v>2344</v>
      </c>
      <c r="G9" s="2612"/>
      <c r="H9" s="2587"/>
      <c r="I9" s="2588"/>
      <c r="J9" s="3450"/>
      <c r="K9" s="3452"/>
      <c r="L9" s="2622" t="s">
        <v>2345</v>
      </c>
      <c r="M9" s="2623"/>
      <c r="N9" s="2599"/>
      <c r="O9" s="2624"/>
      <c r="P9" s="2624"/>
      <c r="Q9" s="2625">
        <v>365</v>
      </c>
      <c r="R9" s="2626">
        <f t="shared" si="0"/>
        <v>0</v>
      </c>
      <c r="S9" s="2580"/>
      <c r="T9" s="2580"/>
      <c r="U9" s="2580"/>
      <c r="V9" s="2588"/>
    </row>
    <row r="10" spans="1:22" s="2592" customFormat="1" ht="13.15" customHeight="1">
      <c r="A10" s="2627">
        <v>2</v>
      </c>
      <c r="B10" s="3454" t="s">
        <v>2346</v>
      </c>
      <c r="C10" s="3455"/>
      <c r="D10" s="2628">
        <f>ROUND(D6*E10,0)</f>
        <v>0</v>
      </c>
      <c r="E10" s="2632"/>
      <c r="F10" s="2633" t="s">
        <v>2347</v>
      </c>
      <c r="G10" s="2612"/>
      <c r="H10" s="2587"/>
      <c r="I10" s="2588"/>
      <c r="J10" s="3450"/>
      <c r="K10" s="3452"/>
      <c r="L10" s="2622" t="s">
        <v>2348</v>
      </c>
      <c r="M10" s="2623"/>
      <c r="N10" s="2599"/>
      <c r="O10" s="2624"/>
      <c r="P10" s="2624"/>
      <c r="Q10" s="2625">
        <v>365</v>
      </c>
      <c r="R10" s="2626">
        <f t="shared" si="0"/>
        <v>0</v>
      </c>
      <c r="S10" s="2580"/>
      <c r="T10" s="2580"/>
      <c r="U10" s="2580"/>
      <c r="V10" s="2588"/>
    </row>
    <row r="11" spans="1:22" s="2592" customFormat="1" ht="13.15" customHeight="1">
      <c r="A11" s="2627">
        <v>3</v>
      </c>
      <c r="B11" s="3454" t="s">
        <v>2349</v>
      </c>
      <c r="C11" s="3455"/>
      <c r="D11" s="2628">
        <f>D12+D14+D15+D16</f>
        <v>0</v>
      </c>
      <c r="E11" s="2634" t="e">
        <f>D11/D6</f>
        <v>#DIV/0!</v>
      </c>
      <c r="F11" s="2630"/>
      <c r="G11" s="2631"/>
      <c r="H11" s="2587"/>
      <c r="I11" s="2588"/>
      <c r="J11" s="3450"/>
      <c r="K11" s="3452"/>
      <c r="L11" s="2622" t="s">
        <v>2350</v>
      </c>
      <c r="M11" s="2623"/>
      <c r="N11" s="2599"/>
      <c r="O11" s="2624"/>
      <c r="P11" s="2624"/>
      <c r="Q11" s="2625">
        <v>365</v>
      </c>
      <c r="R11" s="2626">
        <f t="shared" si="0"/>
        <v>0</v>
      </c>
      <c r="S11" s="2580"/>
      <c r="T11" s="2580"/>
      <c r="U11" s="2580"/>
      <c r="V11" s="2588"/>
    </row>
    <row r="12" spans="1:22" s="2592" customFormat="1" ht="13.15" customHeight="1">
      <c r="A12" s="2635" t="s">
        <v>2351</v>
      </c>
      <c r="B12" s="3456" t="s">
        <v>2352</v>
      </c>
      <c r="C12" s="3457"/>
      <c r="D12" s="2636">
        <f>ROUND(D13*1.2%*(1-30%),0)</f>
        <v>0</v>
      </c>
      <c r="E12" s="2637">
        <v>1.2E-2</v>
      </c>
      <c r="F12" s="2630" t="s">
        <v>2353</v>
      </c>
      <c r="G12" s="2631"/>
      <c r="H12" s="2587"/>
      <c r="I12" s="2588"/>
      <c r="J12" s="3450"/>
      <c r="K12" s="3452"/>
      <c r="L12" s="2622" t="s">
        <v>2354</v>
      </c>
      <c r="M12" s="2623"/>
      <c r="N12" s="2599"/>
      <c r="O12" s="2624"/>
      <c r="P12" s="2624"/>
      <c r="Q12" s="2625">
        <v>365</v>
      </c>
      <c r="R12" s="2626">
        <f t="shared" si="0"/>
        <v>0</v>
      </c>
      <c r="S12" s="2580"/>
      <c r="T12" s="2580"/>
      <c r="U12" s="2580"/>
      <c r="V12" s="2588"/>
    </row>
    <row r="13" spans="1:22" s="2592" customFormat="1" ht="13.15" customHeight="1">
      <c r="A13" s="2635"/>
      <c r="B13" s="2638"/>
      <c r="C13" s="2639" t="s">
        <v>2355</v>
      </c>
      <c r="D13" s="2640"/>
      <c r="E13" s="2641"/>
      <c r="F13" s="2630"/>
      <c r="G13" s="2631"/>
      <c r="H13" s="2587"/>
      <c r="I13" s="2588"/>
      <c r="J13" s="3450"/>
      <c r="K13" s="3452"/>
      <c r="L13" s="2622" t="s">
        <v>2356</v>
      </c>
      <c r="M13" s="2623"/>
      <c r="N13" s="2599"/>
      <c r="O13" s="2624"/>
      <c r="P13" s="2624"/>
      <c r="Q13" s="2625">
        <v>365</v>
      </c>
      <c r="R13" s="2626">
        <f t="shared" si="0"/>
        <v>0</v>
      </c>
      <c r="S13" s="2580"/>
      <c r="T13" s="2580"/>
      <c r="U13" s="2580"/>
      <c r="V13" s="2588"/>
    </row>
    <row r="14" spans="1:22" s="2592" customFormat="1" ht="13.15" customHeight="1">
      <c r="A14" s="2635" t="s">
        <v>2357</v>
      </c>
      <c r="B14" s="3456" t="s">
        <v>2358</v>
      </c>
      <c r="C14" s="3457"/>
      <c r="D14" s="2636">
        <f>ROUND(E14*B5/10000,0)</f>
        <v>0</v>
      </c>
      <c r="E14" s="2625"/>
      <c r="F14" s="2630" t="s">
        <v>2359</v>
      </c>
      <c r="G14" s="2631"/>
      <c r="H14" s="2587"/>
      <c r="I14" s="2588"/>
      <c r="J14" s="3450"/>
      <c r="K14" s="3453"/>
      <c r="L14" s="2642" t="s">
        <v>2360</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2361</v>
      </c>
      <c r="B15" s="3456" t="s">
        <v>2362</v>
      </c>
      <c r="C15" s="3457"/>
      <c r="D15" s="2636">
        <f>ROUND(D6*E15,0)</f>
        <v>0</v>
      </c>
      <c r="E15" s="2637">
        <v>5.5E-2</v>
      </c>
      <c r="F15" s="2630" t="s">
        <v>2363</v>
      </c>
      <c r="G15" s="2612"/>
      <c r="H15" s="2587"/>
      <c r="I15" s="2588"/>
      <c r="J15" s="3450">
        <v>2</v>
      </c>
      <c r="K15" s="3451" t="s">
        <v>2364</v>
      </c>
      <c r="L15" s="2622" t="s">
        <v>2365</v>
      </c>
      <c r="M15" s="2623" t="s">
        <v>2366</v>
      </c>
      <c r="N15" s="2623" t="s">
        <v>2367</v>
      </c>
      <c r="O15" s="2624" t="s">
        <v>2368</v>
      </c>
      <c r="P15" s="2624" t="s">
        <v>2330</v>
      </c>
      <c r="Q15" s="2599" t="s">
        <v>2369</v>
      </c>
      <c r="R15" s="2646" t="s">
        <v>2331</v>
      </c>
      <c r="S15" s="2580"/>
      <c r="T15" s="2580"/>
      <c r="U15" s="2580"/>
      <c r="V15" s="2588"/>
    </row>
    <row r="16" spans="1:22" s="2592" customFormat="1" ht="13.15" customHeight="1">
      <c r="A16" s="2635" t="s">
        <v>2370</v>
      </c>
      <c r="B16" s="3456" t="s">
        <v>2371</v>
      </c>
      <c r="C16" s="3457"/>
      <c r="D16" s="2647">
        <f>D6*E16</f>
        <v>0</v>
      </c>
      <c r="E16" s="2648"/>
      <c r="F16" s="2633" t="s">
        <v>2372</v>
      </c>
      <c r="G16" s="2612"/>
      <c r="H16" s="2587"/>
      <c r="I16" s="2588"/>
      <c r="J16" s="3450"/>
      <c r="K16" s="3452"/>
      <c r="L16" s="2622" t="s">
        <v>2373</v>
      </c>
      <c r="M16" s="2623"/>
      <c r="N16" s="2623"/>
      <c r="O16" s="2624"/>
      <c r="P16" s="2625">
        <v>365</v>
      </c>
      <c r="Q16" s="2599"/>
      <c r="R16" s="2646">
        <f>ROUND(M16*N16*O16*P16/10000,0)</f>
        <v>0</v>
      </c>
      <c r="S16" s="2580"/>
      <c r="T16" s="2580"/>
      <c r="U16" s="2580"/>
      <c r="V16" s="2588"/>
    </row>
    <row r="17" spans="1:22" s="2592" customFormat="1" ht="13.15" customHeight="1" thickBot="1">
      <c r="A17" s="2649">
        <v>4</v>
      </c>
      <c r="B17" s="3458" t="s">
        <v>2374</v>
      </c>
      <c r="C17" s="3459"/>
      <c r="D17" s="2650">
        <f>ROUND(D6*E17,0)</f>
        <v>0</v>
      </c>
      <c r="E17" s="2651"/>
      <c r="F17" s="2652" t="s">
        <v>2375</v>
      </c>
      <c r="G17" s="2612"/>
      <c r="H17" s="2587"/>
      <c r="I17" s="2588"/>
      <c r="J17" s="3450"/>
      <c r="K17" s="3452"/>
      <c r="L17" s="2622" t="s">
        <v>2376</v>
      </c>
      <c r="M17" s="2623"/>
      <c r="N17" s="2623"/>
      <c r="O17" s="2624"/>
      <c r="P17" s="2625">
        <v>365</v>
      </c>
      <c r="Q17" s="2599"/>
      <c r="R17" s="2646">
        <f>ROUND(M17*N17*O17*P17/10000,0)</f>
        <v>0</v>
      </c>
      <c r="S17" s="2580"/>
      <c r="T17" s="2580"/>
      <c r="U17" s="2580"/>
      <c r="V17" s="2588"/>
    </row>
    <row r="18" spans="1:22" s="2592" customFormat="1" ht="13.15" customHeight="1" thickBot="1">
      <c r="A18" s="2615" t="s">
        <v>2377</v>
      </c>
      <c r="B18" s="2616"/>
      <c r="C18" s="2616"/>
      <c r="D18" s="2653">
        <f>ROUND(D6*E18,0)</f>
        <v>0</v>
      </c>
      <c r="E18" s="2654"/>
      <c r="F18" s="2655" t="s">
        <v>2378</v>
      </c>
      <c r="G18" s="2612"/>
      <c r="H18" s="2587"/>
      <c r="I18" s="2588"/>
      <c r="J18" s="3450"/>
      <c r="K18" s="3452"/>
      <c r="L18" s="2622" t="s">
        <v>2379</v>
      </c>
      <c r="M18" s="2623"/>
      <c r="N18" s="2623"/>
      <c r="O18" s="2624"/>
      <c r="P18" s="2625">
        <v>365</v>
      </c>
      <c r="Q18" s="2599"/>
      <c r="R18" s="2646">
        <f>ROUND(M18*N18*O18*P18/10000,0)</f>
        <v>0</v>
      </c>
      <c r="S18" s="2580"/>
      <c r="T18" s="2580"/>
      <c r="U18" s="2580"/>
      <c r="V18" s="2588"/>
    </row>
    <row r="19" spans="1:22" s="2592" customFormat="1" ht="13.15" customHeight="1" thickBot="1">
      <c r="A19" s="2656" t="s">
        <v>2380</v>
      </c>
      <c r="B19" s="2610"/>
      <c r="C19" s="2610"/>
      <c r="D19" s="2610"/>
      <c r="E19" s="2610"/>
      <c r="F19" s="2611"/>
      <c r="G19" s="2631"/>
      <c r="H19" s="2587"/>
      <c r="I19" s="2588"/>
      <c r="J19" s="3450"/>
      <c r="K19" s="3453"/>
      <c r="L19" s="2642" t="s">
        <v>2360</v>
      </c>
      <c r="M19" s="2643"/>
      <c r="N19" s="2643">
        <f>SUM(N16:N18)</f>
        <v>0</v>
      </c>
      <c r="O19" s="2644"/>
      <c r="P19" s="2657" t="s">
        <v>2424</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450">
        <v>3</v>
      </c>
      <c r="K20" s="3451" t="s">
        <v>2381</v>
      </c>
      <c r="L20" s="2622" t="s">
        <v>2382</v>
      </c>
      <c r="M20" s="2623" t="s">
        <v>2383</v>
      </c>
      <c r="N20" s="2660" t="s">
        <v>2384</v>
      </c>
      <c r="O20" s="2624" t="s">
        <v>2385</v>
      </c>
      <c r="P20" s="2625" t="s">
        <v>2386</v>
      </c>
      <c r="Q20" s="2599" t="s">
        <v>2387</v>
      </c>
      <c r="R20" s="2646" t="s">
        <v>2388</v>
      </c>
      <c r="S20" s="2580"/>
      <c r="T20" s="2580"/>
      <c r="U20" s="2580"/>
      <c r="V20" s="2588"/>
    </row>
    <row r="21" spans="1:22" s="2592" customFormat="1" ht="13.15" customHeight="1">
      <c r="A21" s="2615"/>
      <c r="B21" s="2616"/>
      <c r="C21" s="2661" t="s">
        <v>2389</v>
      </c>
      <c r="D21" s="2662" t="s">
        <v>2390</v>
      </c>
      <c r="E21" s="2663" t="s">
        <v>2391</v>
      </c>
      <c r="F21" s="2659"/>
      <c r="G21" s="2631"/>
      <c r="H21" s="2587"/>
      <c r="I21" s="2588"/>
      <c r="J21" s="3450"/>
      <c r="K21" s="3452"/>
      <c r="L21" s="2622" t="s">
        <v>2392</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2393</v>
      </c>
      <c r="D22" s="2666" t="s">
        <v>2394</v>
      </c>
      <c r="E22" s="2667" t="s">
        <v>2395</v>
      </c>
      <c r="F22" s="2659"/>
      <c r="G22" s="2580"/>
      <c r="H22" s="2587"/>
      <c r="I22" s="2588"/>
      <c r="J22" s="3450"/>
      <c r="K22" s="3452"/>
      <c r="L22" s="2622" t="s">
        <v>2396</v>
      </c>
      <c r="M22" s="2623"/>
      <c r="N22" s="2623"/>
      <c r="O22" s="2624"/>
      <c r="P22" s="2625">
        <v>365</v>
      </c>
      <c r="Q22" s="2599"/>
      <c r="R22" s="2664">
        <f>ROUND(M22*N22*O22*P22/10000,0)</f>
        <v>0</v>
      </c>
      <c r="S22" s="2580"/>
      <c r="T22" s="2580"/>
      <c r="U22" s="2580"/>
      <c r="V22" s="2588"/>
    </row>
    <row r="23" spans="1:22" s="2592" customFormat="1" ht="13.15" customHeight="1">
      <c r="A23" s="2668">
        <v>1</v>
      </c>
      <c r="B23" s="2669" t="s">
        <v>2397</v>
      </c>
      <c r="C23" s="2670">
        <f>D6</f>
        <v>0</v>
      </c>
      <c r="D23" s="2671">
        <f>C23*(1+D24)</f>
        <v>0</v>
      </c>
      <c r="E23" s="2672">
        <f>D23*(1+E24)</f>
        <v>0</v>
      </c>
      <c r="F23" s="2673"/>
      <c r="G23" s="2674"/>
      <c r="H23" s="2587"/>
      <c r="I23" s="2588"/>
      <c r="J23" s="3450"/>
      <c r="K23" s="3452"/>
      <c r="L23" s="2622" t="s">
        <v>2398</v>
      </c>
      <c r="M23" s="2623"/>
      <c r="N23" s="2623"/>
      <c r="O23" s="2624"/>
      <c r="P23" s="2625">
        <v>365</v>
      </c>
      <c r="Q23" s="2599"/>
      <c r="R23" s="2664">
        <f>ROUND(M23*N23*O23*P23/10000,0)</f>
        <v>0</v>
      </c>
      <c r="S23" s="2580"/>
      <c r="T23" s="2580"/>
      <c r="U23" s="2580"/>
      <c r="V23" s="2588"/>
    </row>
    <row r="24" spans="1:22" s="2592" customFormat="1" ht="13.15" customHeight="1">
      <c r="A24" s="2675"/>
      <c r="B24" s="2676" t="s">
        <v>2399</v>
      </c>
      <c r="C24" s="2677"/>
      <c r="D24" s="2678"/>
      <c r="E24" s="2679"/>
      <c r="F24" s="2680"/>
      <c r="G24" s="2674"/>
      <c r="H24" s="2587"/>
      <c r="I24" s="2588"/>
      <c r="J24" s="3450"/>
      <c r="K24" s="3453"/>
      <c r="L24" s="2642" t="s">
        <v>2360</v>
      </c>
      <c r="M24" s="2643">
        <f>SUM(M21:M23)</f>
        <v>0</v>
      </c>
      <c r="N24" s="2643"/>
      <c r="O24" s="2644"/>
      <c r="P24" s="2657" t="s">
        <v>2424</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2400</v>
      </c>
      <c r="L25" s="2683"/>
      <c r="M25" s="2683"/>
      <c r="N25" s="2683"/>
      <c r="O25" s="2683"/>
      <c r="P25" s="2684"/>
      <c r="Q25" s="2685">
        <v>0</v>
      </c>
      <c r="R25" s="2658">
        <f>ROUND(R14*Q25,0)</f>
        <v>0</v>
      </c>
      <c r="S25" s="2580"/>
      <c r="T25" s="2580"/>
      <c r="U25" s="2580"/>
      <c r="V25" s="2686"/>
    </row>
    <row r="26" spans="1:22" s="2687" customFormat="1" ht="13.15" customHeight="1">
      <c r="A26" s="2668">
        <v>2</v>
      </c>
      <c r="B26" s="2669" t="s">
        <v>2401</v>
      </c>
      <c r="C26" s="2670">
        <f>D7</f>
        <v>0</v>
      </c>
      <c r="D26" s="2671">
        <f>D23*D27</f>
        <v>0</v>
      </c>
      <c r="E26" s="2672">
        <f>E23*E27</f>
        <v>0</v>
      </c>
      <c r="F26" s="2673"/>
      <c r="G26" s="2674"/>
      <c r="H26" s="2587"/>
      <c r="I26" s="2588"/>
      <c r="J26" s="3460">
        <v>5</v>
      </c>
      <c r="K26" s="2688" t="s">
        <v>2402</v>
      </c>
      <c r="L26" s="2689"/>
      <c r="M26" s="2690"/>
      <c r="N26" s="2691" t="s">
        <v>2403</v>
      </c>
      <c r="O26" s="2691" t="s">
        <v>2404</v>
      </c>
      <c r="P26" s="2692" t="s">
        <v>2405</v>
      </c>
      <c r="Q26" s="2692" t="s">
        <v>2406</v>
      </c>
      <c r="R26" s="2597" t="s">
        <v>2331</v>
      </c>
      <c r="S26" s="2631"/>
      <c r="T26" s="2631"/>
      <c r="U26" s="2631"/>
      <c r="V26" s="2686"/>
    </row>
    <row r="27" spans="1:22" s="2592" customFormat="1" ht="13.15" customHeight="1">
      <c r="A27" s="2675"/>
      <c r="B27" s="2676" t="s">
        <v>2407</v>
      </c>
      <c r="C27" s="2693" t="e">
        <f>E7</f>
        <v>#DIV/0!</v>
      </c>
      <c r="D27" s="2678"/>
      <c r="E27" s="2679"/>
      <c r="F27" s="2680"/>
      <c r="G27" s="2674"/>
      <c r="H27" s="2694"/>
      <c r="I27" s="2686"/>
      <c r="J27" s="3461"/>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2408</v>
      </c>
      <c r="F28" s="2680"/>
      <c r="G28" s="2580"/>
      <c r="H28" s="2694"/>
      <c r="I28" s="2686"/>
      <c r="J28" s="2700">
        <v>6</v>
      </c>
      <c r="K28" s="2701" t="s">
        <v>2409</v>
      </c>
      <c r="L28" s="2702" t="s">
        <v>2410</v>
      </c>
      <c r="M28" s="2703"/>
      <c r="N28" s="2702" t="s">
        <v>2411</v>
      </c>
      <c r="O28" s="2704"/>
      <c r="P28" s="2702" t="s">
        <v>2412</v>
      </c>
      <c r="Q28" s="2705">
        <v>1.4999999999999999E-2</v>
      </c>
      <c r="R28" s="2706"/>
      <c r="S28" s="2580"/>
      <c r="T28" s="2580"/>
      <c r="U28" s="2580"/>
      <c r="V28" s="2686"/>
    </row>
    <row r="29" spans="1:22" s="2687" customFormat="1" ht="13.15" customHeight="1">
      <c r="A29" s="2668">
        <v>3</v>
      </c>
      <c r="B29" s="2669" t="s">
        <v>2413</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2407</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2414</v>
      </c>
      <c r="K31" s="2578"/>
      <c r="L31" s="2578"/>
      <c r="M31" s="2578"/>
      <c r="N31" s="2578"/>
      <c r="O31" s="2578"/>
      <c r="P31" s="2578"/>
      <c r="Q31" s="2578"/>
      <c r="R31" s="2579"/>
      <c r="S31" s="2580"/>
      <c r="T31" s="2580"/>
      <c r="U31" s="2580"/>
      <c r="V31" s="2686"/>
    </row>
    <row r="32" spans="1:22" s="2687" customFormat="1" ht="13.15" customHeight="1">
      <c r="A32" s="2668">
        <v>4</v>
      </c>
      <c r="B32" s="2669" t="s">
        <v>2415</v>
      </c>
      <c r="C32" s="2670">
        <f>C23-C26-C29</f>
        <v>0</v>
      </c>
      <c r="D32" s="2671">
        <f>D23-D26-D29</f>
        <v>0</v>
      </c>
      <c r="E32" s="2672">
        <f>E23-E26-E29</f>
        <v>0</v>
      </c>
      <c r="F32" s="2673"/>
      <c r="G32" s="2580"/>
      <c r="H32" s="2587"/>
      <c r="I32" s="2588"/>
      <c r="J32" s="3443" t="s">
        <v>2307</v>
      </c>
      <c r="K32" s="3444"/>
      <c r="L32" s="2589" t="s">
        <v>2308</v>
      </c>
      <c r="M32" s="2589" t="s">
        <v>2309</v>
      </c>
      <c r="N32" s="2589" t="s">
        <v>2310</v>
      </c>
      <c r="O32" s="2589" t="s">
        <v>2311</v>
      </c>
      <c r="P32" s="2589" t="s">
        <v>2312</v>
      </c>
      <c r="Q32" s="2590" t="s">
        <v>2313</v>
      </c>
      <c r="R32" s="2709" t="s">
        <v>2314</v>
      </c>
      <c r="S32" s="2580"/>
      <c r="T32" s="2580"/>
      <c r="U32" s="2580"/>
      <c r="V32" s="2686"/>
    </row>
    <row r="33" spans="1:23" s="2592" customFormat="1" ht="13.15" customHeight="1">
      <c r="A33" s="2668"/>
      <c r="B33" s="2669"/>
      <c r="C33" s="2670"/>
      <c r="D33" s="2710"/>
      <c r="E33" s="2711"/>
      <c r="F33" s="2673"/>
      <c r="G33" s="2580"/>
      <c r="H33" s="2694"/>
      <c r="I33" s="2686"/>
      <c r="J33" s="3445" t="s">
        <v>2317</v>
      </c>
      <c r="K33" s="3446"/>
      <c r="L33" s="2595"/>
      <c r="M33" s="2595"/>
      <c r="N33" s="2595"/>
      <c r="O33" s="2595"/>
      <c r="P33" s="2595"/>
      <c r="Q33" s="2596"/>
      <c r="R33" s="2712">
        <f>SUM(L33:Q33)</f>
        <v>0</v>
      </c>
      <c r="S33" s="2580"/>
      <c r="T33" s="2580"/>
      <c r="U33" s="2580"/>
      <c r="V33" s="2588"/>
    </row>
    <row r="34" spans="1:23" s="2592" customFormat="1" ht="13.15" customHeight="1">
      <c r="A34" s="2668">
        <v>5</v>
      </c>
      <c r="B34" s="2669" t="s">
        <v>2416</v>
      </c>
      <c r="C34" s="2713"/>
      <c r="D34" s="2714"/>
      <c r="E34" s="2715"/>
      <c r="F34" s="2673"/>
      <c r="G34" s="2580"/>
      <c r="H34" s="2694"/>
      <c r="I34" s="2686"/>
      <c r="J34" s="3445" t="s">
        <v>2319</v>
      </c>
      <c r="K34" s="3446"/>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2417</v>
      </c>
      <c r="C35" s="2717"/>
      <c r="D35" s="2718"/>
      <c r="E35" s="2719"/>
      <c r="F35" s="2673"/>
      <c r="G35" s="2720"/>
      <c r="H35" s="2587"/>
      <c r="I35" s="2686"/>
      <c r="J35" s="2606" t="s">
        <v>2321</v>
      </c>
      <c r="K35" s="2607"/>
      <c r="L35" s="2607"/>
      <c r="M35" s="2608"/>
      <c r="N35" s="2608"/>
      <c r="O35" s="2608"/>
      <c r="P35" s="2608"/>
      <c r="Q35" s="2608"/>
      <c r="R35" s="2721">
        <f>R40+R41+R43</f>
        <v>0</v>
      </c>
      <c r="S35" s="2580"/>
      <c r="T35" s="2580" t="s">
        <v>2322</v>
      </c>
      <c r="U35" s="2580"/>
      <c r="V35" s="2588"/>
    </row>
    <row r="36" spans="1:23" s="2592" customFormat="1" ht="13.15" customHeight="1" thickBot="1">
      <c r="A36" s="2668">
        <v>7</v>
      </c>
      <c r="B36" s="2722" t="s">
        <v>2418</v>
      </c>
      <c r="C36" s="2723"/>
      <c r="D36" s="2724"/>
      <c r="E36" s="2725"/>
      <c r="F36" s="2726">
        <f>C36+D36+E36</f>
        <v>0</v>
      </c>
      <c r="G36" s="2580"/>
      <c r="H36" s="2587"/>
      <c r="I36" s="2588"/>
      <c r="J36" s="3450">
        <v>1</v>
      </c>
      <c r="K36" s="3451" t="s">
        <v>2419</v>
      </c>
      <c r="L36" s="2613"/>
      <c r="M36" s="2614"/>
      <c r="N36" s="2614"/>
      <c r="O36" s="2614"/>
      <c r="P36" s="2614"/>
      <c r="Q36" s="2614"/>
      <c r="R36" s="2597" t="s">
        <v>2331</v>
      </c>
      <c r="S36" s="2580"/>
      <c r="T36" s="2580" t="s">
        <v>2332</v>
      </c>
      <c r="U36" s="2580"/>
      <c r="V36" s="2588"/>
    </row>
    <row r="37" spans="1:23" s="2592" customFormat="1" ht="13.15" customHeight="1">
      <c r="A37" s="2668"/>
      <c r="B37" s="2669"/>
      <c r="C37" s="2669"/>
      <c r="D37" s="2669"/>
      <c r="E37" s="2669"/>
      <c r="F37" s="2673"/>
      <c r="G37" s="2580"/>
      <c r="H37" s="2587"/>
      <c r="I37" s="2588"/>
      <c r="J37" s="3450"/>
      <c r="K37" s="3452"/>
      <c r="L37" s="2622"/>
      <c r="M37" s="2623"/>
      <c r="N37" s="2599"/>
      <c r="O37" s="2624"/>
      <c r="P37" s="2624"/>
      <c r="Q37" s="2625"/>
      <c r="R37" s="2626"/>
      <c r="S37" s="2580"/>
      <c r="T37" s="2580" t="s">
        <v>2335</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450"/>
      <c r="K38" s="3452"/>
      <c r="L38" s="2622"/>
      <c r="M38" s="2623"/>
      <c r="N38" s="2599"/>
      <c r="O38" s="2624"/>
      <c r="P38" s="2624"/>
      <c r="Q38" s="2625"/>
      <c r="R38" s="2626"/>
      <c r="S38" s="2580"/>
      <c r="T38" s="2580" t="s">
        <v>2342</v>
      </c>
      <c r="U38" s="2580"/>
      <c r="V38" s="2588"/>
    </row>
    <row r="39" spans="1:23" s="2592" customFormat="1" ht="13.15" customHeight="1">
      <c r="A39" s="2668">
        <v>9</v>
      </c>
      <c r="B39" s="2669" t="s">
        <v>2420</v>
      </c>
      <c r="C39" s="2636" t="e">
        <f>C38</f>
        <v>#DIV/0!</v>
      </c>
      <c r="D39" s="2669">
        <f>D38/(1+D34)^C36</f>
        <v>0</v>
      </c>
      <c r="E39" s="2669">
        <f>E38/(1+E34)^(C36+D36)</f>
        <v>0</v>
      </c>
      <c r="F39" s="2673"/>
      <c r="G39" s="2588"/>
      <c r="H39" s="2587"/>
      <c r="I39" s="2588"/>
      <c r="J39" s="3450"/>
      <c r="K39" s="3452"/>
      <c r="L39" s="2622"/>
      <c r="M39" s="2623"/>
      <c r="N39" s="2599"/>
      <c r="O39" s="2624"/>
      <c r="P39" s="2624"/>
      <c r="Q39" s="2625"/>
      <c r="R39" s="2626"/>
      <c r="S39" s="2580"/>
      <c r="T39" s="2580"/>
      <c r="U39" s="2580"/>
      <c r="V39" s="2588"/>
    </row>
    <row r="40" spans="1:23" s="2592" customFormat="1" ht="13.15" customHeight="1">
      <c r="A40" s="2727">
        <v>10</v>
      </c>
      <c r="B40" s="2669" t="s">
        <v>2421</v>
      </c>
      <c r="C40" s="2728" t="e">
        <f>C39+D39+E39</f>
        <v>#DIV/0!</v>
      </c>
      <c r="D40" s="2729"/>
      <c r="E40" s="2729"/>
      <c r="F40" s="2730"/>
      <c r="G40" s="2580"/>
      <c r="H40" s="2587"/>
      <c r="I40" s="2588"/>
      <c r="J40" s="3450"/>
      <c r="K40" s="3453"/>
      <c r="L40" s="2642" t="s">
        <v>2360</v>
      </c>
      <c r="M40" s="2643"/>
      <c r="N40" s="2643"/>
      <c r="O40" s="2644"/>
      <c r="P40" s="2644"/>
      <c r="Q40" s="2645"/>
      <c r="R40" s="2591">
        <f>SUM(R37:R39)</f>
        <v>0</v>
      </c>
      <c r="S40" s="2580"/>
      <c r="T40" s="2580"/>
      <c r="U40" s="2580"/>
      <c r="V40" s="2588"/>
    </row>
    <row r="41" spans="1:23" s="2592" customFormat="1" ht="13.15" customHeight="1" thickBot="1">
      <c r="A41" s="2731">
        <v>11</v>
      </c>
      <c r="B41" s="2732" t="s">
        <v>2422</v>
      </c>
      <c r="C41" s="2732" t="e">
        <f>ROUND(C40*10000/B4,0)</f>
        <v>#DIV/0!</v>
      </c>
      <c r="D41" s="2733"/>
      <c r="E41" s="2733"/>
      <c r="F41" s="2734"/>
      <c r="G41" s="2587"/>
      <c r="H41" s="2587"/>
      <c r="I41" s="2588"/>
      <c r="J41" s="2681">
        <v>2</v>
      </c>
      <c r="K41" s="2682" t="s">
        <v>2400</v>
      </c>
      <c r="L41" s="2683"/>
      <c r="M41" s="2683"/>
      <c r="N41" s="2683"/>
      <c r="O41" s="2683"/>
      <c r="P41" s="2684"/>
      <c r="Q41" s="2685"/>
      <c r="R41" s="2658">
        <f>ROUND(R40*Q41,0)</f>
        <v>0</v>
      </c>
      <c r="S41" s="2580"/>
      <c r="T41" s="2580"/>
      <c r="U41" s="2631"/>
      <c r="V41" s="2588"/>
    </row>
    <row r="42" spans="1:23" s="2592" customFormat="1" ht="13.15" customHeight="1">
      <c r="G42" s="2587"/>
      <c r="H42" s="2587"/>
      <c r="I42" s="2588"/>
      <c r="J42" s="3460">
        <v>3</v>
      </c>
      <c r="K42" s="2688" t="s">
        <v>2402</v>
      </c>
      <c r="L42" s="2689"/>
      <c r="M42" s="2690"/>
      <c r="N42" s="2691" t="s">
        <v>2403</v>
      </c>
      <c r="O42" s="2691" t="s">
        <v>2404</v>
      </c>
      <c r="P42" s="2692" t="s">
        <v>2405</v>
      </c>
      <c r="Q42" s="2692" t="s">
        <v>2406</v>
      </c>
      <c r="R42" s="2597" t="s">
        <v>2331</v>
      </c>
      <c r="S42" s="2631"/>
      <c r="T42" s="2631"/>
      <c r="U42" s="2580"/>
      <c r="V42" s="2588"/>
    </row>
    <row r="43" spans="1:23" ht="13.15" customHeight="1">
      <c r="A43" s="2592"/>
      <c r="B43" s="2592"/>
      <c r="C43" s="2592"/>
      <c r="D43" s="2592"/>
      <c r="E43" s="2592"/>
      <c r="F43" s="2592"/>
      <c r="I43" s="2575"/>
      <c r="J43" s="3461"/>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2409</v>
      </c>
      <c r="L44" s="2737" t="s">
        <v>2410</v>
      </c>
      <c r="M44" s="2703"/>
      <c r="N44" s="2737" t="s">
        <v>2411</v>
      </c>
      <c r="O44" s="2703"/>
      <c r="P44" s="2737" t="s">
        <v>2412</v>
      </c>
      <c r="Q44" s="2705">
        <v>1.4999999999999999E-2</v>
      </c>
      <c r="R44" s="27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4" t="s">
        <v>1655</v>
      </c>
      <c r="B1" s="1715"/>
      <c r="C1" s="1715"/>
      <c r="D1" s="1715"/>
      <c r="E1" s="1716"/>
      <c r="F1" s="2467"/>
      <c r="G1" s="458"/>
      <c r="H1" s="458"/>
      <c r="I1" s="458"/>
      <c r="J1" s="458"/>
      <c r="K1" s="458"/>
      <c r="L1" s="458"/>
      <c r="M1" s="458"/>
      <c r="N1" s="458"/>
      <c r="O1" s="458"/>
      <c r="P1" s="458"/>
      <c r="Q1" s="458"/>
      <c r="R1" s="458"/>
      <c r="S1" s="458"/>
    </row>
    <row r="2" spans="1:22" ht="15.75">
      <c r="A2" s="1717" t="s">
        <v>1459</v>
      </c>
      <c r="B2" s="805">
        <f ca="1">SUMIF(B6:B13,"&lt;&gt;#ref!",B6:B13)</f>
        <v>284.71659999999997</v>
      </c>
      <c r="C2" s="1718" t="s">
        <v>1648</v>
      </c>
      <c r="D2" s="1719" t="s">
        <v>1649</v>
      </c>
      <c r="E2" s="2380">
        <f>SUM(E6:E13)</f>
        <v>185.97</v>
      </c>
      <c r="F2" s="2467"/>
      <c r="G2" s="458"/>
      <c r="H2" s="458"/>
      <c r="I2" s="458"/>
      <c r="J2" s="458"/>
      <c r="K2" s="458"/>
      <c r="L2" s="458"/>
      <c r="M2" s="458"/>
      <c r="N2" s="458"/>
      <c r="O2" s="458"/>
      <c r="P2" s="458"/>
      <c r="Q2" s="458"/>
      <c r="R2" s="458"/>
      <c r="S2" s="458"/>
    </row>
    <row r="3" spans="1:22" ht="15.75">
      <c r="A3" s="1717" t="s">
        <v>683</v>
      </c>
      <c r="B3" s="2374">
        <f ca="1">ROUND(B2*10000/E2,0)</f>
        <v>15310</v>
      </c>
      <c r="C3" s="1718" t="s">
        <v>1656</v>
      </c>
      <c r="D3" s="2467"/>
      <c r="E3" s="2470"/>
      <c r="F3" s="2467"/>
      <c r="G3" s="458"/>
      <c r="H3" s="458"/>
      <c r="I3" s="458"/>
      <c r="J3" s="458"/>
      <c r="K3" s="458"/>
      <c r="L3" s="458"/>
      <c r="M3" s="458"/>
      <c r="N3" s="458"/>
      <c r="O3" s="458"/>
      <c r="P3" s="458"/>
      <c r="Q3" s="458"/>
      <c r="R3" s="458"/>
      <c r="S3" s="458"/>
    </row>
    <row r="4" spans="1:22" ht="15.75">
      <c r="A4" s="2471"/>
      <c r="B4" s="2467"/>
      <c r="C4" s="2467"/>
      <c r="D4" s="2467"/>
      <c r="E4" s="2470"/>
      <c r="F4" s="2467"/>
      <c r="G4" s="458"/>
      <c r="H4" s="458"/>
      <c r="I4" s="458"/>
      <c r="J4" s="458"/>
      <c r="K4" s="458"/>
      <c r="L4" s="458"/>
      <c r="M4" s="458"/>
      <c r="N4" s="458"/>
      <c r="O4" s="458"/>
      <c r="P4" s="458"/>
      <c r="Q4" s="458"/>
      <c r="R4" s="458"/>
      <c r="S4" s="458"/>
    </row>
    <row r="5" spans="1:22" ht="15">
      <c r="A5" s="2376" t="s">
        <v>1650</v>
      </c>
      <c r="B5" s="3462" t="s">
        <v>1651</v>
      </c>
      <c r="C5" s="3463"/>
      <c r="D5" s="2468"/>
      <c r="E5" s="1720" t="s">
        <v>1652</v>
      </c>
      <c r="F5" s="128" t="s">
        <v>1653</v>
      </c>
      <c r="G5" s="458"/>
      <c r="H5" s="458"/>
      <c r="I5" s="458"/>
      <c r="J5" s="458"/>
      <c r="K5" s="458"/>
      <c r="L5" s="458"/>
      <c r="M5" s="458"/>
      <c r="N5" s="458"/>
      <c r="O5" s="458"/>
      <c r="P5" s="458"/>
      <c r="Q5" s="458"/>
      <c r="R5" s="458"/>
      <c r="S5" s="458"/>
    </row>
    <row r="6" spans="1:22">
      <c r="A6" s="2377" t="str">
        <f>'数据-取费表'!AN6</f>
        <v>收益法商</v>
      </c>
      <c r="B6" s="2375">
        <f ca="1">IF(F6="是",'数据-取费表'!AO6,0)</f>
        <v>230.2466</v>
      </c>
      <c r="C6" s="1718" t="s">
        <v>1648</v>
      </c>
      <c r="D6" s="2467"/>
      <c r="E6" s="2379">
        <f>IF(OR(A6=0,F6="否"),0,'数据-取费表'!K6+'数据-取费表'!S6)</f>
        <v>134.51</v>
      </c>
      <c r="F6" s="1721" t="s">
        <v>1654</v>
      </c>
      <c r="G6" s="458"/>
      <c r="H6" s="458"/>
      <c r="I6" s="458"/>
      <c r="J6" s="458"/>
      <c r="K6" s="458"/>
      <c r="L6" s="458"/>
      <c r="M6" s="458"/>
      <c r="N6" s="458"/>
      <c r="O6" s="458"/>
      <c r="P6" s="458"/>
      <c r="Q6" s="458"/>
      <c r="R6" s="458"/>
      <c r="S6" s="458"/>
    </row>
    <row r="7" spans="1:22">
      <c r="A7" s="2377">
        <f>'数据-取费表'!AN7</f>
        <v>0</v>
      </c>
      <c r="B7" s="2375" t="e">
        <f ca="1">IF(F7="是",'数据-取费表'!AO7,0)</f>
        <v>#REF!</v>
      </c>
      <c r="C7" s="1718" t="s">
        <v>1648</v>
      </c>
      <c r="D7" s="2467"/>
      <c r="E7" s="2379">
        <f>IF(OR(A7=0,F7="否"),0,'数据-取费表'!K7+'数据-取费表'!S7)</f>
        <v>0</v>
      </c>
      <c r="F7" s="1721" t="s">
        <v>1654</v>
      </c>
      <c r="G7" s="458"/>
      <c r="H7" s="458"/>
      <c r="I7" s="458"/>
      <c r="J7" s="458"/>
      <c r="K7" s="458"/>
      <c r="L7" s="458"/>
      <c r="M7" s="458"/>
      <c r="N7" s="458"/>
      <c r="O7" s="458"/>
      <c r="P7" s="458"/>
      <c r="Q7" s="458"/>
      <c r="R7" s="458"/>
      <c r="S7" s="458"/>
    </row>
    <row r="8" spans="1:22">
      <c r="A8" s="2377" t="str">
        <f>'数据-取费表'!AN8</f>
        <v>收益法 (元)</v>
      </c>
      <c r="B8" s="2375">
        <f ca="1">IF(F8="是",'数据-取费表'!AO8,0)</f>
        <v>54.47</v>
      </c>
      <c r="C8" s="1718" t="s">
        <v>1648</v>
      </c>
      <c r="D8" s="2467"/>
      <c r="E8" s="2379">
        <f>IF(OR(A8=0,F8="否"),0,'数据-取费表'!K8+'数据-取费表'!S8)</f>
        <v>51.46</v>
      </c>
      <c r="F8" s="1721" t="s">
        <v>1654</v>
      </c>
      <c r="G8" s="458"/>
      <c r="H8" s="458"/>
      <c r="I8" s="458"/>
      <c r="J8" s="458"/>
      <c r="K8" s="458"/>
      <c r="L8" s="458"/>
      <c r="M8" s="458"/>
      <c r="N8" s="458"/>
      <c r="O8" s="458"/>
      <c r="P8" s="458"/>
      <c r="Q8" s="458"/>
      <c r="R8" s="458"/>
      <c r="S8" s="458"/>
    </row>
    <row r="9" spans="1:22">
      <c r="A9" s="2377">
        <f>'数据-取费表'!AN9</f>
        <v>0</v>
      </c>
      <c r="B9" s="2375" t="e">
        <f ca="1">IF(F9="是",'数据-取费表'!AO9,0)</f>
        <v>#REF!</v>
      </c>
      <c r="C9" s="1718" t="s">
        <v>1648</v>
      </c>
      <c r="D9" s="2467"/>
      <c r="E9" s="2379">
        <f>IF(OR(A9=0,F9="否"),0,'数据-取费表'!K9+'数据-取费表'!S9)</f>
        <v>0</v>
      </c>
      <c r="F9" s="1721" t="s">
        <v>1654</v>
      </c>
      <c r="G9" s="458"/>
      <c r="H9" s="458"/>
      <c r="I9" s="458"/>
      <c r="J9" s="458"/>
      <c r="K9" s="458"/>
      <c r="L9" s="458"/>
      <c r="M9" s="458"/>
      <c r="N9" s="458"/>
      <c r="O9" s="458"/>
      <c r="P9" s="458"/>
      <c r="Q9" s="458"/>
      <c r="R9" s="458"/>
      <c r="S9" s="458"/>
    </row>
    <row r="10" spans="1:22">
      <c r="A10" s="2377">
        <f>'数据-取费表'!AN10</f>
        <v>0</v>
      </c>
      <c r="B10" s="2375" t="e">
        <f ca="1">IF(F10="是",'数据-取费表'!AO10,0)</f>
        <v>#REF!</v>
      </c>
      <c r="C10" s="1718" t="s">
        <v>1648</v>
      </c>
      <c r="D10" s="2467"/>
      <c r="E10" s="2379">
        <f>IF(OR(A10=0,F10="否"),0,'数据-取费表'!K10+'数据-取费表'!S10)</f>
        <v>0</v>
      </c>
      <c r="F10" s="1721" t="s">
        <v>1654</v>
      </c>
      <c r="G10" s="458"/>
      <c r="H10" s="458"/>
      <c r="I10" s="458"/>
      <c r="J10" s="458"/>
      <c r="K10" s="458"/>
      <c r="L10" s="458"/>
      <c r="M10" s="458"/>
      <c r="N10" s="458"/>
      <c r="O10" s="458"/>
      <c r="P10" s="458"/>
      <c r="Q10" s="458"/>
      <c r="R10" s="458"/>
      <c r="S10" s="458"/>
    </row>
    <row r="11" spans="1:22">
      <c r="A11" s="2377">
        <f>'数据-取费表'!AN11</f>
        <v>0</v>
      </c>
      <c r="B11" s="2375" t="e">
        <f ca="1">IF(F11="是",'数据-取费表'!AO11,0)</f>
        <v>#REF!</v>
      </c>
      <c r="C11" s="1718" t="s">
        <v>1648</v>
      </c>
      <c r="D11" s="2467"/>
      <c r="E11" s="2379">
        <f>IF(OR(A11=0,F11="否"),0,'数据-取费表'!K11+'数据-取费表'!S11)</f>
        <v>0</v>
      </c>
      <c r="F11" s="1721" t="s">
        <v>1654</v>
      </c>
      <c r="G11" s="458"/>
      <c r="H11" s="458"/>
      <c r="I11" s="458"/>
      <c r="J11" s="458"/>
      <c r="K11" s="458"/>
      <c r="L11" s="458"/>
      <c r="M11" s="458"/>
      <c r="N11" s="458"/>
      <c r="O11" s="458"/>
      <c r="P11" s="458"/>
      <c r="Q11" s="458"/>
      <c r="R11" s="458"/>
      <c r="S11" s="458"/>
    </row>
    <row r="12" spans="1:22">
      <c r="A12" s="2377">
        <f>'数据-取费表'!AN12</f>
        <v>0</v>
      </c>
      <c r="B12" s="2375" t="e">
        <f ca="1">IF(F12="是",'数据-取费表'!AO12,0)</f>
        <v>#REF!</v>
      </c>
      <c r="C12" s="1718" t="s">
        <v>1648</v>
      </c>
      <c r="D12" s="2467"/>
      <c r="E12" s="2379">
        <f>IF(OR(A12=0,F12="否"),0,'数据-取费表'!K12+'数据-取费表'!S12)</f>
        <v>0</v>
      </c>
      <c r="F12" s="1721" t="s">
        <v>1654</v>
      </c>
      <c r="G12" s="458"/>
      <c r="H12" s="458"/>
      <c r="I12" s="458"/>
      <c r="J12" s="458"/>
      <c r="K12" s="458"/>
      <c r="L12" s="458"/>
      <c r="M12" s="458"/>
      <c r="N12" s="458"/>
      <c r="O12" s="458"/>
      <c r="P12" s="458"/>
      <c r="Q12" s="458"/>
      <c r="R12" s="458"/>
      <c r="S12" s="458"/>
    </row>
    <row r="13" spans="1:22" ht="15" thickBot="1">
      <c r="A13" s="2378">
        <f>'数据-取费表'!AN13</f>
        <v>0</v>
      </c>
      <c r="B13" s="2375" t="e">
        <f ca="1">IF(F13="是",'数据-取费表'!AO13,0)</f>
        <v>#REF!</v>
      </c>
      <c r="C13" s="1722" t="s">
        <v>1648</v>
      </c>
      <c r="D13" s="2469"/>
      <c r="E13" s="2379">
        <f>IF(OR(A13=0,F13="否"),0,'数据-取费表'!K13+'数据-取费表'!S13)</f>
        <v>0</v>
      </c>
      <c r="F13" s="1721"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1658</v>
      </c>
      <c r="C1" s="1145" t="s">
        <v>1659</v>
      </c>
      <c r="D1" s="1132"/>
      <c r="E1" s="3112"/>
      <c r="F1" s="1724"/>
      <c r="G1" s="1142" t="s">
        <v>1660</v>
      </c>
      <c r="H1" s="1141"/>
      <c r="I1" s="1141"/>
      <c r="J1" s="1141"/>
      <c r="K1" s="1143"/>
      <c r="L1" s="1144"/>
      <c r="M1" s="1145"/>
      <c r="N1" s="1145"/>
      <c r="O1" s="1145"/>
      <c r="P1" s="1725"/>
      <c r="Q1" s="1131"/>
      <c r="R1" s="1131"/>
      <c r="S1" s="1131"/>
      <c r="T1" s="1131"/>
      <c r="U1" s="1131"/>
      <c r="V1" s="1131"/>
      <c r="W1" s="1131"/>
      <c r="X1" s="1131"/>
      <c r="Y1" s="1131"/>
      <c r="Z1" s="1131"/>
      <c r="AA1" s="1131"/>
      <c r="AB1" s="1131"/>
      <c r="AC1" s="1139"/>
    </row>
    <row r="2" spans="1:29" s="337" customFormat="1" ht="28.5" customHeight="1" thickTop="1">
      <c r="A2" s="1128" t="s">
        <v>682</v>
      </c>
      <c r="B2" s="3113" t="b">
        <f>IF(E1="项目模式",IF(C2="——",ROUND(C49*D3/10000,0),ROUND(C49*D3/10000,0)-D2),IF(E1="单套模式",IF(C2="——",ROUND(C49*D3/10000,4),ROUND(C49*D3/10000,4)-D2)))</f>
        <v>0</v>
      </c>
      <c r="C2" s="1726"/>
      <c r="D2" s="1042" t="e">
        <f ca="1">IF(E1="项目模式",SUMIF(INDIRECT("'"&amp;F2&amp;"'"&amp;"!A:A"),"承租人权益价值",INDIRECT("'"&amp;F2&amp;"'"&amp;"!c:c")),SUMIF(INDIRECT("'"&amp;F2&amp;"'"&amp;"!A:A"),"承租人权益价值（单套）",INDIRECT("'"&amp;F2&amp;"'"&amp;"!c:c")))</f>
        <v>#REF!</v>
      </c>
      <c r="E2" s="1727" t="s">
        <v>1661</v>
      </c>
      <c r="F2" s="1728"/>
      <c r="G2" s="847"/>
      <c r="H2" s="847"/>
      <c r="I2" s="847"/>
      <c r="J2" s="847"/>
      <c r="K2" s="1729"/>
      <c r="L2" s="2472"/>
      <c r="M2" s="2473"/>
      <c r="N2" s="2473"/>
      <c r="O2" s="2473"/>
      <c r="P2" s="1730"/>
      <c r="Q2" s="1731"/>
      <c r="R2" s="1731"/>
      <c r="S2" s="1731"/>
      <c r="T2" s="1731"/>
      <c r="U2" s="1731"/>
      <c r="V2" s="1731"/>
      <c r="W2" s="1731"/>
      <c r="X2" s="1731"/>
      <c r="Y2" s="1731"/>
      <c r="Z2" s="1731"/>
      <c r="AA2" s="1731"/>
      <c r="AB2" s="1731"/>
      <c r="AC2" s="988"/>
    </row>
    <row r="3" spans="1:29" s="337" customFormat="1" ht="28.5" customHeight="1" thickBot="1">
      <c r="A3" s="194" t="s">
        <v>683</v>
      </c>
      <c r="B3" s="342">
        <f>IF(C2="——",C49,ROUND(B2*10000/D3,0))</f>
        <v>0</v>
      </c>
      <c r="C3" s="343" t="s">
        <v>1662</v>
      </c>
      <c r="D3" s="342">
        <f>IF(D1="",'数据-汇总表'!E3,SUMIF('数据-汇总表'!$C19:$C33,D1,'数据-汇总表'!$E19:$E33))</f>
        <v>51111.68000000059</v>
      </c>
      <c r="E3" s="847"/>
      <c r="F3" s="1732"/>
      <c r="G3" s="847"/>
      <c r="H3" s="847"/>
      <c r="I3" s="847"/>
      <c r="J3" s="847"/>
      <c r="K3" s="1729"/>
      <c r="L3" s="2472"/>
      <c r="M3" s="2473"/>
      <c r="N3" s="2473"/>
      <c r="O3" s="2473"/>
      <c r="P3" s="1730"/>
      <c r="Q3" s="1731"/>
      <c r="R3" s="1731"/>
      <c r="S3" s="1731"/>
      <c r="T3" s="1731"/>
      <c r="U3" s="1731"/>
      <c r="V3" s="1731"/>
      <c r="W3" s="1731"/>
      <c r="X3" s="1731"/>
      <c r="Y3" s="1731"/>
      <c r="Z3" s="1731"/>
      <c r="AA3" s="1731"/>
      <c r="AB3" s="1731"/>
      <c r="AC3" s="988"/>
    </row>
    <row r="4" spans="1:29" ht="15">
      <c r="A4" s="344" t="s">
        <v>1663</v>
      </c>
      <c r="B4" s="345"/>
      <c r="C4" s="3406" t="s">
        <v>1664</v>
      </c>
      <c r="D4" s="3407"/>
      <c r="E4" s="3408" t="s">
        <v>1665</v>
      </c>
      <c r="F4" s="3409"/>
      <c r="G4" s="3406" t="s">
        <v>1666</v>
      </c>
      <c r="H4" s="3407"/>
      <c r="I4" s="3406" t="s">
        <v>1667</v>
      </c>
      <c r="J4" s="3407"/>
      <c r="K4" s="1733" t="s">
        <v>1668</v>
      </c>
      <c r="L4" s="2474"/>
      <c r="M4" s="2475"/>
      <c r="N4" s="2475"/>
      <c r="O4" s="2475"/>
      <c r="P4" s="3468" t="s">
        <v>1669</v>
      </c>
      <c r="Q4" s="3469"/>
      <c r="R4" s="3465" t="s">
        <v>1665</v>
      </c>
      <c r="S4" s="3466"/>
      <c r="T4" s="3465" t="s">
        <v>1666</v>
      </c>
      <c r="U4" s="3466"/>
      <c r="V4" s="3419" t="s">
        <v>1667</v>
      </c>
      <c r="W4" s="3419"/>
      <c r="X4" s="1254"/>
      <c r="Y4" s="3465" t="s">
        <v>1669</v>
      </c>
      <c r="Z4" s="3466"/>
      <c r="AA4" s="3464" t="s">
        <v>1665</v>
      </c>
      <c r="AB4" s="3464" t="s">
        <v>1666</v>
      </c>
      <c r="AC4" s="3464" t="s">
        <v>1667</v>
      </c>
    </row>
    <row r="5" spans="1:29" ht="15">
      <c r="A5" s="347"/>
      <c r="B5" s="348"/>
      <c r="C5" s="3395" t="s">
        <v>1670</v>
      </c>
      <c r="D5" s="3396"/>
      <c r="E5" s="3467" t="s">
        <v>1671</v>
      </c>
      <c r="F5" s="3394"/>
      <c r="G5" s="3395" t="s">
        <v>1672</v>
      </c>
      <c r="H5" s="3396"/>
      <c r="I5" s="3395" t="s">
        <v>1673</v>
      </c>
      <c r="J5" s="3396"/>
      <c r="K5" s="1734"/>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1734"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SUMIF(58:58,YEAR(E7)&amp;"-"&amp;MONTH(E7),59:59)</f>
        <v>0</v>
      </c>
      <c r="G7" s="355"/>
      <c r="H7" s="354">
        <f>SUMIF(58:58,YEAR(G7)&amp;"-"&amp;MONTH(G7),59:59)</f>
        <v>0</v>
      </c>
      <c r="I7" s="355"/>
      <c r="J7" s="354">
        <f>SUMIF(58:58,YEAR(I7)&amp;"-"&amp;MONTH(I7),59:59)</f>
        <v>0</v>
      </c>
      <c r="K7" s="1735"/>
      <c r="L7" s="2476"/>
      <c r="M7" s="2427"/>
      <c r="N7" s="2427"/>
      <c r="O7" s="2427"/>
      <c r="P7" s="3387" t="s">
        <v>1677</v>
      </c>
      <c r="Q7" s="3421"/>
      <c r="R7" s="660" t="s">
        <v>20</v>
      </c>
      <c r="S7" s="661">
        <f t="shared" ref="S7:S15" si="0">F7</f>
        <v>0</v>
      </c>
      <c r="T7" s="660" t="s">
        <v>20</v>
      </c>
      <c r="U7" s="661">
        <f t="shared" ref="U7:U15" si="1">H7</f>
        <v>0</v>
      </c>
      <c r="V7" s="660" t="s">
        <v>20</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c r="D8" s="354">
        <v>100</v>
      </c>
      <c r="E8" s="1736"/>
      <c r="F8" s="356">
        <f>SUMIF(61:61,E8,62:62)-SUMIF(61:61,C8,62:62)+100</f>
        <v>100</v>
      </c>
      <c r="G8" s="357"/>
      <c r="H8" s="354">
        <f>SUMIF(61:61,G8,62:62)-SUMIF(61:61,C8,62:62)+100</f>
        <v>100</v>
      </c>
      <c r="I8" s="1736"/>
      <c r="J8" s="354">
        <f>SUMIF(61:61,I8,62:62)-SUMIF(61:61,C8,62:62)+100</f>
        <v>100</v>
      </c>
      <c r="K8" s="1735"/>
      <c r="L8" s="2476"/>
      <c r="M8" s="2427"/>
      <c r="N8" s="2427"/>
      <c r="O8" s="2427"/>
      <c r="P8" s="3387" t="s">
        <v>1680</v>
      </c>
      <c r="Q8" s="3388"/>
      <c r="R8" s="660" t="s">
        <v>20</v>
      </c>
      <c r="S8" s="661">
        <f t="shared" si="0"/>
        <v>100</v>
      </c>
      <c r="T8" s="660" t="s">
        <v>20</v>
      </c>
      <c r="U8" s="661">
        <f t="shared" si="1"/>
        <v>100</v>
      </c>
      <c r="V8" s="660" t="s">
        <v>20</v>
      </c>
      <c r="W8" s="661">
        <f t="shared" si="2"/>
        <v>100</v>
      </c>
      <c r="X8" s="662"/>
      <c r="Y8" s="3387" t="s">
        <v>1680</v>
      </c>
      <c r="Z8" s="3388"/>
      <c r="AA8" s="50">
        <f t="shared" ref="AA8:AA19" si="3">D8/F8</f>
        <v>1</v>
      </c>
      <c r="AB8" s="50">
        <f t="shared" ref="AB8:AB19" si="4">D8/H8</f>
        <v>1</v>
      </c>
      <c r="AC8" s="50">
        <f t="shared" ref="AC8:AC19" si="5">D8/J8</f>
        <v>1</v>
      </c>
    </row>
    <row r="9" spans="1:29" s="102"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35"/>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20"/>
      <c r="F10" s="363">
        <f>SUMIF(65:65,E10,66:66)-SUMIF(65:65,C10,66:66)+100</f>
        <v>100</v>
      </c>
      <c r="G10" s="3119"/>
      <c r="H10" s="118">
        <f>SUMIF(65:65,G10,66:66)-SUMIF(65:65,C10,66:66)+100</f>
        <v>100</v>
      </c>
      <c r="I10" s="3119"/>
      <c r="J10" s="118">
        <f>SUMIF(65:65,I10,66:66)-SUMIF(65:65,C10,66:66)+100</f>
        <v>100</v>
      </c>
      <c r="K10" s="1735"/>
      <c r="L10" s="2477"/>
      <c r="M10" s="2478"/>
      <c r="N10" s="2478"/>
      <c r="O10" s="2478"/>
      <c r="P10" s="3402"/>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9"/>
      <c r="M11" s="2475"/>
      <c r="N11" s="2475"/>
      <c r="O11" s="2475"/>
      <c r="P11" s="3402"/>
      <c r="Q11" s="529" t="str">
        <f t="shared" si="6"/>
        <v>容积率</v>
      </c>
      <c r="R11" s="660" t="s">
        <v>18</v>
      </c>
      <c r="S11" s="661" t="e">
        <f t="shared" si="0"/>
        <v>#N/A</v>
      </c>
      <c r="T11" s="660" t="s">
        <v>18</v>
      </c>
      <c r="U11" s="661" t="e">
        <f t="shared" si="1"/>
        <v>#N/A</v>
      </c>
      <c r="V11" s="660" t="s">
        <v>18</v>
      </c>
      <c r="W11" s="661" t="e">
        <f t="shared" si="2"/>
        <v>#N/A</v>
      </c>
      <c r="X11" s="662"/>
      <c r="Y11" s="336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7"/>
      <c r="L12" s="2476"/>
      <c r="M12" s="2427"/>
      <c r="N12" s="2427"/>
      <c r="O12" s="2427"/>
      <c r="P12" s="3402"/>
      <c r="Q12" s="529">
        <f t="shared" si="6"/>
        <v>111</v>
      </c>
      <c r="R12" s="660" t="s">
        <v>18</v>
      </c>
      <c r="S12" s="661">
        <f t="shared" si="0"/>
        <v>100</v>
      </c>
      <c r="T12" s="660" t="s">
        <v>18</v>
      </c>
      <c r="U12" s="661">
        <f t="shared" si="1"/>
        <v>100</v>
      </c>
      <c r="V12" s="660" t="s">
        <v>18</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7"/>
      <c r="L13" s="2480"/>
      <c r="M13" s="2475"/>
      <c r="N13" s="2475"/>
      <c r="O13" s="2475"/>
      <c r="P13" s="3402"/>
      <c r="Q13" s="529">
        <f t="shared" si="6"/>
        <v>111</v>
      </c>
      <c r="R13" s="660" t="s">
        <v>18</v>
      </c>
      <c r="S13" s="661">
        <f t="shared" si="0"/>
        <v>100</v>
      </c>
      <c r="T13" s="660" t="s">
        <v>18</v>
      </c>
      <c r="U13" s="661">
        <f t="shared" si="1"/>
        <v>100</v>
      </c>
      <c r="V13" s="660" t="s">
        <v>18</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5"/>
      <c r="F14" s="377">
        <f>SUMIF(74:74,E14,75:75)-SUMIF(74:74,C14,75:75)+100</f>
        <v>100</v>
      </c>
      <c r="G14" s="375"/>
      <c r="H14" s="376">
        <f>SUMIF(74:74,G14,75:75)-SUMIF(74:74,C14,75:75)+100</f>
        <v>100</v>
      </c>
      <c r="I14" s="375"/>
      <c r="J14" s="376">
        <f>SUMIF(74:74,I14,75:75)-SUMIF(74:74,C14,75:75)+100</f>
        <v>100</v>
      </c>
      <c r="K14" s="1737"/>
      <c r="L14" s="2480"/>
      <c r="M14" s="2475"/>
      <c r="N14" s="2475"/>
      <c r="O14" s="2475"/>
      <c r="P14" s="3402"/>
      <c r="Q14" s="529">
        <f t="shared" si="6"/>
        <v>111</v>
      </c>
      <c r="R14" s="660" t="s">
        <v>18</v>
      </c>
      <c r="S14" s="661">
        <f t="shared" si="0"/>
        <v>100</v>
      </c>
      <c r="T14" s="660" t="s">
        <v>18</v>
      </c>
      <c r="U14" s="661">
        <f t="shared" si="1"/>
        <v>100</v>
      </c>
      <c r="V14" s="660" t="s">
        <v>18</v>
      </c>
      <c r="W14" s="661">
        <f t="shared" si="2"/>
        <v>100</v>
      </c>
      <c r="X14" s="662"/>
      <c r="Y14" s="3360"/>
      <c r="Z14" s="50">
        <f t="shared" si="7"/>
        <v>111</v>
      </c>
      <c r="AA14" s="50">
        <f t="shared" si="3"/>
        <v>1</v>
      </c>
      <c r="AB14" s="50">
        <f t="shared" si="4"/>
        <v>1</v>
      </c>
      <c r="AC14" s="50">
        <f t="shared" si="5"/>
        <v>1</v>
      </c>
    </row>
    <row r="15" spans="1:29" ht="15">
      <c r="A15" s="378" t="s">
        <v>1687</v>
      </c>
      <c r="B15" s="58" t="s">
        <v>1254</v>
      </c>
      <c r="C15" s="173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0"/>
      <c r="M15" s="2475"/>
      <c r="N15" s="2475"/>
      <c r="O15" s="2475"/>
      <c r="P15" s="3422" t="s">
        <v>1688</v>
      </c>
      <c r="Q15" s="1252" t="str">
        <f t="shared" si="6"/>
        <v>居住社区成熟度</v>
      </c>
      <c r="R15" s="663" t="s">
        <v>18</v>
      </c>
      <c r="S15" s="664">
        <f t="shared" si="0"/>
        <v>100</v>
      </c>
      <c r="T15" s="663" t="s">
        <v>18</v>
      </c>
      <c r="U15" s="664">
        <f t="shared" si="1"/>
        <v>100</v>
      </c>
      <c r="V15" s="663" t="s">
        <v>18</v>
      </c>
      <c r="W15" s="664">
        <f t="shared" si="2"/>
        <v>100</v>
      </c>
      <c r="X15" s="1254"/>
      <c r="Y15" s="3424" t="s">
        <v>1688</v>
      </c>
      <c r="Z15" s="1253" t="str">
        <f t="shared" si="7"/>
        <v>居住社区成熟度</v>
      </c>
      <c r="AA15" s="1253">
        <f t="shared" si="3"/>
        <v>1</v>
      </c>
      <c r="AB15" s="1253">
        <f t="shared" si="4"/>
        <v>1</v>
      </c>
      <c r="AC15" s="1253">
        <f t="shared" si="5"/>
        <v>1</v>
      </c>
    </row>
    <row r="16" spans="1:29" ht="15">
      <c r="A16" s="366"/>
      <c r="B16" s="384"/>
      <c r="C16" s="385"/>
      <c r="D16" s="386"/>
      <c r="E16" s="1740"/>
      <c r="F16" s="386"/>
      <c r="G16" s="1741"/>
      <c r="H16" s="388"/>
      <c r="I16" s="1741"/>
      <c r="J16" s="386"/>
      <c r="K16" s="1742"/>
      <c r="L16" s="2480"/>
      <c r="M16" s="2475"/>
      <c r="N16" s="2475"/>
      <c r="O16" s="2475"/>
      <c r="P16" s="3423"/>
      <c r="Q16" s="1252"/>
      <c r="R16" s="663"/>
      <c r="S16" s="664"/>
      <c r="T16" s="663"/>
      <c r="U16" s="664"/>
      <c r="V16" s="663"/>
      <c r="W16" s="664"/>
      <c r="X16" s="1254"/>
      <c r="Y16" s="3425"/>
      <c r="Z16" s="1253"/>
      <c r="AA16" s="1253">
        <v>1</v>
      </c>
      <c r="AB16" s="1253">
        <v>1</v>
      </c>
      <c r="AC16" s="1253">
        <v>1</v>
      </c>
    </row>
    <row r="17" spans="1:29" ht="15">
      <c r="A17" s="366"/>
      <c r="B17" s="389" t="s">
        <v>1256</v>
      </c>
      <c r="C17" s="174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0"/>
      <c r="M17" s="2475"/>
      <c r="N17" s="2475"/>
      <c r="O17" s="2475"/>
      <c r="P17" s="3423"/>
      <c r="Q17" s="1252" t="str">
        <f>B17</f>
        <v>交通便捷度</v>
      </c>
      <c r="R17" s="663" t="s">
        <v>18</v>
      </c>
      <c r="S17" s="664">
        <f>F17</f>
        <v>100</v>
      </c>
      <c r="T17" s="663" t="s">
        <v>18</v>
      </c>
      <c r="U17" s="664">
        <f>H17</f>
        <v>100</v>
      </c>
      <c r="V17" s="663" t="s">
        <v>18</v>
      </c>
      <c r="W17" s="664">
        <f>J17</f>
        <v>100</v>
      </c>
      <c r="X17" s="1254"/>
      <c r="Y17" s="3425"/>
      <c r="Z17" s="1253" t="str">
        <f>Q17</f>
        <v>交通便捷度</v>
      </c>
      <c r="AA17" s="1253">
        <f t="shared" si="3"/>
        <v>1</v>
      </c>
      <c r="AB17" s="1253">
        <f t="shared" si="4"/>
        <v>1</v>
      </c>
      <c r="AC17" s="1253">
        <f t="shared" si="5"/>
        <v>1</v>
      </c>
    </row>
    <row r="18" spans="1:29" ht="15">
      <c r="A18" s="366"/>
      <c r="B18" s="394"/>
      <c r="C18" s="1744"/>
      <c r="D18" s="388"/>
      <c r="E18" s="1745"/>
      <c r="F18" s="388"/>
      <c r="G18" s="1746"/>
      <c r="H18" s="386"/>
      <c r="I18" s="1746"/>
      <c r="J18" s="386"/>
      <c r="K18" s="1742"/>
      <c r="L18" s="2480"/>
      <c r="M18" s="2475"/>
      <c r="N18" s="2475"/>
      <c r="O18" s="2475"/>
      <c r="P18" s="3423"/>
      <c r="Q18" s="1252"/>
      <c r="R18" s="663"/>
      <c r="S18" s="664"/>
      <c r="T18" s="663"/>
      <c r="U18" s="664"/>
      <c r="V18" s="663"/>
      <c r="W18" s="664"/>
      <c r="X18" s="1254"/>
      <c r="Y18" s="3425"/>
      <c r="Z18" s="1253"/>
      <c r="AA18" s="1253">
        <v>1</v>
      </c>
      <c r="AB18" s="1253">
        <v>1</v>
      </c>
      <c r="AC18" s="1253">
        <v>1</v>
      </c>
    </row>
    <row r="19" spans="1:29" ht="15">
      <c r="A19" s="366"/>
      <c r="B19" s="389" t="s">
        <v>1255</v>
      </c>
      <c r="C19" s="174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0"/>
      <c r="M19" s="2475"/>
      <c r="N19" s="2475"/>
      <c r="O19" s="2475"/>
      <c r="P19" s="3423"/>
      <c r="Q19" s="1252" t="str">
        <f>B19</f>
        <v>公共配套设施</v>
      </c>
      <c r="R19" s="663" t="s">
        <v>18</v>
      </c>
      <c r="S19" s="664">
        <f>F19</f>
        <v>100</v>
      </c>
      <c r="T19" s="663" t="s">
        <v>18</v>
      </c>
      <c r="U19" s="664">
        <f>H19</f>
        <v>100</v>
      </c>
      <c r="V19" s="663" t="s">
        <v>18</v>
      </c>
      <c r="W19" s="664">
        <f>J19</f>
        <v>100</v>
      </c>
      <c r="X19" s="1254"/>
      <c r="Y19" s="3425"/>
      <c r="Z19" s="1253" t="str">
        <f>Q19</f>
        <v>公共配套设施</v>
      </c>
      <c r="AA19" s="1253">
        <f t="shared" si="3"/>
        <v>1</v>
      </c>
      <c r="AB19" s="1253">
        <f t="shared" si="4"/>
        <v>1</v>
      </c>
      <c r="AC19" s="1253">
        <f t="shared" si="5"/>
        <v>1</v>
      </c>
    </row>
    <row r="20" spans="1:29" ht="15">
      <c r="A20" s="366"/>
      <c r="B20" s="394"/>
      <c r="C20" s="385"/>
      <c r="D20" s="386"/>
      <c r="E20" s="1740"/>
      <c r="F20" s="386"/>
      <c r="G20" s="1741"/>
      <c r="H20" s="386"/>
      <c r="I20" s="1741"/>
      <c r="J20" s="386"/>
      <c r="K20" s="1742"/>
      <c r="L20" s="2480"/>
      <c r="M20" s="2475"/>
      <c r="N20" s="2475"/>
      <c r="O20" s="2475"/>
      <c r="P20" s="3423"/>
      <c r="Q20" s="1252"/>
      <c r="R20" s="663"/>
      <c r="S20" s="664"/>
      <c r="T20" s="663"/>
      <c r="U20" s="664"/>
      <c r="V20" s="663"/>
      <c r="W20" s="664"/>
      <c r="X20" s="1254"/>
      <c r="Y20" s="3425"/>
      <c r="Z20" s="1253"/>
      <c r="AA20" s="1253">
        <v>1</v>
      </c>
      <c r="AB20" s="1253">
        <v>1</v>
      </c>
      <c r="AC20" s="1253">
        <v>1</v>
      </c>
    </row>
    <row r="21" spans="1:29" ht="15">
      <c r="A21" s="366"/>
      <c r="B21" s="585" t="s">
        <v>1257</v>
      </c>
      <c r="C21" s="174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6"/>
      <c r="G22" s="1747"/>
      <c r="H22" s="386"/>
      <c r="I22" s="385"/>
      <c r="J22" s="386"/>
      <c r="K22" s="1748"/>
      <c r="L22" s="2480"/>
      <c r="M22" s="2475"/>
      <c r="N22" s="2475"/>
      <c r="O22" s="2475"/>
      <c r="P22" s="3423"/>
      <c r="Q22" s="1252"/>
      <c r="R22" s="663"/>
      <c r="S22" s="664"/>
      <c r="T22" s="663"/>
      <c r="U22" s="664"/>
      <c r="V22" s="663"/>
      <c r="W22" s="664"/>
      <c r="X22" s="1254"/>
      <c r="Y22" s="3425"/>
      <c r="Z22" s="1253"/>
      <c r="AA22" s="1253">
        <v>1</v>
      </c>
      <c r="AB22" s="1253">
        <v>1</v>
      </c>
      <c r="AC22" s="1253">
        <v>1</v>
      </c>
    </row>
    <row r="23" spans="1:29" ht="15">
      <c r="A23" s="366"/>
      <c r="B23" s="389" t="s">
        <v>1258</v>
      </c>
      <c r="C23" s="1743"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0"/>
      <c r="M23" s="2475"/>
      <c r="N23" s="2475"/>
      <c r="O23" s="2475"/>
      <c r="P23" s="3423"/>
      <c r="Q23" s="1252" t="str">
        <f>B23</f>
        <v>自然及人文环境</v>
      </c>
      <c r="R23" s="663" t="s">
        <v>18</v>
      </c>
      <c r="S23" s="664">
        <f>F23</f>
        <v>100</v>
      </c>
      <c r="T23" s="663" t="s">
        <v>18</v>
      </c>
      <c r="U23" s="664">
        <f>H23</f>
        <v>100</v>
      </c>
      <c r="V23" s="663" t="s">
        <v>18</v>
      </c>
      <c r="W23" s="664">
        <f>J23</f>
        <v>100</v>
      </c>
      <c r="X23" s="1254"/>
      <c r="Y23" s="3425"/>
      <c r="Z23" s="1253" t="str">
        <f>Q23</f>
        <v>自然及人文环境</v>
      </c>
      <c r="AA23" s="1253">
        <f>D23/F23</f>
        <v>1</v>
      </c>
      <c r="AB23" s="1253">
        <f>D23/H23</f>
        <v>1</v>
      </c>
      <c r="AC23" s="1253">
        <f>D23/J23</f>
        <v>1</v>
      </c>
    </row>
    <row r="24" spans="1:29" ht="15">
      <c r="A24" s="366"/>
      <c r="B24" s="394"/>
      <c r="C24" s="385"/>
      <c r="D24" s="386"/>
      <c r="E24" s="1740"/>
      <c r="F24" s="386"/>
      <c r="G24" s="1741"/>
      <c r="H24" s="386"/>
      <c r="I24" s="1741"/>
      <c r="J24" s="386"/>
      <c r="K24" s="1742"/>
      <c r="L24" s="2480"/>
      <c r="M24" s="2475"/>
      <c r="N24" s="2475"/>
      <c r="O24" s="2475"/>
      <c r="P24" s="3423"/>
      <c r="Q24" s="1252"/>
      <c r="R24" s="663"/>
      <c r="S24" s="664"/>
      <c r="T24" s="663"/>
      <c r="U24" s="664"/>
      <c r="V24" s="663"/>
      <c r="W24" s="664"/>
      <c r="X24" s="1254"/>
      <c r="Y24" s="3425"/>
      <c r="Z24" s="1253"/>
      <c r="AA24" s="1253">
        <v>1</v>
      </c>
      <c r="AB24" s="1253">
        <v>1</v>
      </c>
      <c r="AC24" s="1253">
        <v>1</v>
      </c>
    </row>
    <row r="25" spans="1:29" ht="15">
      <c r="A25" s="366"/>
      <c r="B25" s="363" t="s">
        <v>1689</v>
      </c>
      <c r="C25" s="398"/>
      <c r="D25" s="373">
        <v>100</v>
      </c>
      <c r="E25" s="1749"/>
      <c r="F25" s="373">
        <f>SUMIF(86:86,E25,87:87)-SUMIF(86:86,C25,87:87)+100</f>
        <v>100</v>
      </c>
      <c r="G25" s="1750"/>
      <c r="H25" s="373">
        <f>SUMIF(86:86,G25,87:87)-SUMIF(86:86,C25,87:87)+100</f>
        <v>100</v>
      </c>
      <c r="I25" s="1750"/>
      <c r="J25" s="373">
        <f>SUMIF(86:86,I25,87:87)-SUMIF(86:86,C25,87:87)+100</f>
        <v>100</v>
      </c>
      <c r="K25" s="364"/>
      <c r="L25" s="2480"/>
      <c r="M25" s="2475"/>
      <c r="N25" s="2475"/>
      <c r="O25" s="2475"/>
      <c r="P25" s="3423"/>
      <c r="Q25" s="1252" t="str">
        <f t="shared" ref="Q25:Q46" si="11">B25</f>
        <v>楼层-1</v>
      </c>
      <c r="R25" s="663" t="s">
        <v>18</v>
      </c>
      <c r="S25" s="664">
        <f t="shared" ref="S25:S46" si="12">F25</f>
        <v>100</v>
      </c>
      <c r="T25" s="663" t="s">
        <v>18</v>
      </c>
      <c r="U25" s="664">
        <f t="shared" ref="U25:U46" si="13">H25</f>
        <v>100</v>
      </c>
      <c r="V25" s="663" t="s">
        <v>18</v>
      </c>
      <c r="W25" s="664">
        <f t="shared" ref="W25:W46" si="14">J25</f>
        <v>100</v>
      </c>
      <c r="X25" s="1254"/>
      <c r="Y25" s="3425"/>
      <c r="Z25" s="1253" t="str">
        <f>Q25</f>
        <v>楼层-1</v>
      </c>
      <c r="AA25" s="1253">
        <f t="shared" ref="AA25:AA46" si="15">D25/F25</f>
        <v>1</v>
      </c>
      <c r="AB25" s="1253">
        <f t="shared" ref="AB25:AB46" si="16">D25/H25</f>
        <v>1</v>
      </c>
      <c r="AC25" s="1253">
        <f t="shared" ref="AC25:AC46" si="17">D25/J25</f>
        <v>1</v>
      </c>
    </row>
    <row r="26" spans="1:29" ht="15">
      <c r="A26" s="366"/>
      <c r="B26" s="363" t="s">
        <v>1690</v>
      </c>
      <c r="C26" s="398"/>
      <c r="D26" s="373">
        <v>100</v>
      </c>
      <c r="E26" s="1749"/>
      <c r="F26" s="373">
        <f>SUMIF(88:88,E26,89:89)-SUMIF(88:88,C26,89:89)+100</f>
        <v>100</v>
      </c>
      <c r="G26" s="1750"/>
      <c r="H26" s="373">
        <f>SUMIF(88:88,G26,89:89)-SUMIF(88:88,C26,89:89)+100</f>
        <v>100</v>
      </c>
      <c r="I26" s="1750"/>
      <c r="J26" s="373">
        <f>SUMIF(88:88,I26,89:89)-SUMIF(88:88,C26,89:89)+100</f>
        <v>100</v>
      </c>
      <c r="K26" s="364"/>
      <c r="L26" s="2480"/>
      <c r="M26" s="2475"/>
      <c r="N26" s="2475"/>
      <c r="O26" s="2475"/>
      <c r="P26" s="3423"/>
      <c r="Q26" s="1252" t="str">
        <f t="shared" si="11"/>
        <v>朝向</v>
      </c>
      <c r="R26" s="663" t="s">
        <v>18</v>
      </c>
      <c r="S26" s="664">
        <f t="shared" si="12"/>
        <v>100</v>
      </c>
      <c r="T26" s="663" t="s">
        <v>18</v>
      </c>
      <c r="U26" s="664">
        <f t="shared" si="13"/>
        <v>100</v>
      </c>
      <c r="V26" s="663" t="s">
        <v>18</v>
      </c>
      <c r="W26" s="664">
        <f t="shared" si="14"/>
        <v>100</v>
      </c>
      <c r="X26" s="1254"/>
      <c r="Y26" s="3425"/>
      <c r="Z26" s="1253" t="str">
        <f>Q26</f>
        <v>朝向</v>
      </c>
      <c r="AA26" s="1253">
        <f t="shared" si="15"/>
        <v>1</v>
      </c>
      <c r="AB26" s="1253">
        <f t="shared" si="16"/>
        <v>1</v>
      </c>
      <c r="AC26" s="1253">
        <f t="shared" si="17"/>
        <v>1</v>
      </c>
    </row>
    <row r="27" spans="1:29" s="102" customFormat="1" ht="15">
      <c r="A27" s="369"/>
      <c r="B27" s="1056">
        <v>111</v>
      </c>
      <c r="C27" s="370"/>
      <c r="D27" s="400">
        <v>100</v>
      </c>
      <c r="E27" s="402"/>
      <c r="F27" s="400">
        <f>SUMIF(90:90,E27,91:91)-SUMIF(90:90,C27,91:91)+100</f>
        <v>100</v>
      </c>
      <c r="G27" s="401"/>
      <c r="H27" s="400">
        <f>SUMIF(90:90,G27,91:91)-SUMIF(90:90,C27,91:91)+100</f>
        <v>100</v>
      </c>
      <c r="I27" s="401"/>
      <c r="J27" s="400">
        <f>SUMIF(90:90,I27,91:91)-SUMIF(90:90,C27,91:91)+100</f>
        <v>100</v>
      </c>
      <c r="K27" s="1737"/>
      <c r="L27" s="2476"/>
      <c r="M27" s="2427"/>
      <c r="N27" s="2427"/>
      <c r="O27" s="2427"/>
      <c r="P27" s="3423"/>
      <c r="Q27" s="529">
        <f t="shared" si="11"/>
        <v>111</v>
      </c>
      <c r="R27" s="660" t="s">
        <v>18</v>
      </c>
      <c r="S27" s="661">
        <f t="shared" si="12"/>
        <v>100</v>
      </c>
      <c r="T27" s="660" t="s">
        <v>18</v>
      </c>
      <c r="U27" s="661">
        <f t="shared" si="13"/>
        <v>100</v>
      </c>
      <c r="V27" s="660" t="s">
        <v>18</v>
      </c>
      <c r="W27" s="661">
        <f t="shared" si="14"/>
        <v>100</v>
      </c>
      <c r="X27" s="662"/>
      <c r="Y27" s="3425"/>
      <c r="Z27" s="50">
        <f>Q27</f>
        <v>111</v>
      </c>
      <c r="AA27" s="1253">
        <f t="shared" si="15"/>
        <v>1</v>
      </c>
      <c r="AB27" s="1253">
        <f t="shared" si="16"/>
        <v>1</v>
      </c>
      <c r="AC27" s="1253">
        <f t="shared" si="17"/>
        <v>1</v>
      </c>
    </row>
    <row r="28" spans="1:29" ht="15">
      <c r="A28" s="366"/>
      <c r="B28" s="1056">
        <v>111</v>
      </c>
      <c r="C28" s="372"/>
      <c r="D28" s="373">
        <v>100</v>
      </c>
      <c r="E28" s="372"/>
      <c r="F28" s="373">
        <f>SUMIF(92:92,E28,93:93)-SUMIF(92:92,C28,93:93)+100</f>
        <v>100</v>
      </c>
      <c r="G28" s="1751"/>
      <c r="H28" s="373">
        <f>SUMIF(92:92,G28,93:93)-SUMIF(92:92,C28,93:93)+100</f>
        <v>100</v>
      </c>
      <c r="I28" s="372"/>
      <c r="J28" s="373">
        <f>SUMIF(92:92,I28,93:93)-SUMIF(92:92,C28,93:93)+100</f>
        <v>100</v>
      </c>
      <c r="K28" s="1737"/>
      <c r="L28" s="2480"/>
      <c r="M28" s="2475"/>
      <c r="N28" s="2475"/>
      <c r="O28" s="2475"/>
      <c r="P28" s="3423"/>
      <c r="Q28" s="1252">
        <f t="shared" si="11"/>
        <v>111</v>
      </c>
      <c r="R28" s="663" t="s">
        <v>18</v>
      </c>
      <c r="S28" s="664">
        <f t="shared" si="12"/>
        <v>100</v>
      </c>
      <c r="T28" s="663" t="s">
        <v>18</v>
      </c>
      <c r="U28" s="664">
        <f t="shared" si="13"/>
        <v>100</v>
      </c>
      <c r="V28" s="663" t="s">
        <v>18</v>
      </c>
      <c r="W28" s="664">
        <f t="shared" si="14"/>
        <v>100</v>
      </c>
      <c r="X28" s="1254"/>
      <c r="Y28" s="3425"/>
      <c r="Z28" s="1253">
        <f t="shared" ref="Z28:Z46" si="18">Q28</f>
        <v>111</v>
      </c>
      <c r="AA28" s="1253">
        <f t="shared" si="15"/>
        <v>1</v>
      </c>
      <c r="AB28" s="1253">
        <f t="shared" si="16"/>
        <v>1</v>
      </c>
      <c r="AC28" s="1253">
        <f t="shared" si="17"/>
        <v>1</v>
      </c>
    </row>
    <row r="29" spans="1:29" ht="15">
      <c r="A29" s="366"/>
      <c r="B29" s="1056">
        <v>111</v>
      </c>
      <c r="C29" s="372"/>
      <c r="D29" s="373">
        <v>100</v>
      </c>
      <c r="E29" s="372"/>
      <c r="F29" s="373">
        <f>SUMIF(94:94,E29,95:95)-SUMIF(94:94,C29,95:95)+100</f>
        <v>100</v>
      </c>
      <c r="G29" s="1751"/>
      <c r="H29" s="373">
        <f>SUMIF(94:94,G29,95:95)-SUMIF(94:94,C29,95:95)+100</f>
        <v>100</v>
      </c>
      <c r="I29" s="372"/>
      <c r="J29" s="373">
        <f>SUMIF(94:94,I29,95:95)-SUMIF(94:94,C29,95:95)+100</f>
        <v>100</v>
      </c>
      <c r="K29" s="1737"/>
      <c r="L29" s="2480"/>
      <c r="M29" s="2475"/>
      <c r="N29" s="2475"/>
      <c r="O29" s="2475"/>
      <c r="P29" s="3423"/>
      <c r="Q29" s="1252">
        <f t="shared" si="11"/>
        <v>111</v>
      </c>
      <c r="R29" s="663" t="s">
        <v>18</v>
      </c>
      <c r="S29" s="664">
        <f t="shared" si="12"/>
        <v>100</v>
      </c>
      <c r="T29" s="663" t="s">
        <v>18</v>
      </c>
      <c r="U29" s="664">
        <f t="shared" si="13"/>
        <v>100</v>
      </c>
      <c r="V29" s="663" t="s">
        <v>18</v>
      </c>
      <c r="W29" s="664">
        <f t="shared" si="14"/>
        <v>100</v>
      </c>
      <c r="X29" s="1254"/>
      <c r="Y29" s="3425"/>
      <c r="Z29" s="1253">
        <f t="shared" si="18"/>
        <v>111</v>
      </c>
      <c r="AA29" s="1253">
        <f t="shared" si="15"/>
        <v>1</v>
      </c>
      <c r="AB29" s="1253">
        <f t="shared" si="16"/>
        <v>1</v>
      </c>
      <c r="AC29" s="1253">
        <f t="shared" si="17"/>
        <v>1</v>
      </c>
    </row>
    <row r="30" spans="1:29" ht="15">
      <c r="A30" s="366"/>
      <c r="B30" s="1056">
        <v>111</v>
      </c>
      <c r="C30" s="372"/>
      <c r="D30" s="373">
        <v>100</v>
      </c>
      <c r="E30" s="372"/>
      <c r="F30" s="373">
        <f>SUMIF(96:96,E30,97:97)-SUMIF(96:96,C30,97:97)+100</f>
        <v>100</v>
      </c>
      <c r="G30" s="1751"/>
      <c r="H30" s="373">
        <f>SUMIF(96:96,G30,97:97)-SUMIF(96:96,C30,97:97)+100</f>
        <v>100</v>
      </c>
      <c r="I30" s="372"/>
      <c r="J30" s="373">
        <f>SUMIF(96:96,I30,97:97)-SUMIF(96:96,C30,97:97)+100</f>
        <v>100</v>
      </c>
      <c r="K30" s="1737"/>
      <c r="L30" s="2480"/>
      <c r="M30" s="2475"/>
      <c r="N30" s="2475"/>
      <c r="O30" s="2475"/>
      <c r="P30" s="3423"/>
      <c r="Q30" s="1252">
        <f t="shared" si="11"/>
        <v>111</v>
      </c>
      <c r="R30" s="663" t="s">
        <v>18</v>
      </c>
      <c r="S30" s="664">
        <f t="shared" si="12"/>
        <v>100</v>
      </c>
      <c r="T30" s="663" t="s">
        <v>18</v>
      </c>
      <c r="U30" s="664">
        <f t="shared" si="13"/>
        <v>100</v>
      </c>
      <c r="V30" s="663" t="s">
        <v>18</v>
      </c>
      <c r="W30" s="664">
        <f t="shared" si="14"/>
        <v>100</v>
      </c>
      <c r="X30" s="1254"/>
      <c r="Y30" s="3425"/>
      <c r="Z30" s="1253">
        <f t="shared" si="18"/>
        <v>111</v>
      </c>
      <c r="AA30" s="1253">
        <f t="shared" si="15"/>
        <v>1</v>
      </c>
      <c r="AB30" s="1253">
        <f t="shared" si="16"/>
        <v>1</v>
      </c>
      <c r="AC30" s="1253">
        <f t="shared" si="17"/>
        <v>1</v>
      </c>
    </row>
    <row r="31" spans="1:29" ht="15.75" thickBot="1">
      <c r="A31" s="374"/>
      <c r="B31" s="1056">
        <v>111</v>
      </c>
      <c r="C31" s="375"/>
      <c r="D31" s="376">
        <v>100</v>
      </c>
      <c r="E31" s="375"/>
      <c r="F31" s="376">
        <f>SUMIF(98:98,E31,99:99)-SUMIF(98:98,C31,99:99)+100</f>
        <v>100</v>
      </c>
      <c r="G31" s="1752"/>
      <c r="H31" s="376">
        <f>SUMIF(98:98,G31,99:99)-SUMIF(98:98,C31,99:99)+100</f>
        <v>100</v>
      </c>
      <c r="I31" s="375"/>
      <c r="J31" s="376">
        <f>SUMIF(98:98,I31,99:99)-SUMIF(98:98,C31,99:99)+100</f>
        <v>100</v>
      </c>
      <c r="K31" s="1737"/>
      <c r="L31" s="2480"/>
      <c r="M31" s="2475"/>
      <c r="N31" s="2475"/>
      <c r="O31" s="2475"/>
      <c r="P31" s="3423"/>
      <c r="Q31" s="1252">
        <f t="shared" si="11"/>
        <v>111</v>
      </c>
      <c r="R31" s="663" t="s">
        <v>18</v>
      </c>
      <c r="S31" s="664">
        <f t="shared" si="12"/>
        <v>100</v>
      </c>
      <c r="T31" s="663" t="s">
        <v>18</v>
      </c>
      <c r="U31" s="664">
        <f t="shared" si="13"/>
        <v>100</v>
      </c>
      <c r="V31" s="663" t="s">
        <v>18</v>
      </c>
      <c r="W31" s="664">
        <f t="shared" si="14"/>
        <v>100</v>
      </c>
      <c r="X31" s="1254"/>
      <c r="Y31" s="3425"/>
      <c r="Z31" s="1253">
        <f t="shared" si="18"/>
        <v>111</v>
      </c>
      <c r="AA31" s="1253">
        <f t="shared" si="15"/>
        <v>1</v>
      </c>
      <c r="AB31" s="1253">
        <f t="shared" si="16"/>
        <v>1</v>
      </c>
      <c r="AC31" s="1253">
        <f t="shared" si="17"/>
        <v>1</v>
      </c>
    </row>
    <row r="32" spans="1:29" ht="15">
      <c r="A32" s="378" t="s">
        <v>1691</v>
      </c>
      <c r="B32" s="60" t="s">
        <v>1692</v>
      </c>
      <c r="C32" s="1753"/>
      <c r="D32" s="404">
        <v>100</v>
      </c>
      <c r="E32" s="1754"/>
      <c r="F32" s="399">
        <f>SUMIF(100:100,E32,101:101)-SUMIF(100:100,C32,101:101)+100</f>
        <v>100</v>
      </c>
      <c r="G32" s="1753"/>
      <c r="H32" s="404">
        <f>SUMIF(100:100,G32,101:101)-SUMIF(100:100,C32,101:101)+100</f>
        <v>100</v>
      </c>
      <c r="I32" s="1754"/>
      <c r="J32" s="373">
        <f>SUMIF(100:100,I32,101:101)-SUMIF(100:100,C32,101:101)+100</f>
        <v>100</v>
      </c>
      <c r="K32" s="364"/>
      <c r="L32" s="2480"/>
      <c r="M32" s="2475"/>
      <c r="N32" s="2475"/>
      <c r="O32" s="2475"/>
      <c r="P32" s="3426" t="s">
        <v>1693</v>
      </c>
      <c r="Q32" s="1252" t="str">
        <f t="shared" si="11"/>
        <v>建筑类型</v>
      </c>
      <c r="R32" s="663" t="s">
        <v>18</v>
      </c>
      <c r="S32" s="664">
        <f t="shared" si="12"/>
        <v>100</v>
      </c>
      <c r="T32" s="663" t="s">
        <v>18</v>
      </c>
      <c r="U32" s="664">
        <f t="shared" si="13"/>
        <v>100</v>
      </c>
      <c r="V32" s="663" t="s">
        <v>18</v>
      </c>
      <c r="W32" s="664">
        <f t="shared" si="14"/>
        <v>100</v>
      </c>
      <c r="X32" s="1254"/>
      <c r="Y32" s="3429" t="s">
        <v>1693</v>
      </c>
      <c r="Z32" s="1253" t="str">
        <f t="shared" si="18"/>
        <v>建筑类型</v>
      </c>
      <c r="AA32" s="1253">
        <f t="shared" si="15"/>
        <v>1</v>
      </c>
      <c r="AB32" s="1253">
        <f t="shared" si="16"/>
        <v>1</v>
      </c>
      <c r="AC32" s="125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7"/>
      <c r="L33" s="2479"/>
      <c r="M33" s="2481"/>
      <c r="N33" s="2481"/>
      <c r="O33" s="2481"/>
      <c r="P33" s="3427"/>
      <c r="Q33" s="530" t="str">
        <f t="shared" si="11"/>
        <v>项目建筑规模</v>
      </c>
      <c r="R33" s="665" t="s">
        <v>18</v>
      </c>
      <c r="S33" s="666" t="e">
        <f t="shared" si="12"/>
        <v>#N/A</v>
      </c>
      <c r="T33" s="665" t="s">
        <v>18</v>
      </c>
      <c r="U33" s="666" t="e">
        <f t="shared" si="13"/>
        <v>#N/A</v>
      </c>
      <c r="V33" s="665" t="s">
        <v>18</v>
      </c>
      <c r="W33" s="666" t="e">
        <f t="shared" si="14"/>
        <v>#N/A</v>
      </c>
      <c r="X33" s="667"/>
      <c r="Y33" s="3429"/>
      <c r="Z33" s="668" t="str">
        <f t="shared" si="18"/>
        <v>项目建筑规模</v>
      </c>
      <c r="AA33" s="1253" t="e">
        <f t="shared" si="15"/>
        <v>#N/A</v>
      </c>
      <c r="AB33" s="1253" t="e">
        <f t="shared" si="16"/>
        <v>#N/A</v>
      </c>
      <c r="AC33" s="1253" t="e">
        <f t="shared" si="17"/>
        <v>#N/A</v>
      </c>
    </row>
    <row r="34" spans="1:29" ht="15">
      <c r="A34" s="408"/>
      <c r="B34" s="363" t="s">
        <v>1695</v>
      </c>
      <c r="C34" s="398"/>
      <c r="D34" s="373">
        <v>100</v>
      </c>
      <c r="E34" s="1755"/>
      <c r="F34" s="399">
        <f>SUMIF(105:105,E34,106:106)-SUMIF(105:105,C34,106:106)+100</f>
        <v>100</v>
      </c>
      <c r="G34" s="398"/>
      <c r="H34" s="373">
        <f>SUMIF(105:105,G34,106:106)-SUMIF(105:105,C34,106:106)+100</f>
        <v>100</v>
      </c>
      <c r="I34" s="1755"/>
      <c r="J34" s="373">
        <f>SUMIF(105:105,I34,106:106)-SUMIF(105:105,C34,106:106)+100</f>
        <v>100</v>
      </c>
      <c r="K34" s="364"/>
      <c r="L34" s="2480"/>
      <c r="M34" s="2475"/>
      <c r="N34" s="2475"/>
      <c r="O34" s="2475"/>
      <c r="P34" s="3427"/>
      <c r="Q34" s="1252" t="str">
        <f t="shared" si="11"/>
        <v>建筑结构</v>
      </c>
      <c r="R34" s="663" t="s">
        <v>18</v>
      </c>
      <c r="S34" s="664">
        <f t="shared" si="12"/>
        <v>100</v>
      </c>
      <c r="T34" s="663" t="s">
        <v>18</v>
      </c>
      <c r="U34" s="664">
        <f t="shared" si="13"/>
        <v>100</v>
      </c>
      <c r="V34" s="663" t="s">
        <v>18</v>
      </c>
      <c r="W34" s="664">
        <f t="shared" si="14"/>
        <v>100</v>
      </c>
      <c r="X34" s="1254"/>
      <c r="Y34" s="3429"/>
      <c r="Z34" s="1253" t="str">
        <f t="shared" si="18"/>
        <v>建筑结构</v>
      </c>
      <c r="AA34" s="1253">
        <f t="shared" si="15"/>
        <v>1</v>
      </c>
      <c r="AB34" s="1253">
        <f t="shared" si="16"/>
        <v>1</v>
      </c>
      <c r="AC34" s="1253">
        <f t="shared" si="17"/>
        <v>1</v>
      </c>
    </row>
    <row r="35" spans="1:29" ht="15">
      <c r="A35" s="408"/>
      <c r="B35" s="363" t="s">
        <v>1696</v>
      </c>
      <c r="C35" s="1749"/>
      <c r="D35" s="373">
        <v>100</v>
      </c>
      <c r="E35" s="1750"/>
      <c r="F35" s="399">
        <f>SUMIF(107:107,E35,108:108)-SUMIF(107:107,C35,108:108)+100</f>
        <v>100</v>
      </c>
      <c r="G35" s="1749"/>
      <c r="H35" s="373">
        <f>SUMIF(107:107,G35,108:108)-SUMIF(107:107,C35,108:108)+100</f>
        <v>100</v>
      </c>
      <c r="I35" s="1750"/>
      <c r="J35" s="373">
        <f>SUMIF(107:107,I35,108:108)-SUMIF(107:107,C35,108:108)+100</f>
        <v>100</v>
      </c>
      <c r="K35" s="364"/>
      <c r="L35" s="2480"/>
      <c r="M35" s="2475"/>
      <c r="N35" s="2475"/>
      <c r="O35" s="2475"/>
      <c r="P35" s="3427"/>
      <c r="Q35" s="1252" t="str">
        <f t="shared" si="11"/>
        <v>建筑品质</v>
      </c>
      <c r="R35" s="663" t="s">
        <v>18</v>
      </c>
      <c r="S35" s="664">
        <f t="shared" si="12"/>
        <v>100</v>
      </c>
      <c r="T35" s="663" t="s">
        <v>18</v>
      </c>
      <c r="U35" s="664">
        <f t="shared" si="13"/>
        <v>100</v>
      </c>
      <c r="V35" s="663" t="s">
        <v>18</v>
      </c>
      <c r="W35" s="664">
        <f t="shared" si="14"/>
        <v>100</v>
      </c>
      <c r="X35" s="1254"/>
      <c r="Y35" s="3429"/>
      <c r="Z35" s="1253" t="str">
        <f t="shared" si="18"/>
        <v>建筑品质</v>
      </c>
      <c r="AA35" s="1253">
        <f t="shared" si="15"/>
        <v>1</v>
      </c>
      <c r="AB35" s="1253">
        <f t="shared" si="16"/>
        <v>1</v>
      </c>
      <c r="AC35" s="1253">
        <f t="shared" si="17"/>
        <v>1</v>
      </c>
    </row>
    <row r="36" spans="1:29" ht="15">
      <c r="A36" s="408"/>
      <c r="B36" s="363" t="s">
        <v>1697</v>
      </c>
      <c r="C36" s="1749"/>
      <c r="D36" s="373">
        <v>100</v>
      </c>
      <c r="E36" s="1750"/>
      <c r="F36" s="399">
        <f>SUMIF(109:109,E36,110:110)-SUMIF(109:109,C36,110:110)+100</f>
        <v>100</v>
      </c>
      <c r="G36" s="1749"/>
      <c r="H36" s="373">
        <f>SUMIF(109:109,G36,110:110)-SUMIF(109:109,C36,110:110)+100</f>
        <v>100</v>
      </c>
      <c r="I36" s="1750"/>
      <c r="J36" s="373">
        <f>SUMIF(109:109,I36,110:110)-SUMIF(109:109,C36,110:110)+100</f>
        <v>100</v>
      </c>
      <c r="K36" s="364"/>
      <c r="L36" s="2480"/>
      <c r="M36" s="2475"/>
      <c r="N36" s="2475"/>
      <c r="O36" s="2475"/>
      <c r="P36" s="3427"/>
      <c r="Q36" s="1252" t="str">
        <f t="shared" si="11"/>
        <v>公共部分装修</v>
      </c>
      <c r="R36" s="663" t="s">
        <v>18</v>
      </c>
      <c r="S36" s="664">
        <f t="shared" si="12"/>
        <v>100</v>
      </c>
      <c r="T36" s="663" t="s">
        <v>18</v>
      </c>
      <c r="U36" s="664">
        <f t="shared" si="13"/>
        <v>100</v>
      </c>
      <c r="V36" s="663" t="s">
        <v>18</v>
      </c>
      <c r="W36" s="664">
        <f t="shared" si="14"/>
        <v>100</v>
      </c>
      <c r="X36" s="1254"/>
      <c r="Y36" s="3429"/>
      <c r="Z36" s="1253" t="str">
        <f t="shared" si="18"/>
        <v>公共部分装修</v>
      </c>
      <c r="AA36" s="1253">
        <f t="shared" si="15"/>
        <v>1</v>
      </c>
      <c r="AB36" s="1253">
        <f t="shared" si="16"/>
        <v>1</v>
      </c>
      <c r="AC36" s="1253">
        <f t="shared" si="17"/>
        <v>1</v>
      </c>
    </row>
    <row r="37" spans="1:29" s="102"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6"/>
      <c r="M37" s="2427"/>
      <c r="N37" s="2427"/>
      <c r="O37" s="2427"/>
      <c r="P37" s="3427"/>
      <c r="Q37" s="529" t="str">
        <f t="shared" si="11"/>
        <v>成新度</v>
      </c>
      <c r="R37" s="660" t="s">
        <v>18</v>
      </c>
      <c r="S37" s="661" t="e">
        <f t="shared" si="12"/>
        <v>#N/A</v>
      </c>
      <c r="T37" s="660" t="s">
        <v>18</v>
      </c>
      <c r="U37" s="661" t="e">
        <f t="shared" si="13"/>
        <v>#N/A</v>
      </c>
      <c r="V37" s="660" t="s">
        <v>18</v>
      </c>
      <c r="W37" s="661" t="e">
        <f t="shared" si="14"/>
        <v>#N/A</v>
      </c>
      <c r="X37" s="662"/>
      <c r="Y37" s="3429"/>
      <c r="Z37" s="50" t="str">
        <f t="shared" si="18"/>
        <v>成新度</v>
      </c>
      <c r="AA37" s="50" t="e">
        <f t="shared" si="15"/>
        <v>#N/A</v>
      </c>
      <c r="AB37" s="50" t="e">
        <f t="shared" si="16"/>
        <v>#N/A</v>
      </c>
      <c r="AC37" s="50" t="e">
        <f t="shared" si="17"/>
        <v>#N/A</v>
      </c>
    </row>
    <row r="38" spans="1:29" ht="15">
      <c r="A38" s="408"/>
      <c r="B38" s="363" t="s">
        <v>1699</v>
      </c>
      <c r="C38" s="1749"/>
      <c r="D38" s="373">
        <v>100</v>
      </c>
      <c r="E38" s="1750"/>
      <c r="F38" s="399">
        <f>SUMIF(114:114,E38,115:115)-SUMIF(114:114,C38,115:115)+100</f>
        <v>100</v>
      </c>
      <c r="G38" s="1749"/>
      <c r="H38" s="373">
        <f>SUMIF(114:114,G38,115:115)-SUMIF(114:114,C38,115:115)+100</f>
        <v>100</v>
      </c>
      <c r="I38" s="1750"/>
      <c r="J38" s="373">
        <f>SUMIF(114:114,I38,115:115)-SUMIF(114:114,C38,115:115)+100</f>
        <v>100</v>
      </c>
      <c r="K38" s="364"/>
      <c r="L38" s="2480"/>
      <c r="M38" s="2475"/>
      <c r="N38" s="2475"/>
      <c r="O38" s="2475"/>
      <c r="P38" s="3427" t="s">
        <v>1693</v>
      </c>
      <c r="Q38" s="1252" t="str">
        <f t="shared" si="11"/>
        <v>物业管理</v>
      </c>
      <c r="R38" s="663" t="s">
        <v>18</v>
      </c>
      <c r="S38" s="664">
        <f t="shared" si="12"/>
        <v>100</v>
      </c>
      <c r="T38" s="663" t="s">
        <v>18</v>
      </c>
      <c r="U38" s="664">
        <f t="shared" si="13"/>
        <v>100</v>
      </c>
      <c r="V38" s="663" t="s">
        <v>18</v>
      </c>
      <c r="W38" s="664">
        <f t="shared" si="14"/>
        <v>100</v>
      </c>
      <c r="X38" s="1254"/>
      <c r="Y38" s="3429" t="s">
        <v>1693</v>
      </c>
      <c r="Z38" s="1253" t="str">
        <f t="shared" si="18"/>
        <v>物业管理</v>
      </c>
      <c r="AA38" s="1253">
        <f t="shared" si="15"/>
        <v>1</v>
      </c>
      <c r="AB38" s="1253">
        <f t="shared" si="16"/>
        <v>1</v>
      </c>
      <c r="AC38" s="1253">
        <f t="shared" si="17"/>
        <v>1</v>
      </c>
    </row>
    <row r="39" spans="1:29" ht="15">
      <c r="A39" s="408"/>
      <c r="B39" s="363" t="s">
        <v>1700</v>
      </c>
      <c r="C39" s="1749"/>
      <c r="D39" s="373">
        <v>100</v>
      </c>
      <c r="E39" s="1750"/>
      <c r="F39" s="399">
        <f>SUMIF(116:116,E39,117:117)-SUMIF(116:116,C39,117:117)+100</f>
        <v>100</v>
      </c>
      <c r="G39" s="1749"/>
      <c r="H39" s="373">
        <f>SUMIF(116:116,G39,117:117)-SUMIF(116:116,C39,117:117)+100</f>
        <v>100</v>
      </c>
      <c r="I39" s="1750"/>
      <c r="J39" s="373">
        <f>SUMIF(116:116,I39,117:117)-SUMIF(116:116,C39,117:117)+100</f>
        <v>100</v>
      </c>
      <c r="K39" s="364"/>
      <c r="L39" s="2480"/>
      <c r="M39" s="2475"/>
      <c r="N39" s="2475"/>
      <c r="O39" s="2475"/>
      <c r="P39" s="3427"/>
      <c r="Q39" s="1252" t="str">
        <f t="shared" si="11"/>
        <v>市政基础设施</v>
      </c>
      <c r="R39" s="663" t="s">
        <v>18</v>
      </c>
      <c r="S39" s="664">
        <f t="shared" si="12"/>
        <v>100</v>
      </c>
      <c r="T39" s="663" t="s">
        <v>18</v>
      </c>
      <c r="U39" s="664">
        <f t="shared" si="13"/>
        <v>100</v>
      </c>
      <c r="V39" s="663" t="s">
        <v>18</v>
      </c>
      <c r="W39" s="664">
        <f t="shared" si="14"/>
        <v>100</v>
      </c>
      <c r="X39" s="1254"/>
      <c r="Y39" s="3429"/>
      <c r="Z39" s="1253" t="str">
        <f t="shared" si="18"/>
        <v>市政基础设施</v>
      </c>
      <c r="AA39" s="1253">
        <f t="shared" si="15"/>
        <v>1</v>
      </c>
      <c r="AB39" s="1253">
        <f t="shared" si="16"/>
        <v>1</v>
      </c>
      <c r="AC39" s="1253">
        <f t="shared" si="17"/>
        <v>1</v>
      </c>
    </row>
    <row r="40" spans="1:29" ht="15">
      <c r="A40" s="408"/>
      <c r="B40" s="363" t="s">
        <v>1701</v>
      </c>
      <c r="C40" s="1749"/>
      <c r="D40" s="373">
        <v>100</v>
      </c>
      <c r="E40" s="1750"/>
      <c r="F40" s="399">
        <f>SUMIF(118:118,E40,119:119)-SUMIF(118:118,C40,119:119)+100</f>
        <v>100</v>
      </c>
      <c r="G40" s="1749"/>
      <c r="H40" s="373">
        <f>SUMIF(118:118,G40,119:119)-SUMIF(118:118,C40,119:119)+100</f>
        <v>100</v>
      </c>
      <c r="I40" s="1750"/>
      <c r="J40" s="373">
        <f>SUMIF(118:118,I40,119:119)-SUMIF(118:118,C40,119:119)+100</f>
        <v>100</v>
      </c>
      <c r="K40" s="364"/>
      <c r="L40" s="2480"/>
      <c r="M40" s="2475"/>
      <c r="N40" s="2475"/>
      <c r="O40" s="2475"/>
      <c r="P40" s="3427"/>
      <c r="Q40" s="1252" t="str">
        <f t="shared" si="11"/>
        <v>房型</v>
      </c>
      <c r="R40" s="663" t="s">
        <v>18</v>
      </c>
      <c r="S40" s="664">
        <f t="shared" si="12"/>
        <v>100</v>
      </c>
      <c r="T40" s="663" t="s">
        <v>18</v>
      </c>
      <c r="U40" s="664">
        <f t="shared" si="13"/>
        <v>100</v>
      </c>
      <c r="V40" s="663" t="s">
        <v>18</v>
      </c>
      <c r="W40" s="664">
        <f t="shared" si="14"/>
        <v>100</v>
      </c>
      <c r="X40" s="1254"/>
      <c r="Y40" s="3429"/>
      <c r="Z40" s="1253" t="str">
        <f t="shared" si="18"/>
        <v>房型</v>
      </c>
      <c r="AA40" s="1253">
        <f t="shared" si="15"/>
        <v>1</v>
      </c>
      <c r="AB40" s="1253">
        <f t="shared" si="16"/>
        <v>1</v>
      </c>
      <c r="AC40" s="125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7"/>
      <c r="L41" s="2479"/>
      <c r="M41" s="2481"/>
      <c r="N41" s="2481"/>
      <c r="O41" s="2481"/>
      <c r="P41" s="3427"/>
      <c r="Q41" s="530" t="str">
        <f t="shared" si="11"/>
        <v>单套/主力户型建筑面积</v>
      </c>
      <c r="R41" s="665" t="s">
        <v>18</v>
      </c>
      <c r="S41" s="666">
        <f t="shared" si="12"/>
        <v>100</v>
      </c>
      <c r="T41" s="665" t="s">
        <v>18</v>
      </c>
      <c r="U41" s="666">
        <f t="shared" si="13"/>
        <v>100</v>
      </c>
      <c r="V41" s="665" t="s">
        <v>18</v>
      </c>
      <c r="W41" s="666">
        <f t="shared" si="14"/>
        <v>100</v>
      </c>
      <c r="X41" s="667"/>
      <c r="Y41" s="3429"/>
      <c r="Z41" s="668" t="str">
        <f t="shared" si="18"/>
        <v>单套/主力户型建筑面积</v>
      </c>
      <c r="AA41" s="1253">
        <f t="shared" si="15"/>
        <v>1</v>
      </c>
      <c r="AB41" s="1253">
        <f t="shared" si="16"/>
        <v>1</v>
      </c>
      <c r="AC41" s="1253">
        <f t="shared" si="17"/>
        <v>1</v>
      </c>
    </row>
    <row r="42" spans="1:29" ht="15">
      <c r="A42" s="408"/>
      <c r="B42" s="363" t="s">
        <v>1703</v>
      </c>
      <c r="C42" s="1749"/>
      <c r="D42" s="373">
        <v>100</v>
      </c>
      <c r="E42" s="1750"/>
      <c r="F42" s="399">
        <f>SUMIF(122:122,E42,123:123)-SUMIF(122:122,C42,123:123)+100</f>
        <v>100</v>
      </c>
      <c r="G42" s="1749"/>
      <c r="H42" s="373">
        <f>SUMIF(122:122,G42,123:123)-SUMIF(122:122,C42,123:123)+100</f>
        <v>100</v>
      </c>
      <c r="I42" s="1750"/>
      <c r="J42" s="373">
        <f>SUMIF(122:122,I42,123:123)-SUMIF(122:122,C42,123:123)+100</f>
        <v>100</v>
      </c>
      <c r="K42" s="364"/>
      <c r="L42" s="2480"/>
      <c r="M42" s="2475"/>
      <c r="N42" s="2475"/>
      <c r="O42" s="2475"/>
      <c r="P42" s="3427"/>
      <c r="Q42" s="1252" t="str">
        <f t="shared" si="11"/>
        <v>内部装修</v>
      </c>
      <c r="R42" s="663" t="s">
        <v>18</v>
      </c>
      <c r="S42" s="664">
        <f t="shared" si="12"/>
        <v>100</v>
      </c>
      <c r="T42" s="663" t="s">
        <v>18</v>
      </c>
      <c r="U42" s="664">
        <f t="shared" si="13"/>
        <v>100</v>
      </c>
      <c r="V42" s="663" t="s">
        <v>18</v>
      </c>
      <c r="W42" s="664">
        <f t="shared" si="14"/>
        <v>100</v>
      </c>
      <c r="X42" s="1254"/>
      <c r="Y42" s="3429"/>
      <c r="Z42" s="1253" t="str">
        <f t="shared" si="18"/>
        <v>内部装修</v>
      </c>
      <c r="AA42" s="1253">
        <f t="shared" si="15"/>
        <v>1</v>
      </c>
      <c r="AB42" s="1253">
        <f t="shared" si="16"/>
        <v>1</v>
      </c>
      <c r="AC42" s="1253">
        <f t="shared" si="17"/>
        <v>1</v>
      </c>
    </row>
    <row r="43" spans="1:29" ht="15">
      <c r="A43" s="408"/>
      <c r="B43" s="363" t="s">
        <v>1704</v>
      </c>
      <c r="C43" s="1749"/>
      <c r="D43" s="373">
        <v>100</v>
      </c>
      <c r="E43" s="1750"/>
      <c r="F43" s="399">
        <f>SUMIF(124:124,E43,125:125)-SUMIF(124:124,C43,125:125)+100</f>
        <v>100</v>
      </c>
      <c r="G43" s="1749"/>
      <c r="H43" s="373">
        <f>SUMIF(124:124,G43,125:125)-SUMIF(124:124,C43,125:125)+100</f>
        <v>100</v>
      </c>
      <c r="I43" s="1750"/>
      <c r="J43" s="373">
        <f>SUMIF(124:124,I43,125:125)-SUMIF(124:124,C43,125:125)+100</f>
        <v>100</v>
      </c>
      <c r="K43" s="364"/>
      <c r="L43" s="2480"/>
      <c r="M43" s="2475"/>
      <c r="N43" s="2475"/>
      <c r="O43" s="2475"/>
      <c r="P43" s="3427"/>
      <c r="Q43" s="1252" t="str">
        <f t="shared" si="11"/>
        <v>内部装修维护情况</v>
      </c>
      <c r="R43" s="663" t="s">
        <v>18</v>
      </c>
      <c r="S43" s="664">
        <f t="shared" si="12"/>
        <v>100</v>
      </c>
      <c r="T43" s="663" t="s">
        <v>18</v>
      </c>
      <c r="U43" s="664">
        <f t="shared" si="13"/>
        <v>100</v>
      </c>
      <c r="V43" s="663" t="s">
        <v>18</v>
      </c>
      <c r="W43" s="664">
        <f t="shared" si="14"/>
        <v>100</v>
      </c>
      <c r="X43" s="1254"/>
      <c r="Y43" s="3429"/>
      <c r="Z43" s="1253" t="str">
        <f t="shared" si="18"/>
        <v>内部装修维护情况</v>
      </c>
      <c r="AA43" s="1253">
        <f t="shared" si="15"/>
        <v>1</v>
      </c>
      <c r="AB43" s="1253">
        <f t="shared" si="16"/>
        <v>1</v>
      </c>
      <c r="AC43" s="1253">
        <f t="shared" si="17"/>
        <v>1</v>
      </c>
    </row>
    <row r="44" spans="1:29" s="102" customFormat="1" ht="15">
      <c r="A44" s="409"/>
      <c r="B44" s="1056">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7"/>
      <c r="L44" s="2476"/>
      <c r="M44" s="2427"/>
      <c r="N44" s="2427"/>
      <c r="O44" s="2427"/>
      <c r="P44" s="3427"/>
      <c r="Q44" s="529">
        <f t="shared" si="11"/>
        <v>111</v>
      </c>
      <c r="R44" s="660" t="s">
        <v>18</v>
      </c>
      <c r="S44" s="661">
        <f t="shared" si="12"/>
        <v>100</v>
      </c>
      <c r="T44" s="660" t="s">
        <v>18</v>
      </c>
      <c r="U44" s="661">
        <f t="shared" si="13"/>
        <v>100</v>
      </c>
      <c r="V44" s="660" t="s">
        <v>18</v>
      </c>
      <c r="W44" s="661">
        <f t="shared" si="14"/>
        <v>100</v>
      </c>
      <c r="X44" s="662"/>
      <c r="Y44" s="3429"/>
      <c r="Z44" s="50">
        <f t="shared" si="18"/>
        <v>111</v>
      </c>
      <c r="AA44" s="50">
        <f t="shared" si="15"/>
        <v>1</v>
      </c>
      <c r="AB44" s="50">
        <f t="shared" si="16"/>
        <v>1</v>
      </c>
      <c r="AC44" s="50">
        <f t="shared" si="17"/>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7"/>
      <c r="L45" s="2480"/>
      <c r="M45" s="2475"/>
      <c r="N45" s="2475"/>
      <c r="O45" s="2475"/>
      <c r="P45" s="3427"/>
      <c r="Q45" s="1252">
        <f t="shared" si="11"/>
        <v>111</v>
      </c>
      <c r="R45" s="663" t="s">
        <v>18</v>
      </c>
      <c r="S45" s="664">
        <f t="shared" si="12"/>
        <v>100</v>
      </c>
      <c r="T45" s="663" t="s">
        <v>18</v>
      </c>
      <c r="U45" s="664">
        <f t="shared" si="13"/>
        <v>100</v>
      </c>
      <c r="V45" s="663" t="s">
        <v>18</v>
      </c>
      <c r="W45" s="664">
        <f t="shared" si="14"/>
        <v>100</v>
      </c>
      <c r="X45" s="1254"/>
      <c r="Y45" s="3429"/>
      <c r="Z45" s="1253">
        <f t="shared" si="18"/>
        <v>111</v>
      </c>
      <c r="AA45" s="1253">
        <f t="shared" si="15"/>
        <v>1</v>
      </c>
      <c r="AB45" s="1253">
        <f t="shared" si="16"/>
        <v>1</v>
      </c>
      <c r="AC45" s="1253">
        <f t="shared" si="17"/>
        <v>1</v>
      </c>
    </row>
    <row r="46" spans="1:29" ht="15.75" thickBot="1">
      <c r="A46" s="414"/>
      <c r="B46" s="173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7"/>
      <c r="L46" s="2480"/>
      <c r="M46" s="2475"/>
      <c r="N46" s="2475"/>
      <c r="O46" s="2475"/>
      <c r="P46" s="3428"/>
      <c r="Q46" s="1252">
        <f t="shared" si="11"/>
        <v>111</v>
      </c>
      <c r="R46" s="663" t="s">
        <v>17</v>
      </c>
      <c r="S46" s="664">
        <f t="shared" si="12"/>
        <v>100</v>
      </c>
      <c r="T46" s="663" t="s">
        <v>17</v>
      </c>
      <c r="U46" s="664">
        <f t="shared" si="13"/>
        <v>100</v>
      </c>
      <c r="V46" s="663" t="s">
        <v>17</v>
      </c>
      <c r="W46" s="664">
        <f t="shared" si="14"/>
        <v>100</v>
      </c>
      <c r="X46" s="1254"/>
      <c r="Y46" s="3430"/>
      <c r="Z46" s="1253">
        <f t="shared" si="18"/>
        <v>111</v>
      </c>
      <c r="AA46" s="1253">
        <f t="shared" si="15"/>
        <v>1</v>
      </c>
      <c r="AB46" s="1253">
        <f t="shared" si="16"/>
        <v>1</v>
      </c>
      <c r="AC46" s="1253">
        <f t="shared" si="17"/>
        <v>1</v>
      </c>
    </row>
    <row r="47" spans="1:29" ht="15">
      <c r="A47" s="415" t="s">
        <v>1705</v>
      </c>
      <c r="B47" s="416"/>
      <c r="C47" s="1071" t="s">
        <v>16</v>
      </c>
      <c r="D47" s="417"/>
      <c r="E47" s="418"/>
      <c r="F47" s="419"/>
      <c r="G47" s="420"/>
      <c r="H47" s="421"/>
      <c r="I47" s="418"/>
      <c r="J47" s="421"/>
      <c r="K47" s="1756"/>
      <c r="L47" s="2482"/>
      <c r="M47" s="2475"/>
      <c r="N47" s="2475"/>
      <c r="O47" s="2475"/>
      <c r="P47" s="3431" t="str">
        <f>A47</f>
        <v>成交单价（元/平方米）</v>
      </c>
      <c r="Q47" s="3431"/>
      <c r="R47" s="3419">
        <f>E47</f>
        <v>0</v>
      </c>
      <c r="S47" s="3419"/>
      <c r="T47" s="3419">
        <f>G47</f>
        <v>0</v>
      </c>
      <c r="U47" s="3419"/>
      <c r="V47" s="3419">
        <f>I47</f>
        <v>0</v>
      </c>
      <c r="W47" s="3419"/>
      <c r="X47" s="384"/>
      <c r="Y47" s="669"/>
      <c r="Z47" s="384"/>
      <c r="AA47" s="384"/>
      <c r="AB47" s="384"/>
      <c r="AC47" s="384"/>
    </row>
    <row r="48" spans="1:29" ht="15.75" thickBot="1">
      <c r="A48" s="422" t="s">
        <v>1706</v>
      </c>
      <c r="B48" s="423"/>
      <c r="C48" s="1072" t="e">
        <f>R49</f>
        <v>#DIV/0!</v>
      </c>
      <c r="D48" s="2130" t="s">
        <v>2130</v>
      </c>
      <c r="E48" s="1073" t="e">
        <f>R48</f>
        <v>#DIV/0!</v>
      </c>
      <c r="F48" s="2131"/>
      <c r="G48" s="1072" t="e">
        <f>T48</f>
        <v>#DIV/0!</v>
      </c>
      <c r="H48" s="2131"/>
      <c r="I48" s="1073" t="e">
        <f>V48</f>
        <v>#DIV/0!</v>
      </c>
      <c r="J48" s="2131"/>
      <c r="K48" s="2132">
        <f>F48+H48+J48</f>
        <v>0</v>
      </c>
      <c r="L48" s="2482"/>
      <c r="M48" s="2475"/>
      <c r="N48" s="2475"/>
      <c r="O48" s="2475"/>
      <c r="P48" s="3431" t="str">
        <f>A48</f>
        <v>比较价值（元/平方米）</v>
      </c>
      <c r="Q48" s="3431"/>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4"/>
      <c r="Y48" s="384"/>
      <c r="Z48" s="384"/>
      <c r="AA48" s="384"/>
      <c r="AB48" s="384"/>
      <c r="AC48" s="384"/>
    </row>
    <row r="49" spans="1:29" ht="15.75" thickBot="1">
      <c r="A49" s="426" t="s">
        <v>1707</v>
      </c>
      <c r="B49" s="427"/>
      <c r="C49" s="1074" t="e">
        <f>R49</f>
        <v>#DIV/0!</v>
      </c>
      <c r="D49" s="350"/>
      <c r="E49" s="350"/>
      <c r="F49" s="350"/>
      <c r="G49" s="350"/>
      <c r="H49" s="350"/>
      <c r="I49" s="350"/>
      <c r="J49" s="350"/>
      <c r="K49" s="1757"/>
      <c r="L49" s="2482"/>
      <c r="M49" s="2475"/>
      <c r="N49" s="2475"/>
      <c r="O49" s="2475"/>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row>
    <row r="53" spans="1:29" ht="13.5" customHeight="1">
      <c r="A53" s="2475"/>
      <c r="B53" s="2475"/>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row>
    <row r="54" spans="1:29" s="436" customFormat="1" ht="13.5" customHeight="1">
      <c r="A54" s="2485"/>
      <c r="B54" s="2485"/>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0"/>
      <c r="L54" s="2484"/>
      <c r="M54" s="2485"/>
      <c r="N54" s="2485"/>
      <c r="O54" s="2485"/>
      <c r="P54" s="1759"/>
    </row>
    <row r="55" spans="1:29" s="436" customFormat="1">
      <c r="A55" s="2485"/>
      <c r="B55" s="2488"/>
      <c r="C55" s="2489"/>
      <c r="D55" s="2485"/>
      <c r="E55" s="2485"/>
      <c r="F55" s="2485"/>
      <c r="G55" s="2485"/>
      <c r="H55" s="2485"/>
      <c r="I55" s="2485"/>
      <c r="J55" s="2485"/>
      <c r="K55" s="2490"/>
      <c r="L55" s="2484"/>
      <c r="M55" s="2485"/>
      <c r="N55" s="2485"/>
      <c r="O55" s="2485"/>
      <c r="P55" s="1759"/>
    </row>
    <row r="56" spans="1:29">
      <c r="A56" s="2475"/>
      <c r="B56" s="2488"/>
      <c r="C56" s="2489"/>
      <c r="D56" s="2475"/>
      <c r="E56" s="2475"/>
      <c r="F56" s="2475"/>
      <c r="G56" s="2475"/>
      <c r="H56" s="2475"/>
      <c r="I56" s="2475"/>
      <c r="J56" s="2475"/>
      <c r="K56" s="2487"/>
      <c r="L56" s="2483"/>
      <c r="M56" s="2475"/>
      <c r="N56" s="2475"/>
      <c r="O56" s="2475"/>
    </row>
    <row r="57" spans="1:29" ht="21.75" thickBot="1">
      <c r="A57" s="654" t="s">
        <v>1711</v>
      </c>
      <c r="B57" s="384"/>
      <c r="C57" s="655"/>
      <c r="D57" s="655"/>
      <c r="E57" s="655"/>
      <c r="F57" s="656"/>
      <c r="G57" s="656"/>
      <c r="H57" s="655"/>
      <c r="I57" s="655"/>
      <c r="J57" s="655"/>
      <c r="K57" s="880"/>
      <c r="L57" s="881"/>
      <c r="M57" s="879"/>
      <c r="N57" s="879"/>
      <c r="O57" s="879"/>
      <c r="P57" s="1760"/>
      <c r="Q57" s="438"/>
    </row>
    <row r="58" spans="1:29" s="441" customFormat="1" ht="15">
      <c r="A58" s="439" t="s">
        <v>1712</v>
      </c>
      <c r="B58" s="440"/>
      <c r="C58" s="1095" t="str">
        <f>YEAR(C7)&amp;"-"&amp;MONTH(C7)</f>
        <v>2024-10</v>
      </c>
      <c r="D58" s="1094">
        <f>EDATE(C58,-1)</f>
        <v>45536</v>
      </c>
      <c r="E58" s="1094">
        <f>EDATE(D58,-1)</f>
        <v>45505</v>
      </c>
      <c r="F58" s="1094">
        <f t="shared" ref="F58:O58" si="19">EDATE(E58,-1)</f>
        <v>45474</v>
      </c>
      <c r="G58" s="1094">
        <f t="shared" si="19"/>
        <v>45444</v>
      </c>
      <c r="H58" s="1094">
        <f t="shared" si="19"/>
        <v>45413</v>
      </c>
      <c r="I58" s="1094">
        <f t="shared" si="19"/>
        <v>45383</v>
      </c>
      <c r="J58" s="1094">
        <f t="shared" si="19"/>
        <v>45352</v>
      </c>
      <c r="K58" s="1094">
        <f t="shared" si="19"/>
        <v>45323</v>
      </c>
      <c r="L58" s="1094">
        <f t="shared" si="19"/>
        <v>45292</v>
      </c>
      <c r="M58" s="1094">
        <f t="shared" si="19"/>
        <v>45261</v>
      </c>
      <c r="N58" s="1094">
        <f t="shared" si="19"/>
        <v>45231</v>
      </c>
      <c r="O58" s="1094">
        <f t="shared" si="19"/>
        <v>45200</v>
      </c>
      <c r="P58" s="1090"/>
    </row>
    <row r="59" spans="1:29" s="102" customFormat="1" ht="15">
      <c r="A59" s="442"/>
      <c r="B59" s="1761"/>
      <c r="C59" s="1092">
        <v>100</v>
      </c>
      <c r="D59" s="444"/>
      <c r="E59" s="445"/>
      <c r="F59" s="445"/>
      <c r="G59" s="445"/>
      <c r="H59" s="445"/>
      <c r="I59" s="445"/>
      <c r="J59" s="445"/>
      <c r="K59" s="445"/>
      <c r="L59" s="445"/>
      <c r="M59" s="446"/>
      <c r="N59" s="445"/>
      <c r="O59" s="446"/>
      <c r="P59" s="1762"/>
    </row>
    <row r="60" spans="1:29" s="102" customFormat="1" ht="15.75" thickBot="1">
      <c r="A60" s="448" t="s">
        <v>1713</v>
      </c>
      <c r="B60" s="449"/>
      <c r="C60" s="450"/>
      <c r="D60" s="451"/>
      <c r="E60" s="451"/>
      <c r="F60" s="451"/>
      <c r="G60" s="451"/>
      <c r="H60" s="451"/>
      <c r="I60" s="451"/>
      <c r="J60" s="451"/>
      <c r="K60" s="451"/>
      <c r="L60" s="451"/>
      <c r="M60" s="452"/>
      <c r="N60" s="451"/>
      <c r="O60" s="452"/>
      <c r="P60" s="1762"/>
      <c r="Q60" s="438"/>
    </row>
    <row r="61" spans="1:29" s="102" customFormat="1" ht="15">
      <c r="A61" s="454" t="s">
        <v>1714</v>
      </c>
      <c r="B61" s="443"/>
      <c r="C61" s="455" t="s">
        <v>1715</v>
      </c>
      <c r="D61" s="31"/>
      <c r="E61" s="31"/>
      <c r="F61" s="31"/>
      <c r="G61" s="31"/>
      <c r="H61" s="31"/>
      <c r="I61" s="31"/>
      <c r="J61" s="31"/>
      <c r="K61" s="31"/>
      <c r="L61" s="456"/>
      <c r="M61" s="457"/>
      <c r="N61" s="871"/>
      <c r="O61" s="871"/>
      <c r="P61" s="1763"/>
      <c r="Q61" s="438"/>
    </row>
    <row r="62" spans="1:29" s="102" customFormat="1" ht="15.75" thickBot="1">
      <c r="A62" s="454"/>
      <c r="B62" s="443"/>
      <c r="C62" s="444">
        <v>100</v>
      </c>
      <c r="D62" s="445"/>
      <c r="E62" s="445"/>
      <c r="F62" s="445"/>
      <c r="G62" s="445"/>
      <c r="H62" s="445"/>
      <c r="I62" s="445"/>
      <c r="J62" s="445"/>
      <c r="K62" s="445"/>
      <c r="L62" s="445"/>
      <c r="M62" s="447"/>
      <c r="N62" s="871"/>
      <c r="O62" s="871"/>
      <c r="P62" s="1762"/>
      <c r="Q62" s="438"/>
    </row>
    <row r="63" spans="1:29">
      <c r="A63" s="378" t="s">
        <v>1716</v>
      </c>
      <c r="B63" s="459" t="s">
        <v>1682</v>
      </c>
      <c r="C63" s="460">
        <f>C9</f>
        <v>0</v>
      </c>
      <c r="D63" s="461"/>
      <c r="E63" s="461"/>
      <c r="F63" s="461"/>
      <c r="G63" s="461"/>
      <c r="H63" s="461"/>
      <c r="I63" s="461"/>
      <c r="J63" s="461"/>
      <c r="K63" s="462"/>
      <c r="L63" s="463"/>
      <c r="M63" s="464"/>
      <c r="N63" s="872"/>
      <c r="O63" s="872"/>
      <c r="P63" s="1764"/>
      <c r="Q63" s="438"/>
    </row>
    <row r="64" spans="1:29" ht="15.75" thickBot="1">
      <c r="A64" s="366"/>
      <c r="B64" s="465"/>
      <c r="C64" s="466">
        <v>100</v>
      </c>
      <c r="D64" s="466"/>
      <c r="E64" s="466"/>
      <c r="F64" s="466"/>
      <c r="G64" s="466"/>
      <c r="H64" s="466"/>
      <c r="I64" s="466"/>
      <c r="J64" s="466"/>
      <c r="K64" s="466"/>
      <c r="L64" s="466"/>
      <c r="M64" s="467"/>
      <c r="N64" s="873"/>
      <c r="O64" s="873"/>
      <c r="P64" s="1764"/>
      <c r="Q64" s="438"/>
    </row>
    <row r="65" spans="1:17" ht="27.75" thickTop="1">
      <c r="A65" s="366"/>
      <c r="B65" s="468" t="s">
        <v>1685</v>
      </c>
      <c r="C65" s="512"/>
      <c r="D65" s="512"/>
      <c r="E65" s="512"/>
      <c r="F65" s="512"/>
      <c r="G65" s="512"/>
      <c r="H65" s="512"/>
      <c r="I65" s="512"/>
      <c r="J65" s="512"/>
      <c r="K65" s="512"/>
      <c r="L65" s="512"/>
      <c r="M65" s="512"/>
      <c r="N65" s="873"/>
      <c r="O65" s="873"/>
      <c r="P65" s="1764"/>
      <c r="Q65" s="438"/>
    </row>
    <row r="66" spans="1:17" ht="15.75" thickBot="1">
      <c r="A66" s="366"/>
      <c r="B66" s="473"/>
      <c r="C66" s="466"/>
      <c r="D66" s="466"/>
      <c r="E66" s="466"/>
      <c r="F66" s="466"/>
      <c r="G66" s="466"/>
      <c r="H66" s="466"/>
      <c r="I66" s="466"/>
      <c r="J66" s="466"/>
      <c r="K66" s="466"/>
      <c r="L66" s="466"/>
      <c r="M66" s="467"/>
      <c r="N66" s="873"/>
      <c r="O66" s="873"/>
      <c r="P66" s="176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3"/>
      <c r="O67" s="873"/>
      <c r="P67" s="1764"/>
      <c r="Q67" s="438"/>
    </row>
    <row r="68" spans="1:17" ht="15">
      <c r="A68" s="366"/>
      <c r="B68" s="478"/>
      <c r="C68" s="479"/>
      <c r="D68" s="479"/>
      <c r="E68" s="479"/>
      <c r="F68" s="479"/>
      <c r="G68" s="479"/>
      <c r="H68" s="479"/>
      <c r="I68" s="479"/>
      <c r="J68" s="479"/>
      <c r="K68" s="480"/>
      <c r="L68" s="481"/>
      <c r="M68" s="482"/>
      <c r="N68" s="872"/>
      <c r="O68" s="872"/>
      <c r="P68" s="176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3"/>
      <c r="O69" s="873"/>
      <c r="P69" s="1764"/>
      <c r="Q69" s="438"/>
    </row>
    <row r="70" spans="1:17" s="407" customFormat="1" ht="15.75" thickTop="1">
      <c r="A70" s="483"/>
      <c r="B70" s="468">
        <f>B12</f>
        <v>111</v>
      </c>
      <c r="C70" s="484"/>
      <c r="D70" s="484"/>
      <c r="E70" s="484"/>
      <c r="F70" s="484"/>
      <c r="G70" s="484"/>
      <c r="H70" s="485"/>
      <c r="I70" s="485"/>
      <c r="J70" s="485"/>
      <c r="K70" s="485"/>
      <c r="L70" s="486"/>
      <c r="M70" s="487"/>
      <c r="N70" s="874"/>
      <c r="O70" s="874"/>
      <c r="P70" s="1765"/>
      <c r="Q70" s="489"/>
    </row>
    <row r="71" spans="1:17" s="407" customFormat="1" ht="15.75" thickBot="1">
      <c r="A71" s="483"/>
      <c r="B71" s="473"/>
      <c r="C71" s="490"/>
      <c r="D71" s="466"/>
      <c r="E71" s="466"/>
      <c r="F71" s="466"/>
      <c r="G71" s="466"/>
      <c r="H71" s="466"/>
      <c r="I71" s="466"/>
      <c r="J71" s="466"/>
      <c r="K71" s="466"/>
      <c r="L71" s="466"/>
      <c r="M71" s="467"/>
      <c r="N71" s="873"/>
      <c r="O71" s="873"/>
      <c r="P71" s="1765"/>
      <c r="Q71" s="489"/>
    </row>
    <row r="72" spans="1:17" s="407" customFormat="1" ht="15.75" thickTop="1">
      <c r="A72" s="483"/>
      <c r="B72" s="468">
        <f>B13</f>
        <v>111</v>
      </c>
      <c r="C72" s="484"/>
      <c r="D72" s="484"/>
      <c r="E72" s="484"/>
      <c r="F72" s="484"/>
      <c r="G72" s="484"/>
      <c r="H72" s="485"/>
      <c r="I72" s="485"/>
      <c r="J72" s="485"/>
      <c r="K72" s="485"/>
      <c r="L72" s="486"/>
      <c r="M72" s="487"/>
      <c r="N72" s="874"/>
      <c r="O72" s="874"/>
      <c r="P72" s="1766"/>
      <c r="Q72" s="491"/>
    </row>
    <row r="73" spans="1:17" s="407" customFormat="1" ht="15.75" thickBot="1">
      <c r="A73" s="483"/>
      <c r="B73" s="473"/>
      <c r="C73" s="490"/>
      <c r="D73" s="490"/>
      <c r="E73" s="490"/>
      <c r="F73" s="490"/>
      <c r="G73" s="490"/>
      <c r="H73" s="492"/>
      <c r="I73" s="492"/>
      <c r="J73" s="492"/>
      <c r="K73" s="492"/>
      <c r="L73" s="492"/>
      <c r="M73" s="493"/>
      <c r="N73" s="874"/>
      <c r="O73" s="874"/>
      <c r="P73" s="1765"/>
      <c r="Q73" s="489"/>
    </row>
    <row r="74" spans="1:17" s="407" customFormat="1" ht="15.75" thickTop="1">
      <c r="A74" s="483"/>
      <c r="B74" s="476">
        <f>B14</f>
        <v>111</v>
      </c>
      <c r="C74" s="484"/>
      <c r="D74" s="484"/>
      <c r="E74" s="484"/>
      <c r="F74" s="484"/>
      <c r="G74" s="31"/>
      <c r="H74" s="494"/>
      <c r="I74" s="494"/>
      <c r="J74" s="494"/>
      <c r="K74" s="494"/>
      <c r="L74" s="495"/>
      <c r="M74" s="496"/>
      <c r="N74" s="874"/>
      <c r="O74" s="874"/>
      <c r="P74" s="1767"/>
      <c r="Q74" s="489"/>
    </row>
    <row r="75" spans="1:17" s="407" customFormat="1" ht="15.75" thickBot="1">
      <c r="A75" s="498"/>
      <c r="B75" s="499"/>
      <c r="C75" s="500"/>
      <c r="D75" s="500"/>
      <c r="E75" s="500"/>
      <c r="F75" s="500"/>
      <c r="G75" s="500"/>
      <c r="H75" s="501"/>
      <c r="I75" s="501"/>
      <c r="J75" s="501"/>
      <c r="K75" s="501"/>
      <c r="L75" s="501"/>
      <c r="M75" s="502"/>
      <c r="N75" s="874"/>
      <c r="O75" s="874"/>
      <c r="P75" s="176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2"/>
      <c r="O76" s="872"/>
      <c r="P76" s="176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3"/>
      <c r="O77" s="873"/>
      <c r="P77" s="176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2"/>
      <c r="O78" s="872"/>
      <c r="P78" s="176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3"/>
      <c r="O79" s="873"/>
      <c r="P79" s="176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2"/>
      <c r="O80" s="872"/>
      <c r="P80" s="176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3"/>
      <c r="O81" s="873"/>
      <c r="P81" s="1764"/>
      <c r="Q81" s="438"/>
    </row>
    <row r="82" spans="1:17" ht="15.75" thickTop="1">
      <c r="A82" s="366"/>
      <c r="B82" s="476" t="s">
        <v>1257</v>
      </c>
      <c r="C82" s="469" t="s">
        <v>1725</v>
      </c>
      <c r="D82" s="469" t="s">
        <v>1726</v>
      </c>
      <c r="E82" s="469" t="s">
        <v>1727</v>
      </c>
      <c r="F82" s="469" t="s">
        <v>1728</v>
      </c>
      <c r="G82" s="469" t="s">
        <v>1729</v>
      </c>
      <c r="H82" s="469"/>
      <c r="I82" s="469"/>
      <c r="J82" s="469"/>
      <c r="K82" s="469"/>
      <c r="L82" s="469"/>
      <c r="M82" s="1053"/>
      <c r="N82" s="873"/>
      <c r="O82" s="873"/>
      <c r="P82" s="176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3"/>
      <c r="O83" s="873"/>
      <c r="P83" s="176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2"/>
      <c r="O84" s="872"/>
      <c r="P84" s="176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3"/>
      <c r="O85" s="873"/>
      <c r="P85" s="1764"/>
      <c r="Q85" s="438"/>
    </row>
    <row r="86" spans="1:17" s="102" customFormat="1" ht="15.75" thickTop="1">
      <c r="A86" s="369"/>
      <c r="B86" s="468" t="s">
        <v>1731</v>
      </c>
      <c r="C86" s="484"/>
      <c r="D86" s="484"/>
      <c r="E86" s="484"/>
      <c r="F86" s="484"/>
      <c r="G86" s="484"/>
      <c r="H86" s="484"/>
      <c r="I86" s="484"/>
      <c r="J86" s="484"/>
      <c r="K86" s="484"/>
      <c r="L86" s="509"/>
      <c r="M86" s="510"/>
      <c r="N86" s="871"/>
      <c r="O86" s="871"/>
      <c r="P86" s="176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3"/>
      <c r="O87" s="873"/>
      <c r="P87" s="1764"/>
      <c r="Q87" s="438"/>
    </row>
    <row r="88" spans="1:17" s="102" customFormat="1" ht="15.75" thickTop="1">
      <c r="A88" s="369"/>
      <c r="B88" s="468" t="s">
        <v>1732</v>
      </c>
      <c r="C88" s="484"/>
      <c r="D88" s="484"/>
      <c r="E88" s="484"/>
      <c r="F88" s="1769"/>
      <c r="G88" s="484"/>
      <c r="H88" s="484"/>
      <c r="I88" s="484"/>
      <c r="J88" s="484"/>
      <c r="K88" s="484"/>
      <c r="L88" s="484"/>
      <c r="M88" s="510"/>
      <c r="N88" s="871"/>
      <c r="O88" s="871"/>
      <c r="P88" s="176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3"/>
      <c r="O89" s="873"/>
      <c r="P89" s="1764"/>
      <c r="Q89" s="438"/>
    </row>
    <row r="90" spans="1:17" s="407" customFormat="1" ht="15.75" thickTop="1">
      <c r="A90" s="483"/>
      <c r="B90" s="468">
        <f>B27</f>
        <v>111</v>
      </c>
      <c r="C90" s="484"/>
      <c r="D90" s="484"/>
      <c r="E90" s="484"/>
      <c r="F90" s="484"/>
      <c r="G90" s="484"/>
      <c r="H90" s="485"/>
      <c r="I90" s="485"/>
      <c r="J90" s="485"/>
      <c r="K90" s="485"/>
      <c r="L90" s="486"/>
      <c r="M90" s="487"/>
      <c r="N90" s="874"/>
      <c r="O90" s="874"/>
      <c r="P90" s="1765"/>
      <c r="Q90" s="489"/>
    </row>
    <row r="91" spans="1:17" s="407" customFormat="1" ht="15.75" thickBot="1">
      <c r="A91" s="483"/>
      <c r="B91" s="473"/>
      <c r="C91" s="490"/>
      <c r="D91" s="490"/>
      <c r="E91" s="490"/>
      <c r="F91" s="490"/>
      <c r="G91" s="490"/>
      <c r="H91" s="492"/>
      <c r="I91" s="492"/>
      <c r="J91" s="492"/>
      <c r="K91" s="492"/>
      <c r="L91" s="492"/>
      <c r="M91" s="493"/>
      <c r="N91" s="874"/>
      <c r="O91" s="874"/>
      <c r="P91" s="1765"/>
      <c r="Q91" s="489"/>
    </row>
    <row r="92" spans="1:17" ht="15.75" thickTop="1">
      <c r="A92" s="366"/>
      <c r="B92" s="468">
        <f>B28</f>
        <v>111</v>
      </c>
      <c r="C92" s="484"/>
      <c r="D92" s="484"/>
      <c r="E92" s="484"/>
      <c r="F92" s="484"/>
      <c r="G92" s="512"/>
      <c r="H92" s="512"/>
      <c r="I92" s="512"/>
      <c r="J92" s="512"/>
      <c r="K92" s="513"/>
      <c r="L92" s="514"/>
      <c r="M92" s="515"/>
      <c r="N92" s="872"/>
      <c r="O92" s="872"/>
      <c r="P92" s="1764"/>
      <c r="Q92" s="438"/>
    </row>
    <row r="93" spans="1:17" ht="15.75" thickBot="1">
      <c r="A93" s="366"/>
      <c r="B93" s="473"/>
      <c r="C93" s="490"/>
      <c r="D93" s="466"/>
      <c r="E93" s="466"/>
      <c r="F93" s="466"/>
      <c r="G93" s="466"/>
      <c r="H93" s="466"/>
      <c r="I93" s="466"/>
      <c r="J93" s="466"/>
      <c r="K93" s="466"/>
      <c r="L93" s="466"/>
      <c r="M93" s="467"/>
      <c r="N93" s="873"/>
      <c r="O93" s="873"/>
      <c r="P93" s="1764"/>
      <c r="Q93" s="438"/>
    </row>
    <row r="94" spans="1:17" ht="15.75" thickTop="1">
      <c r="A94" s="366"/>
      <c r="B94" s="468">
        <f>B29</f>
        <v>111</v>
      </c>
      <c r="C94" s="484"/>
      <c r="D94" s="484"/>
      <c r="E94" s="484"/>
      <c r="F94" s="484"/>
      <c r="G94" s="512"/>
      <c r="H94" s="512"/>
      <c r="I94" s="512"/>
      <c r="J94" s="512"/>
      <c r="K94" s="513"/>
      <c r="L94" s="514"/>
      <c r="M94" s="515"/>
      <c r="N94" s="872"/>
      <c r="O94" s="872"/>
      <c r="P94" s="1764"/>
      <c r="Q94" s="438"/>
    </row>
    <row r="95" spans="1:17" ht="15.75" thickBot="1">
      <c r="A95" s="366"/>
      <c r="B95" s="473"/>
      <c r="C95" s="490"/>
      <c r="D95" s="490"/>
      <c r="E95" s="490"/>
      <c r="F95" s="490"/>
      <c r="G95" s="466"/>
      <c r="H95" s="466"/>
      <c r="I95" s="466"/>
      <c r="J95" s="466"/>
      <c r="K95" s="466"/>
      <c r="L95" s="466"/>
      <c r="M95" s="467"/>
      <c r="N95" s="873"/>
      <c r="O95" s="873"/>
      <c r="P95" s="1764"/>
      <c r="Q95" s="438"/>
    </row>
    <row r="96" spans="1:17" ht="15.75" thickTop="1">
      <c r="A96" s="366"/>
      <c r="B96" s="468">
        <f>B30</f>
        <v>111</v>
      </c>
      <c r="C96" s="484"/>
      <c r="D96" s="484"/>
      <c r="E96" s="484"/>
      <c r="F96" s="484"/>
      <c r="G96" s="512"/>
      <c r="H96" s="512"/>
      <c r="I96" s="512"/>
      <c r="J96" s="512"/>
      <c r="K96" s="513"/>
      <c r="L96" s="514"/>
      <c r="M96" s="515"/>
      <c r="N96" s="872"/>
      <c r="O96" s="872"/>
      <c r="P96" s="1764"/>
      <c r="Q96" s="438"/>
    </row>
    <row r="97" spans="1:17" ht="15.75" thickBot="1">
      <c r="A97" s="366"/>
      <c r="B97" s="473"/>
      <c r="C97" s="500"/>
      <c r="D97" s="500"/>
      <c r="E97" s="500"/>
      <c r="F97" s="500"/>
      <c r="G97" s="466"/>
      <c r="H97" s="466"/>
      <c r="I97" s="466"/>
      <c r="J97" s="466"/>
      <c r="K97" s="466"/>
      <c r="L97" s="466"/>
      <c r="M97" s="467"/>
      <c r="N97" s="873"/>
      <c r="O97" s="873"/>
      <c r="P97" s="1764"/>
      <c r="Q97" s="438"/>
    </row>
    <row r="98" spans="1:17" ht="15.75" thickTop="1">
      <c r="A98" s="366"/>
      <c r="B98" s="476">
        <f>B31</f>
        <v>111</v>
      </c>
      <c r="C98" s="516"/>
      <c r="D98" s="516"/>
      <c r="E98" s="516"/>
      <c r="F98" s="516"/>
      <c r="G98" s="516"/>
      <c r="H98" s="516"/>
      <c r="I98" s="516"/>
      <c r="J98" s="516"/>
      <c r="K98" s="517"/>
      <c r="L98" s="518"/>
      <c r="M98" s="519"/>
      <c r="N98" s="872"/>
      <c r="O98" s="872"/>
      <c r="P98" s="1764"/>
      <c r="Q98" s="438"/>
    </row>
    <row r="99" spans="1:17" ht="15.75" thickBot="1">
      <c r="A99" s="374"/>
      <c r="B99" s="499"/>
      <c r="C99" s="520"/>
      <c r="D99" s="520"/>
      <c r="E99" s="520"/>
      <c r="F99" s="520"/>
      <c r="G99" s="520"/>
      <c r="H99" s="520"/>
      <c r="I99" s="520"/>
      <c r="J99" s="520"/>
      <c r="K99" s="520"/>
      <c r="L99" s="520"/>
      <c r="M99" s="521"/>
      <c r="N99" s="873"/>
      <c r="O99" s="873"/>
      <c r="P99" s="1764"/>
      <c r="Q99" s="438"/>
    </row>
    <row r="100" spans="1:17">
      <c r="A100" s="378" t="s">
        <v>1691</v>
      </c>
      <c r="B100" s="459" t="s">
        <v>1733</v>
      </c>
      <c r="C100" s="461"/>
      <c r="D100" s="461"/>
      <c r="E100" s="461"/>
      <c r="F100" s="461"/>
      <c r="G100" s="461"/>
      <c r="H100" s="461"/>
      <c r="I100" s="461"/>
      <c r="J100" s="461"/>
      <c r="K100" s="462"/>
      <c r="L100" s="463"/>
      <c r="M100" s="464"/>
      <c r="N100" s="872"/>
      <c r="O100" s="872"/>
      <c r="P100" s="176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3"/>
      <c r="O101" s="873"/>
      <c r="P101" s="176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1"/>
      <c r="O102" s="871"/>
      <c r="P102" s="1764"/>
      <c r="Q102" s="438"/>
    </row>
    <row r="103" spans="1:17" s="407" customFormat="1">
      <c r="A103" s="405"/>
      <c r="B103" s="522"/>
      <c r="C103" s="6"/>
      <c r="D103" s="6"/>
      <c r="E103" s="6"/>
      <c r="F103" s="6"/>
      <c r="G103" s="6"/>
      <c r="H103" s="6"/>
      <c r="I103" s="6"/>
      <c r="J103" s="523"/>
      <c r="K103" s="523"/>
      <c r="L103" s="524"/>
      <c r="M103" s="525"/>
      <c r="N103" s="874"/>
      <c r="O103" s="874"/>
      <c r="P103" s="1765"/>
      <c r="Q103" s="489"/>
    </row>
    <row r="104" spans="1:17" s="407" customFormat="1" ht="15.75" thickBot="1">
      <c r="A104" s="483"/>
      <c r="B104" s="473"/>
      <c r="C104" s="490"/>
      <c r="D104" s="466"/>
      <c r="E104" s="466"/>
      <c r="F104" s="466"/>
      <c r="G104" s="466"/>
      <c r="H104" s="466"/>
      <c r="I104" s="466"/>
      <c r="J104" s="466"/>
      <c r="K104" s="466"/>
      <c r="L104" s="466"/>
      <c r="M104" s="466"/>
      <c r="N104" s="873"/>
      <c r="O104" s="873"/>
      <c r="P104" s="1765"/>
      <c r="Q104" s="489"/>
    </row>
    <row r="105" spans="1:17" ht="15" thickTop="1">
      <c r="A105" s="408"/>
      <c r="B105" s="468" t="s">
        <v>1735</v>
      </c>
      <c r="C105" s="484"/>
      <c r="D105" s="484"/>
      <c r="E105" s="512"/>
      <c r="F105" s="512"/>
      <c r="G105" s="512"/>
      <c r="H105" s="512"/>
      <c r="I105" s="512"/>
      <c r="J105" s="512"/>
      <c r="K105" s="513"/>
      <c r="L105" s="514"/>
      <c r="M105" s="515"/>
      <c r="N105" s="872"/>
      <c r="O105" s="872"/>
      <c r="P105" s="176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3"/>
      <c r="O106" s="873"/>
      <c r="P106" s="1764"/>
      <c r="Q106" s="438"/>
    </row>
    <row r="107" spans="1:17" ht="15" thickTop="1">
      <c r="A107" s="408"/>
      <c r="B107" s="468" t="s">
        <v>1736</v>
      </c>
      <c r="C107" s="512"/>
      <c r="D107" s="512"/>
      <c r="E107" s="512"/>
      <c r="F107" s="512"/>
      <c r="G107" s="512"/>
      <c r="H107" s="512"/>
      <c r="I107" s="512"/>
      <c r="J107" s="512"/>
      <c r="K107" s="513"/>
      <c r="L107" s="514"/>
      <c r="M107" s="515"/>
      <c r="N107" s="872"/>
      <c r="O107" s="872"/>
      <c r="P107" s="176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3"/>
      <c r="O108" s="873"/>
      <c r="P108" s="1764"/>
      <c r="Q108" s="438"/>
    </row>
    <row r="109" spans="1:17" ht="15" thickTop="1">
      <c r="A109" s="408"/>
      <c r="B109" s="468" t="s">
        <v>1737</v>
      </c>
      <c r="C109" s="484"/>
      <c r="D109" s="484"/>
      <c r="E109" s="484"/>
      <c r="F109" s="512"/>
      <c r="G109" s="512"/>
      <c r="H109" s="512"/>
      <c r="I109" s="512"/>
      <c r="J109" s="512"/>
      <c r="K109" s="513"/>
      <c r="L109" s="514"/>
      <c r="M109" s="515"/>
      <c r="N109" s="872"/>
      <c r="O109" s="872"/>
      <c r="P109" s="176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3"/>
      <c r="O110" s="873"/>
      <c r="P110" s="1764"/>
      <c r="Q110" s="438"/>
    </row>
    <row r="111" spans="1:17" s="407" customFormat="1" ht="15" thickTop="1">
      <c r="A111" s="405"/>
      <c r="B111" s="468" t="s">
        <v>1187</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4"/>
      <c r="O111" s="874"/>
      <c r="P111" s="176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4"/>
      <c r="O112" s="874"/>
      <c r="P112" s="176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4"/>
      <c r="O113" s="874"/>
      <c r="P113" s="1765"/>
      <c r="Q113" s="489"/>
    </row>
    <row r="114" spans="1:17" ht="15" thickTop="1">
      <c r="A114" s="408"/>
      <c r="B114" s="468" t="s">
        <v>1738</v>
      </c>
      <c r="C114" s="484"/>
      <c r="D114" s="484"/>
      <c r="E114" s="512"/>
      <c r="F114" s="512"/>
      <c r="G114" s="512"/>
      <c r="H114" s="512"/>
      <c r="I114" s="512"/>
      <c r="J114" s="512"/>
      <c r="K114" s="513"/>
      <c r="L114" s="514"/>
      <c r="M114" s="515"/>
      <c r="N114" s="872"/>
      <c r="O114" s="872"/>
      <c r="P114" s="176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3"/>
      <c r="O115" s="873"/>
      <c r="P115" s="1764"/>
      <c r="Q115" s="438"/>
    </row>
    <row r="116" spans="1:17" ht="15" thickTop="1">
      <c r="A116" s="408"/>
      <c r="B116" s="468" t="s">
        <v>1739</v>
      </c>
      <c r="C116" s="484"/>
      <c r="D116" s="484"/>
      <c r="E116" s="484"/>
      <c r="F116" s="484"/>
      <c r="G116" s="484"/>
      <c r="H116" s="512"/>
      <c r="I116" s="512"/>
      <c r="J116" s="512"/>
      <c r="K116" s="513"/>
      <c r="L116" s="514"/>
      <c r="M116" s="515"/>
      <c r="N116" s="872"/>
      <c r="O116" s="872"/>
      <c r="P116" s="176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3"/>
      <c r="O117" s="873"/>
      <c r="P117" s="1764"/>
      <c r="Q117" s="438"/>
    </row>
    <row r="118" spans="1:17" ht="15" thickTop="1">
      <c r="A118" s="408"/>
      <c r="B118" s="468" t="s">
        <v>1740</v>
      </c>
      <c r="C118" s="512"/>
      <c r="D118" s="512"/>
      <c r="E118" s="512"/>
      <c r="F118" s="512"/>
      <c r="G118" s="512"/>
      <c r="H118" s="512"/>
      <c r="I118" s="512"/>
      <c r="J118" s="512"/>
      <c r="K118" s="513"/>
      <c r="L118" s="514"/>
      <c r="M118" s="515"/>
      <c r="N118" s="872"/>
      <c r="O118" s="872"/>
      <c r="P118" s="176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3"/>
      <c r="O119" s="873"/>
      <c r="P119" s="1764"/>
      <c r="Q119" s="438"/>
    </row>
    <row r="120" spans="1:17" s="407" customFormat="1" ht="28.5" thickTop="1">
      <c r="A120" s="405"/>
      <c r="B120" s="468" t="s">
        <v>1702</v>
      </c>
      <c r="C120" s="484"/>
      <c r="D120" s="484"/>
      <c r="E120" s="484"/>
      <c r="F120" s="484"/>
      <c r="G120" s="484"/>
      <c r="H120" s="484"/>
      <c r="I120" s="484"/>
      <c r="J120" s="484"/>
      <c r="K120" s="484"/>
      <c r="L120" s="509"/>
      <c r="M120" s="510"/>
      <c r="N120" s="874"/>
      <c r="O120" s="874"/>
      <c r="P120" s="1765"/>
      <c r="Q120" s="489"/>
    </row>
    <row r="121" spans="1:17" s="407" customFormat="1" ht="15.75" thickBot="1">
      <c r="A121" s="483"/>
      <c r="B121" s="465"/>
      <c r="C121" s="490"/>
      <c r="D121" s="466"/>
      <c r="E121" s="466"/>
      <c r="F121" s="466"/>
      <c r="G121" s="466"/>
      <c r="H121" s="466"/>
      <c r="I121" s="466"/>
      <c r="J121" s="466"/>
      <c r="K121" s="466"/>
      <c r="L121" s="466"/>
      <c r="M121" s="466"/>
      <c r="N121" s="874"/>
      <c r="O121" s="874"/>
      <c r="P121" s="1765"/>
      <c r="Q121" s="489"/>
    </row>
    <row r="122" spans="1:17" ht="15" thickTop="1">
      <c r="A122" s="408"/>
      <c r="B122" s="468" t="s">
        <v>1741</v>
      </c>
      <c r="C122" s="484"/>
      <c r="D122" s="484"/>
      <c r="E122" s="484"/>
      <c r="F122" s="512"/>
      <c r="G122" s="512"/>
      <c r="H122" s="512"/>
      <c r="I122" s="512"/>
      <c r="J122" s="512"/>
      <c r="K122" s="513"/>
      <c r="L122" s="514"/>
      <c r="M122" s="515"/>
      <c r="N122" s="872"/>
      <c r="O122" s="872"/>
      <c r="P122" s="176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3"/>
      <c r="O123" s="873"/>
      <c r="P123" s="176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2"/>
      <c r="O124" s="872"/>
      <c r="P124" s="176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3"/>
      <c r="O125" s="873"/>
      <c r="P125" s="1764"/>
      <c r="Q125" s="438"/>
    </row>
    <row r="126" spans="1:17" s="407" customFormat="1" ht="15" thickTop="1">
      <c r="A126" s="405"/>
      <c r="B126" s="468">
        <f>B44</f>
        <v>111</v>
      </c>
      <c r="C126" s="484"/>
      <c r="D126" s="484"/>
      <c r="E126" s="484"/>
      <c r="F126" s="484"/>
      <c r="G126" s="484"/>
      <c r="H126" s="485"/>
      <c r="I126" s="485"/>
      <c r="J126" s="485"/>
      <c r="K126" s="485"/>
      <c r="L126" s="486"/>
      <c r="M126" s="487"/>
      <c r="N126" s="874"/>
      <c r="O126" s="874"/>
      <c r="P126" s="1765"/>
      <c r="Q126" s="489"/>
    </row>
    <row r="127" spans="1:17" s="407" customFormat="1" ht="15.75" thickBot="1">
      <c r="A127" s="483"/>
      <c r="B127" s="473"/>
      <c r="C127" s="490"/>
      <c r="D127" s="466"/>
      <c r="E127" s="466"/>
      <c r="F127" s="466"/>
      <c r="G127" s="490"/>
      <c r="H127" s="492"/>
      <c r="I127" s="492"/>
      <c r="J127" s="492"/>
      <c r="K127" s="492"/>
      <c r="L127" s="492"/>
      <c r="M127" s="493"/>
      <c r="N127" s="874"/>
      <c r="O127" s="874"/>
      <c r="P127" s="1765"/>
      <c r="Q127" s="489"/>
    </row>
    <row r="128" spans="1:17" ht="15" thickTop="1">
      <c r="A128" s="408"/>
      <c r="B128" s="468">
        <f>B45</f>
        <v>111</v>
      </c>
      <c r="C128" s="484"/>
      <c r="D128" s="484"/>
      <c r="E128" s="484"/>
      <c r="F128" s="484"/>
      <c r="G128" s="512"/>
      <c r="H128" s="512"/>
      <c r="I128" s="512"/>
      <c r="J128" s="512"/>
      <c r="K128" s="513"/>
      <c r="L128" s="514"/>
      <c r="M128" s="515"/>
      <c r="N128" s="872"/>
      <c r="O128" s="872"/>
      <c r="P128" s="1764"/>
      <c r="Q128" s="438"/>
    </row>
    <row r="129" spans="1:17" ht="15.75" thickBot="1">
      <c r="A129" s="366"/>
      <c r="B129" s="473"/>
      <c r="C129" s="490"/>
      <c r="D129" s="490"/>
      <c r="E129" s="490"/>
      <c r="F129" s="490"/>
      <c r="G129" s="466"/>
      <c r="H129" s="466"/>
      <c r="I129" s="466"/>
      <c r="J129" s="466"/>
      <c r="K129" s="466"/>
      <c r="L129" s="466"/>
      <c r="M129" s="467"/>
      <c r="N129" s="873"/>
      <c r="O129" s="873"/>
      <c r="P129" s="1764"/>
      <c r="Q129" s="438"/>
    </row>
    <row r="130" spans="1:17" ht="15" thickTop="1">
      <c r="A130" s="408"/>
      <c r="B130" s="476">
        <f>B46</f>
        <v>111</v>
      </c>
      <c r="C130" s="484"/>
      <c r="D130" s="484"/>
      <c r="E130" s="484"/>
      <c r="F130" s="484"/>
      <c r="G130" s="516"/>
      <c r="H130" s="516"/>
      <c r="I130" s="516"/>
      <c r="J130" s="516"/>
      <c r="K130" s="31"/>
      <c r="L130" s="456"/>
      <c r="M130" s="519"/>
      <c r="N130" s="872"/>
      <c r="O130" s="872"/>
      <c r="P130" s="1764"/>
      <c r="Q130" s="438"/>
    </row>
    <row r="131" spans="1:17" ht="15.75" thickBot="1">
      <c r="A131" s="374"/>
      <c r="B131" s="499"/>
      <c r="C131" s="500"/>
      <c r="D131" s="500"/>
      <c r="E131" s="500"/>
      <c r="F131" s="500"/>
      <c r="G131" s="520"/>
      <c r="H131" s="520"/>
      <c r="I131" s="520"/>
      <c r="J131" s="520"/>
      <c r="K131" s="520"/>
      <c r="L131" s="520"/>
      <c r="M131" s="521"/>
      <c r="N131" s="873"/>
      <c r="O131" s="873"/>
      <c r="P131" s="1764"/>
      <c r="Q131" s="438"/>
    </row>
    <row r="136" spans="1:17" ht="15" thickBot="1">
      <c r="B136" s="1770" t="s">
        <v>1743</v>
      </c>
    </row>
    <row r="137" spans="1:17" ht="15">
      <c r="B137" s="1771" t="s">
        <v>1744</v>
      </c>
      <c r="C137" s="1772"/>
      <c r="D137" s="1772"/>
      <c r="E137" s="1772"/>
      <c r="F137" s="1772"/>
      <c r="G137" s="1773"/>
      <c r="H137" s="1774"/>
      <c r="I137" s="1775" t="s">
        <v>1745</v>
      </c>
      <c r="J137" s="1772"/>
      <c r="K137" s="1776"/>
    </row>
    <row r="138" spans="1:17" ht="15">
      <c r="B138" s="1777"/>
      <c r="C138" s="128" t="s">
        <v>1746</v>
      </c>
      <c r="D138" s="128" t="s">
        <v>1747</v>
      </c>
      <c r="E138" s="1778" t="s">
        <v>1748</v>
      </c>
      <c r="F138" s="1779" t="s">
        <v>1749</v>
      </c>
      <c r="G138" s="128" t="s">
        <v>1747</v>
      </c>
      <c r="H138" s="129" t="s">
        <v>1748</v>
      </c>
      <c r="I138" s="1780"/>
      <c r="J138" s="128" t="s">
        <v>1750</v>
      </c>
      <c r="K138" s="129" t="s">
        <v>1751</v>
      </c>
    </row>
    <row r="139" spans="1:17" ht="15">
      <c r="B139" s="808">
        <v>6</v>
      </c>
      <c r="C139" s="809">
        <v>96</v>
      </c>
      <c r="D139" s="1781" t="s">
        <v>1752</v>
      </c>
      <c r="E139" s="810">
        <v>100</v>
      </c>
      <c r="F139" s="811">
        <v>102.5</v>
      </c>
      <c r="G139" s="1781" t="s">
        <v>1752</v>
      </c>
      <c r="H139" s="812">
        <v>105</v>
      </c>
      <c r="I139" s="1782" t="s">
        <v>1753</v>
      </c>
      <c r="J139" s="809">
        <v>20</v>
      </c>
      <c r="K139" s="813">
        <f>C145/(J139-2)</f>
        <v>4.0555555555555553E-3</v>
      </c>
    </row>
    <row r="140" spans="1:17" ht="15">
      <c r="B140" s="814">
        <v>5</v>
      </c>
      <c r="C140" s="815">
        <v>100</v>
      </c>
      <c r="D140" s="815"/>
      <c r="E140" s="816"/>
      <c r="F140" s="817">
        <v>102</v>
      </c>
      <c r="G140" s="815"/>
      <c r="H140" s="818"/>
      <c r="I140" s="1783" t="s">
        <v>1754</v>
      </c>
      <c r="J140" s="262">
        <f>ROUNDUP((J139-1)/2,0)</f>
        <v>10</v>
      </c>
      <c r="K140" s="819">
        <v>100</v>
      </c>
    </row>
    <row r="141" spans="1:17" ht="15">
      <c r="B141" s="814">
        <v>4</v>
      </c>
      <c r="C141" s="815">
        <v>102</v>
      </c>
      <c r="D141" s="815"/>
      <c r="E141" s="816"/>
      <c r="F141" s="817">
        <v>101.5</v>
      </c>
      <c r="G141" s="815"/>
      <c r="H141" s="818"/>
      <c r="I141" s="1783" t="s">
        <v>1755</v>
      </c>
      <c r="J141" s="262">
        <v>1</v>
      </c>
      <c r="K141" s="820">
        <f>ROUND(100+(J141-J140)*K139*100,1)</f>
        <v>96.4</v>
      </c>
    </row>
    <row r="142" spans="1:17" ht="15">
      <c r="B142" s="814">
        <v>3</v>
      </c>
      <c r="C142" s="815">
        <v>103</v>
      </c>
      <c r="D142" s="815"/>
      <c r="E142" s="816"/>
      <c r="F142" s="817">
        <v>101</v>
      </c>
      <c r="G142" s="815"/>
      <c r="H142" s="818"/>
      <c r="I142" s="1783" t="s">
        <v>1756</v>
      </c>
      <c r="J142" s="262">
        <f>J139</f>
        <v>20</v>
      </c>
      <c r="K142" s="821">
        <v>95</v>
      </c>
    </row>
    <row r="143" spans="1:17" ht="15">
      <c r="B143" s="814">
        <v>2</v>
      </c>
      <c r="C143" s="815">
        <v>100</v>
      </c>
      <c r="D143" s="815"/>
      <c r="E143" s="816"/>
      <c r="F143" s="817">
        <v>100.5</v>
      </c>
      <c r="G143" s="815"/>
      <c r="H143" s="818"/>
      <c r="I143" s="1783" t="s">
        <v>1757</v>
      </c>
      <c r="J143" s="815">
        <v>15</v>
      </c>
      <c r="K143" s="820">
        <f>ROUND(100+(J143-J140)*K139*100,1)</f>
        <v>102</v>
      </c>
    </row>
    <row r="144" spans="1:17" ht="15">
      <c r="B144" s="814">
        <v>1</v>
      </c>
      <c r="C144" s="815">
        <v>98</v>
      </c>
      <c r="D144" s="1784" t="s">
        <v>1758</v>
      </c>
      <c r="E144" s="816">
        <v>102</v>
      </c>
      <c r="F144" s="822">
        <v>100</v>
      </c>
      <c r="G144" s="1784" t="s">
        <v>1758</v>
      </c>
      <c r="H144" s="818">
        <v>105</v>
      </c>
      <c r="I144" s="1783" t="s">
        <v>1757</v>
      </c>
      <c r="J144" s="815">
        <v>18</v>
      </c>
      <c r="K144" s="820">
        <f>ROUND(100+(J144-J140)*K139*100,1)</f>
        <v>103.2</v>
      </c>
    </row>
    <row r="145" spans="2:11" ht="15.75" thickBot="1">
      <c r="B145" s="1785" t="s">
        <v>1759</v>
      </c>
      <c r="C145" s="823">
        <f>ROUND(MAX(C139:C144)/MIN(C139:C144)-1,3)</f>
        <v>7.2999999999999995E-2</v>
      </c>
      <c r="D145" s="824"/>
      <c r="E145" s="824"/>
      <c r="F145" s="1786" t="s">
        <v>1760</v>
      </c>
      <c r="G145" s="1787"/>
      <c r="H145" s="1788"/>
      <c r="I145" s="1789" t="s">
        <v>1757</v>
      </c>
      <c r="J145" s="825">
        <v>8</v>
      </c>
      <c r="K145" s="826">
        <f>ROUND(100+(J145-J140)*K139*100,1)</f>
        <v>99.2</v>
      </c>
    </row>
    <row r="147" spans="2:11">
      <c r="B147" s="1770" t="s">
        <v>1761</v>
      </c>
    </row>
    <row r="148" spans="2:11">
      <c r="B148" s="1770"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3" priority="14"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F7:F46 H7:H46 J7:J46">
    <cfRule type="cellIs" dxfId="130" priority="1" operator="notEqual">
      <formula>100</formula>
    </cfRule>
  </conditionalFormatting>
  <conditionalFormatting sqref="F48">
    <cfRule type="expression" dxfId="129" priority="4">
      <formula>$D$48="简单平均"</formula>
    </cfRule>
  </conditionalFormatting>
  <conditionalFormatting sqref="F52:F54 H52:H54 J52:J54">
    <cfRule type="containsText" dxfId="128" priority="15" stopIfTrue="1" operator="containsText" text="超过">
      <formula>NOT(ISERROR(SEARCH("超过",F52)))</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G54">
    <cfRule type="expression" dxfId="125" priority="12" stopIfTrue="1">
      <formula>$H$54="超过30%"</formula>
    </cfRule>
  </conditionalFormatting>
  <conditionalFormatting sqref="H48">
    <cfRule type="expression" dxfId="124" priority="3">
      <formula>$D$48="简单平均"</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J48">
    <cfRule type="expression" dxfId="120"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69" t="s">
        <v>895</v>
      </c>
    </row>
    <row r="3" spans="1:1" ht="18">
      <c r="A3" s="1370" t="str">
        <f>项目基本情况!B5&amp;"："</f>
        <v>：</v>
      </c>
    </row>
    <row r="4" spans="1:1" ht="18">
      <c r="A4" s="1371" t="str">
        <f>"受贵公司委托，我公司对"&amp;项目基本情况!S1&amp;"进行了预评估。"</f>
        <v>受贵公司委托，我公司对北京市房地产市场价值进行了预评估。</v>
      </c>
    </row>
    <row r="5" spans="1:1" ht="18.75">
      <c r="A5" s="1372" t="s">
        <v>896</v>
      </c>
    </row>
    <row r="6" spans="1:1" ht="18.75">
      <c r="A6" s="1373" t="s">
        <v>897</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估价对象为北京市房地产，为所有。根据《国有土地使用证》[]，估价对象（分摊）出让国有建设用地使用权面积为0平方米，建筑面积为51111.6800000006平方米。</v>
      </c>
    </row>
    <row r="8" spans="1:1" ht="57.75">
      <c r="A8" s="1374" t="s">
        <v>898</v>
      </c>
    </row>
    <row r="9" spans="1:1" ht="18.75">
      <c r="A9" s="1373" t="s">
        <v>899</v>
      </c>
    </row>
    <row r="10" spans="1:1" ht="54">
      <c r="A10" s="13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估价对象为北京市房地产,属开发建设的，该项目尚在开发建设中。根据《国有土地使用证》[]，估价对象（分摊）出让国有建设用地使用权面积为0平方米，规划建筑面积为51111.6800000006平方米。</v>
      </c>
    </row>
    <row r="11" spans="1:1" ht="76.5">
      <c r="A11" s="1374" t="s">
        <v>900</v>
      </c>
    </row>
    <row r="12" spans="1:1" ht="18.75">
      <c r="A12" s="1372" t="s">
        <v>901</v>
      </c>
    </row>
    <row r="13" spans="1:1" ht="38.25" customHeight="1">
      <c r="A13" s="1371" t="str">
        <f>IF(项目基本情况!B8="抵押",IF(项目基本情况!B5=项目基本情况!B6,定义!C51,定义!B51),定义!D51)</f>
        <v>为估价委托人了解估价对象房地产市场价值提供参考依据。</v>
      </c>
    </row>
    <row r="14" spans="1:1" ht="18.75">
      <c r="A14" s="1370" t="s">
        <v>902</v>
      </c>
    </row>
    <row r="15" spans="1:1" ht="18">
      <c r="A15" s="1375" t="str">
        <f>TEXT(项目基本情况!D3,"yyyy年m月d日;;")&amp;IF(项目基本情况!D3=项目基本情况!B3,"（评估专业人员实地查勘之日）","")</f>
        <v>2024年10月31日</v>
      </c>
    </row>
    <row r="16" spans="1:1" ht="18.75">
      <c r="A16" s="1370" t="s">
        <v>903</v>
      </c>
    </row>
    <row r="17" spans="1:1" ht="75">
      <c r="A17" s="1371" t="s">
        <v>904</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1" t="str">
        <f>IF(项目基本情况!B9="房地产市场价值","——",IF(项目基本情况!E8="房地产抵押价值",定义!C54,IF(项目基本情况!E8="已注销",定义!C55,定义!C56)))</f>
        <v>——</v>
      </c>
    </row>
    <row r="21" spans="1:1" ht="18">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1" t="str">
        <f>IF(项目基本情况!B9="房地产市场价值","——",IF(项目基本情况!E9="——","",定义!C57))</f>
        <v>——</v>
      </c>
    </row>
    <row r="23" spans="1:1" ht="18.75">
      <c r="A23" s="1370" t="s">
        <v>893</v>
      </c>
    </row>
    <row r="24" spans="1:1" ht="18">
      <c r="A24" s="1376" t="str">
        <f>"本次评估采用的主估价方法为"&amp;结果表!K4&amp;"和"&amp;结果表!L4&amp;"。"</f>
        <v>本次评估采用的主估价方法为比较法和收益法。</v>
      </c>
    </row>
    <row r="25" spans="1:1" ht="18">
      <c r="A25" s="1376"/>
    </row>
    <row r="26" spans="1:1" ht="18.75">
      <c r="A26" s="1377" t="s">
        <v>894</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1007"/>
  <sheetViews>
    <sheetView topLeftCell="L1" zoomScale="90" zoomScaleNormal="90" workbookViewId="0">
      <pane ySplit="24" topLeftCell="A530" activePane="bottomLeft" state="frozen"/>
      <selection activeCell="E1" sqref="E1"/>
      <selection pane="bottomLeft" activeCell="V15" sqref="V15"/>
    </sheetView>
  </sheetViews>
  <sheetFormatPr defaultColWidth="9" defaultRowHeight="12.75"/>
  <cols>
    <col min="1" max="1" width="11.5" style="121" customWidth="1"/>
    <col min="2" max="2" width="9.25" style="24" customWidth="1"/>
    <col min="3" max="3" width="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8"/>
    <col min="21" max="45" width="9" style="680"/>
    <col min="46" max="16384" width="9" style="121"/>
  </cols>
  <sheetData>
    <row r="1" spans="1:45" ht="14.25" customHeight="1" thickBot="1">
      <c r="A1" s="137"/>
      <c r="B1" s="922" t="s">
        <v>2080</v>
      </c>
      <c r="C1" s="3478" t="s">
        <v>2081</v>
      </c>
      <c r="D1" s="3479"/>
      <c r="E1" s="3479"/>
      <c r="F1" s="3479"/>
      <c r="G1" s="3479"/>
      <c r="H1" s="3479"/>
      <c r="I1" s="3479"/>
      <c r="J1" s="3479"/>
      <c r="K1" s="3479"/>
      <c r="L1" s="3479"/>
      <c r="M1" s="3479"/>
      <c r="N1" s="3479"/>
      <c r="O1" s="3479"/>
      <c r="P1" s="3479"/>
      <c r="Q1" s="3479"/>
      <c r="R1" s="3479"/>
      <c r="S1" s="3480"/>
      <c r="T1" s="3178" t="s">
        <v>4041</v>
      </c>
    </row>
    <row r="2" spans="1:45" s="623" customFormat="1" ht="38.25">
      <c r="A2" s="923"/>
      <c r="B2" s="621" t="s">
        <v>2082</v>
      </c>
      <c r="C2" s="14" t="str">
        <f t="shared" ref="C2:L2" si="0">C3&amp;"(含)"&amp;"-"&amp;D3</f>
        <v>0(含)-60</v>
      </c>
      <c r="D2" s="622" t="str">
        <f t="shared" si="0"/>
        <v>60(含)-120</v>
      </c>
      <c r="E2" s="622" t="str">
        <f t="shared" si="0"/>
        <v>120(含)-300</v>
      </c>
      <c r="F2" s="622" t="str">
        <f t="shared" si="0"/>
        <v>300(含)-500</v>
      </c>
      <c r="G2" s="622" t="str">
        <f t="shared" si="0"/>
        <v>500(含)-1000</v>
      </c>
      <c r="H2" s="622" t="str">
        <f t="shared" si="0"/>
        <v>1000(含)-1500</v>
      </c>
      <c r="I2" s="622" t="str">
        <f t="shared" si="0"/>
        <v>1500(含)-2000</v>
      </c>
      <c r="J2" s="622" t="str">
        <f t="shared" si="0"/>
        <v>2000(含)-0</v>
      </c>
      <c r="K2" s="622" t="str">
        <f t="shared" si="0"/>
        <v>0(含)-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4" t="str">
        <f>S3&amp;"(含)"&amp;"-"</f>
        <v>(含)-</v>
      </c>
      <c r="T2" s="317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'比较法-办公'!C104</f>
        <v>0</v>
      </c>
      <c r="D3" s="625">
        <f>'比较法-办公'!D104</f>
        <v>60</v>
      </c>
      <c r="E3" s="625">
        <f>'比较法-办公'!E104</f>
        <v>120</v>
      </c>
      <c r="F3" s="625">
        <f>'比较法-办公'!F104</f>
        <v>300</v>
      </c>
      <c r="G3" s="625">
        <f>'比较法-办公'!G104</f>
        <v>500</v>
      </c>
      <c r="H3" s="625">
        <f>'比较法-办公'!H104</f>
        <v>1000</v>
      </c>
      <c r="I3" s="625">
        <f>'比较法-办公'!I104</f>
        <v>1500</v>
      </c>
      <c r="J3" s="625">
        <f>'比较法-办公'!J104</f>
        <v>2000</v>
      </c>
      <c r="K3" s="625">
        <f>'比较法-办公'!K104</f>
        <v>0</v>
      </c>
      <c r="L3" s="1211"/>
      <c r="M3" s="1212"/>
      <c r="N3" s="1212"/>
      <c r="O3" s="1210"/>
      <c r="P3" s="1210"/>
      <c r="Q3" s="1210"/>
      <c r="R3" s="1210"/>
      <c r="S3" s="1213"/>
      <c r="T3" s="3180"/>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'比较法-办公'!C105</f>
        <v>100</v>
      </c>
      <c r="D4" s="928">
        <f>'比较法-办公'!D105</f>
        <v>101</v>
      </c>
      <c r="E4" s="928">
        <f>'比较法-办公'!E105</f>
        <v>102</v>
      </c>
      <c r="F4" s="928">
        <f>'比较法-办公'!F105</f>
        <v>103</v>
      </c>
      <c r="G4" s="928">
        <f>'比较法-办公'!G105</f>
        <v>102</v>
      </c>
      <c r="H4" s="928">
        <f>'比较法-办公'!H105</f>
        <v>101</v>
      </c>
      <c r="I4" s="928">
        <f>'比较法-办公'!I105</f>
        <v>100</v>
      </c>
      <c r="J4" s="928">
        <f>'比较法-办公'!J105</f>
        <v>99</v>
      </c>
      <c r="K4" s="928">
        <f>'比较法-办公'!K105</f>
        <v>0</v>
      </c>
      <c r="L4" s="1214"/>
      <c r="M4" s="1215"/>
      <c r="N4" s="1215"/>
      <c r="O4" s="1214"/>
      <c r="P4" s="1214"/>
      <c r="Q4" s="1214"/>
      <c r="R4" s="1214"/>
      <c r="S4" s="1216"/>
      <c r="T4" s="31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'[3]比较法-办公'!B123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2">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7">D6-$T5</f>
        <v>96</v>
      </c>
      <c r="F6" s="1221">
        <f t="shared" si="7"/>
        <v>94</v>
      </c>
      <c r="G6" s="1221">
        <f t="shared" si="7"/>
        <v>92</v>
      </c>
      <c r="H6" s="1221">
        <f t="shared" si="7"/>
        <v>90</v>
      </c>
      <c r="I6" s="1221">
        <f t="shared" si="7"/>
        <v>88</v>
      </c>
      <c r="J6" s="1221">
        <f t="shared" si="7"/>
        <v>86</v>
      </c>
      <c r="K6" s="1221">
        <f t="shared" si="7"/>
        <v>84</v>
      </c>
      <c r="L6" s="1221">
        <f t="shared" si="7"/>
        <v>82</v>
      </c>
      <c r="M6" s="1221">
        <f t="shared" si="7"/>
        <v>80</v>
      </c>
      <c r="N6" s="1221">
        <f t="shared" si="7"/>
        <v>78</v>
      </c>
      <c r="O6" s="1221">
        <f t="shared" si="7"/>
        <v>76</v>
      </c>
      <c r="P6" s="1221">
        <f t="shared" si="7"/>
        <v>74</v>
      </c>
      <c r="Q6" s="1221">
        <f t="shared" si="7"/>
        <v>72</v>
      </c>
      <c r="R6" s="1221">
        <f t="shared" si="7"/>
        <v>70</v>
      </c>
      <c r="S6" s="1221">
        <f t="shared" si="7"/>
        <v>68</v>
      </c>
      <c r="T6" s="31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3172" t="s">
        <v>4040</v>
      </c>
      <c r="C7" s="3193" t="s">
        <v>4042</v>
      </c>
      <c r="D7" s="3193" t="s">
        <v>4043</v>
      </c>
      <c r="E7" s="839"/>
      <c r="F7" s="1222"/>
      <c r="G7" s="1222"/>
      <c r="H7" s="1222"/>
      <c r="I7" s="1222"/>
      <c r="J7" s="1222"/>
      <c r="K7" s="1222"/>
      <c r="L7" s="1222"/>
      <c r="M7" s="1223"/>
      <c r="N7" s="1224"/>
      <c r="O7" s="1225"/>
      <c r="P7" s="1225"/>
      <c r="Q7" s="1226"/>
      <c r="R7" s="1227"/>
      <c r="S7" s="1228"/>
      <c r="T7" s="3184">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8">D8-$T7</f>
        <v>90</v>
      </c>
      <c r="F8" s="1221">
        <f t="shared" si="8"/>
        <v>85</v>
      </c>
      <c r="G8" s="1221">
        <f t="shared" si="8"/>
        <v>80</v>
      </c>
      <c r="H8" s="1221">
        <f t="shared" si="8"/>
        <v>75</v>
      </c>
      <c r="I8" s="1221">
        <f t="shared" si="8"/>
        <v>70</v>
      </c>
      <c r="J8" s="1221">
        <f t="shared" si="8"/>
        <v>65</v>
      </c>
      <c r="K8" s="1221">
        <f t="shared" si="8"/>
        <v>60</v>
      </c>
      <c r="L8" s="1221">
        <f t="shared" si="8"/>
        <v>55</v>
      </c>
      <c r="M8" s="1221">
        <f t="shared" si="8"/>
        <v>50</v>
      </c>
      <c r="N8" s="1221">
        <f t="shared" si="8"/>
        <v>45</v>
      </c>
      <c r="O8" s="1221">
        <f t="shared" si="8"/>
        <v>40</v>
      </c>
      <c r="P8" s="1221">
        <f t="shared" si="8"/>
        <v>35</v>
      </c>
      <c r="Q8" s="1221">
        <f t="shared" si="8"/>
        <v>30</v>
      </c>
      <c r="R8" s="1221">
        <f t="shared" si="8"/>
        <v>25</v>
      </c>
      <c r="S8" s="1221">
        <f t="shared" si="8"/>
        <v>20</v>
      </c>
      <c r="T8" s="31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3172" t="s">
        <v>4046</v>
      </c>
      <c r="C9" s="844">
        <v>5.3</v>
      </c>
      <c r="D9" s="839">
        <v>4.2</v>
      </c>
      <c r="E9" s="839">
        <v>3</v>
      </c>
      <c r="F9" s="1222"/>
      <c r="G9" s="1222"/>
      <c r="H9" s="1222"/>
      <c r="I9" s="1222"/>
      <c r="J9" s="1222"/>
      <c r="K9" s="1222"/>
      <c r="L9" s="1229"/>
      <c r="M9" s="1223"/>
      <c r="N9" s="1224"/>
      <c r="O9" s="1225"/>
      <c r="P9" s="1225"/>
      <c r="Q9" s="1226"/>
      <c r="R9" s="1227"/>
      <c r="S9" s="1228"/>
      <c r="T9" s="3184">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18"/>
      <c r="B10" s="927"/>
      <c r="C10" s="936">
        <v>100</v>
      </c>
      <c r="D10" s="709">
        <f>C10-$T9</f>
        <v>95</v>
      </c>
      <c r="E10" s="709">
        <f t="shared" ref="E10:S10" si="9">D10-$T9</f>
        <v>90</v>
      </c>
      <c r="F10" s="1230">
        <f t="shared" si="9"/>
        <v>85</v>
      </c>
      <c r="G10" s="1230">
        <f t="shared" si="9"/>
        <v>80</v>
      </c>
      <c r="H10" s="1230">
        <f t="shared" si="9"/>
        <v>75</v>
      </c>
      <c r="I10" s="1230">
        <f t="shared" si="9"/>
        <v>70</v>
      </c>
      <c r="J10" s="1230">
        <f t="shared" si="9"/>
        <v>65</v>
      </c>
      <c r="K10" s="1230">
        <f t="shared" si="9"/>
        <v>60</v>
      </c>
      <c r="L10" s="1230">
        <f t="shared" si="9"/>
        <v>55</v>
      </c>
      <c r="M10" s="1230">
        <f t="shared" si="9"/>
        <v>50</v>
      </c>
      <c r="N10" s="1230">
        <f t="shared" si="9"/>
        <v>45</v>
      </c>
      <c r="O10" s="1230">
        <f t="shared" si="9"/>
        <v>40</v>
      </c>
      <c r="P10" s="1230">
        <f t="shared" si="9"/>
        <v>35</v>
      </c>
      <c r="Q10" s="1230">
        <f t="shared" si="9"/>
        <v>30</v>
      </c>
      <c r="R10" s="1230">
        <f t="shared" si="9"/>
        <v>25</v>
      </c>
      <c r="S10" s="1230">
        <f t="shared" si="9"/>
        <v>20</v>
      </c>
      <c r="T10" s="31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39" t="s">
        <v>2083</v>
      </c>
      <c r="C11" s="933"/>
      <c r="D11" s="934"/>
      <c r="E11" s="934"/>
      <c r="F11" s="934"/>
      <c r="G11" s="934"/>
      <c r="H11" s="934"/>
      <c r="I11" s="934"/>
      <c r="J11" s="934"/>
      <c r="K11" s="934"/>
      <c r="L11" s="934"/>
      <c r="M11" s="935"/>
      <c r="N11" s="937"/>
      <c r="O11" s="938"/>
      <c r="P11" s="938"/>
      <c r="Q11" s="939"/>
      <c r="R11" s="940"/>
      <c r="S11" s="941"/>
      <c r="T11" s="3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18"/>
      <c r="B12" s="840"/>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31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39" t="s">
        <v>2084</v>
      </c>
      <c r="C13" s="933"/>
      <c r="D13" s="934"/>
      <c r="E13" s="934"/>
      <c r="F13" s="934"/>
      <c r="G13" s="934"/>
      <c r="H13" s="934"/>
      <c r="I13" s="934"/>
      <c r="J13" s="934"/>
      <c r="K13" s="934"/>
      <c r="L13" s="934"/>
      <c r="M13" s="935"/>
      <c r="N13" s="937"/>
      <c r="O13" s="938"/>
      <c r="P13" s="938"/>
      <c r="Q13" s="939"/>
      <c r="R13" s="940"/>
      <c r="S13" s="941"/>
      <c r="T13" s="318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18"/>
      <c r="B14" s="840"/>
      <c r="C14" s="843"/>
      <c r="D14" s="841"/>
      <c r="E14" s="841"/>
      <c r="F14" s="841"/>
      <c r="G14" s="841"/>
      <c r="H14" s="841"/>
      <c r="I14" s="841"/>
      <c r="J14" s="841"/>
      <c r="K14" s="841"/>
      <c r="L14" s="841"/>
      <c r="M14" s="942"/>
      <c r="N14" s="942"/>
      <c r="O14" s="841"/>
      <c r="P14" s="841"/>
      <c r="Q14" s="841"/>
      <c r="R14" s="841"/>
      <c r="S14" s="943"/>
      <c r="T14" s="31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39" t="s">
        <v>2085</v>
      </c>
      <c r="C15" s="933"/>
      <c r="D15" s="934"/>
      <c r="E15" s="934"/>
      <c r="F15" s="934"/>
      <c r="G15" s="934"/>
      <c r="H15" s="934"/>
      <c r="I15" s="934"/>
      <c r="J15" s="934"/>
      <c r="K15" s="934"/>
      <c r="L15" s="934"/>
      <c r="M15" s="935"/>
      <c r="N15" s="937"/>
      <c r="O15" s="938"/>
      <c r="P15" s="938"/>
      <c r="Q15" s="939"/>
      <c r="R15" s="940"/>
      <c r="S15" s="941"/>
      <c r="T15" s="318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31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0" t="s">
        <v>3710</v>
      </c>
      <c r="D17" s="3171" t="s">
        <v>3553</v>
      </c>
      <c r="E17" s="3171" t="s">
        <v>3409</v>
      </c>
      <c r="F17" s="944"/>
      <c r="G17" s="944"/>
      <c r="H17" s="944"/>
      <c r="I17" s="944"/>
      <c r="J17" s="944"/>
      <c r="K17" s="944"/>
      <c r="L17" s="945"/>
      <c r="M17" s="946"/>
      <c r="N17" s="947"/>
      <c r="O17" s="948"/>
      <c r="P17" s="948"/>
      <c r="Q17" s="949"/>
      <c r="R17" s="950"/>
      <c r="S17" s="951"/>
      <c r="T17" s="3186"/>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98</v>
      </c>
      <c r="E18" s="955">
        <v>96</v>
      </c>
      <c r="F18" s="955"/>
      <c r="G18" s="955"/>
      <c r="H18" s="955"/>
      <c r="I18" s="955"/>
      <c r="J18" s="955"/>
      <c r="K18" s="955"/>
      <c r="L18" s="955"/>
      <c r="M18" s="956"/>
      <c r="N18" s="956"/>
      <c r="O18" s="955"/>
      <c r="P18" s="955"/>
      <c r="Q18" s="955"/>
      <c r="R18" s="955"/>
      <c r="S18" s="957"/>
      <c r="T18" s="318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70321</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14265</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49296.620000000592</v>
      </c>
      <c r="C22" s="3475" t="s">
        <v>27</v>
      </c>
      <c r="D22" s="3476"/>
      <c r="E22" s="3476"/>
      <c r="F22" s="3476"/>
      <c r="G22" s="3476"/>
      <c r="H22" s="3476"/>
      <c r="I22" s="3476"/>
      <c r="J22" s="3476"/>
      <c r="K22" s="3476"/>
      <c r="L22" s="3476"/>
      <c r="M22" s="3476"/>
      <c r="N22" s="3476"/>
      <c r="O22" s="3476"/>
      <c r="P22" s="3476"/>
      <c r="Q22" s="3477"/>
      <c r="R22" s="21">
        <f ca="1">ROUND(S22*10000/B22,0)</f>
        <v>14265</v>
      </c>
      <c r="S22" s="21">
        <f ca="1">SUM(S24:S10000)</f>
        <v>70321</v>
      </c>
    </row>
    <row r="23" spans="1:45" s="9" customFormat="1" ht="24">
      <c r="A23" s="8" t="s">
        <v>2093</v>
      </c>
      <c r="B23" s="8" t="s">
        <v>2094</v>
      </c>
      <c r="C23" s="8" t="s">
        <v>2095</v>
      </c>
      <c r="D23" s="8" t="str">
        <f>B5</f>
        <v>内部装修</v>
      </c>
      <c r="E23" s="8" t="s">
        <v>2095</v>
      </c>
      <c r="F23" s="8" t="str">
        <f>B7</f>
        <v>现状利用</v>
      </c>
      <c r="G23" s="8" t="s">
        <v>2095</v>
      </c>
      <c r="H23" s="8" t="str">
        <f>B9</f>
        <v>层高</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89"/>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75" t="str">
        <f>面积表!D19</f>
        <v>301</v>
      </c>
      <c r="B24" s="3176">
        <f>面积表!E19</f>
        <v>51.46</v>
      </c>
      <c r="C24" s="2558">
        <v>1</v>
      </c>
      <c r="D24" s="2559" t="s">
        <v>4016</v>
      </c>
      <c r="E24" s="2558">
        <v>1</v>
      </c>
      <c r="F24" s="2559" t="s">
        <v>21</v>
      </c>
      <c r="G24" s="2558">
        <v>1</v>
      </c>
      <c r="H24" s="2559">
        <v>3</v>
      </c>
      <c r="I24" s="2558">
        <v>1</v>
      </c>
      <c r="J24" s="2559"/>
      <c r="K24" s="2558">
        <v>1</v>
      </c>
      <c r="L24" s="2559"/>
      <c r="M24" s="2558">
        <v>1</v>
      </c>
      <c r="N24" s="2559"/>
      <c r="O24" s="2558">
        <v>1</v>
      </c>
      <c r="P24" s="2559" t="s">
        <v>3409</v>
      </c>
      <c r="Q24" s="2558">
        <v>1</v>
      </c>
      <c r="R24" s="629">
        <f ca="1">结果表!G20</f>
        <v>14150</v>
      </c>
      <c r="S24" s="630">
        <f t="shared" ref="S24:S54" ca="1" si="11">ROUND(R24*B24/10000,0)</f>
        <v>73</v>
      </c>
      <c r="T24" s="3190" t="str">
        <f>面积表!A19</f>
        <v>2号楼</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77" t="str">
        <f>面积表!D20</f>
        <v>101</v>
      </c>
      <c r="B25" s="722">
        <f>面积表!E20</f>
        <v>99.25</v>
      </c>
      <c r="C25" s="21">
        <f>IF(B25="",1,(LOOKUP(B25,$3:$3,$4:$4)-LOOKUP($B$24,$3:$3,$4:$4)+100)/100)</f>
        <v>1.01</v>
      </c>
      <c r="D25" s="2559" t="s">
        <v>4016</v>
      </c>
      <c r="E25" s="21">
        <f>(SUMIF($5:$5,D25,$6:$6)-SUMIF($5:$5,$D$24,$6:$6)+100)/100</f>
        <v>1</v>
      </c>
      <c r="F25" s="2559" t="s">
        <v>21</v>
      </c>
      <c r="G25" s="21">
        <f>(SUMIF($7:$7,F25,$8:$8)-SUMIF($7:$7,$F$24,$8:$8)+100)/100</f>
        <v>1</v>
      </c>
      <c r="H25" s="631">
        <v>5.3</v>
      </c>
      <c r="I25" s="21">
        <f>(SUMIF($9:$9,H25,$10:$10)-SUMIF($9:$9,$H$24,$10:$10)+100)/100</f>
        <v>1.1000000000000001</v>
      </c>
      <c r="J25" s="631"/>
      <c r="K25" s="21">
        <f>(SUMIF($11:$11,J25,$12:$12)-SUMIF($11:$11,$J$24,$12:$12)+100)/100</f>
        <v>1</v>
      </c>
      <c r="L25" s="631"/>
      <c r="M25" s="21">
        <f>(SUMIF($13:$13,L25,$14:$14)-SUMIF($13:$13,$L$24,$14:$14)+100)/100</f>
        <v>1</v>
      </c>
      <c r="N25" s="631"/>
      <c r="O25" s="21">
        <f>(SUMIF($15:$15,N25,$16:$16)-SUMIF($15:$15,$N$24,$16:$16)+100)/100</f>
        <v>1</v>
      </c>
      <c r="P25" s="2559" t="s">
        <v>3409</v>
      </c>
      <c r="Q25" s="21">
        <f>(SUMIF($17:$17,P25,$18:$18)-SUMIF($17:$17,$P$24,$18:$18)+100)/100</f>
        <v>1</v>
      </c>
      <c r="R25" s="21">
        <f ca="1">IF(B25="",0,ROUND($R$24*C25*E25*G25*I25*K25*M25*O25*Q25,0))</f>
        <v>15721</v>
      </c>
      <c r="S25" s="307">
        <f t="shared" ca="1" si="11"/>
        <v>156</v>
      </c>
      <c r="T25" s="3190" t="str">
        <f>面积表!A20</f>
        <v>办公空置</v>
      </c>
    </row>
    <row r="26" spans="1:45">
      <c r="A26" s="3177" t="str">
        <f>面积表!D21</f>
        <v>102</v>
      </c>
      <c r="B26" s="722">
        <f>面积表!E21</f>
        <v>99.25</v>
      </c>
      <c r="C26" s="21">
        <f t="shared" ref="C26:C89" si="12">IF(B26="",1,(LOOKUP(B26,$3:$3,$4:$4)-LOOKUP($B$24,$3:$3,$4:$4)+100)/100)</f>
        <v>1.01</v>
      </c>
      <c r="D26" s="2559" t="s">
        <v>4016</v>
      </c>
      <c r="E26" s="21">
        <f t="shared" ref="E26:E89" si="13">(SUMIF($5:$5,D26,$6:$6)-SUMIF($5:$5,$D$24,$6:$6)+100)/100</f>
        <v>1</v>
      </c>
      <c r="F26" s="2559" t="s">
        <v>21</v>
      </c>
      <c r="G26" s="21">
        <f t="shared" ref="G26:G89" si="14">(SUMIF($7:$7,F26,$8:$8)-SUMIF($7:$7,$F$24,$8:$8)+100)/100</f>
        <v>1</v>
      </c>
      <c r="H26" s="631">
        <v>5.3</v>
      </c>
      <c r="I26" s="21">
        <f t="shared" ref="I26:I89" si="15">(SUMIF($9:$9,H26,$10:$10)-SUMIF($9:$9,$H$24,$10:$10)+100)/100</f>
        <v>1.1000000000000001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2559" t="s">
        <v>3409</v>
      </c>
      <c r="Q26" s="21">
        <f t="shared" ref="Q26:Q89" si="19">(SUMIF($17:$17,P26,$18:$18)-SUMIF($17:$17,$P$24,$18:$18)+100)/100</f>
        <v>1</v>
      </c>
      <c r="R26" s="21">
        <f t="shared" ref="R26:R89" ca="1" si="20">IF(B26="",0,ROUND($R$24*C26*E26*G26*I26*K26*M26*O26*Q26,0))</f>
        <v>15721</v>
      </c>
      <c r="S26" s="307">
        <f t="shared" ca="1" si="11"/>
        <v>156</v>
      </c>
      <c r="T26" s="3190" t="str">
        <f>面积表!A21</f>
        <v>总17层</v>
      </c>
    </row>
    <row r="27" spans="1:45">
      <c r="A27" s="3177" t="str">
        <f>面积表!D22</f>
        <v>103</v>
      </c>
      <c r="B27" s="722">
        <f>面积表!E22</f>
        <v>99.25</v>
      </c>
      <c r="C27" s="21">
        <f t="shared" si="12"/>
        <v>1.01</v>
      </c>
      <c r="D27" s="2559" t="s">
        <v>4016</v>
      </c>
      <c r="E27" s="21">
        <f t="shared" si="13"/>
        <v>1</v>
      </c>
      <c r="F27" s="2559" t="s">
        <v>21</v>
      </c>
      <c r="G27" s="21">
        <f t="shared" si="14"/>
        <v>1</v>
      </c>
      <c r="H27" s="631">
        <v>5.3</v>
      </c>
      <c r="I27" s="21">
        <f t="shared" si="15"/>
        <v>1.1000000000000001</v>
      </c>
      <c r="J27" s="631"/>
      <c r="K27" s="21">
        <f t="shared" si="16"/>
        <v>1</v>
      </c>
      <c r="L27" s="631"/>
      <c r="M27" s="21">
        <f t="shared" si="17"/>
        <v>1</v>
      </c>
      <c r="N27" s="631"/>
      <c r="O27" s="21">
        <f t="shared" si="18"/>
        <v>1</v>
      </c>
      <c r="P27" s="2559" t="s">
        <v>3409</v>
      </c>
      <c r="Q27" s="21">
        <f t="shared" si="19"/>
        <v>1</v>
      </c>
      <c r="R27" s="21">
        <f t="shared" ca="1" si="20"/>
        <v>15721</v>
      </c>
      <c r="S27" s="307">
        <f t="shared" ca="1" si="11"/>
        <v>156</v>
      </c>
      <c r="T27" s="3190">
        <f>面积表!A22</f>
        <v>0</v>
      </c>
    </row>
    <row r="28" spans="1:45">
      <c r="A28" s="3169" t="str">
        <f>面积表!D23</f>
        <v>104</v>
      </c>
      <c r="B28" s="52">
        <f>面积表!E23</f>
        <v>99.25</v>
      </c>
      <c r="C28" s="21">
        <f t="shared" si="12"/>
        <v>1.01</v>
      </c>
      <c r="D28" s="2559" t="s">
        <v>4016</v>
      </c>
      <c r="E28" s="21">
        <f t="shared" si="13"/>
        <v>1</v>
      </c>
      <c r="F28" s="2559" t="s">
        <v>21</v>
      </c>
      <c r="G28" s="21">
        <f t="shared" si="14"/>
        <v>1</v>
      </c>
      <c r="H28" s="631">
        <v>5.3</v>
      </c>
      <c r="I28" s="21">
        <f t="shared" si="15"/>
        <v>1.1000000000000001</v>
      </c>
      <c r="J28" s="631"/>
      <c r="K28" s="21">
        <f t="shared" si="16"/>
        <v>1</v>
      </c>
      <c r="L28" s="631"/>
      <c r="M28" s="21">
        <f t="shared" si="17"/>
        <v>1</v>
      </c>
      <c r="N28" s="631"/>
      <c r="O28" s="21">
        <f t="shared" si="18"/>
        <v>1</v>
      </c>
      <c r="P28" s="2559" t="s">
        <v>3409</v>
      </c>
      <c r="Q28" s="21">
        <f t="shared" si="19"/>
        <v>1</v>
      </c>
      <c r="R28" s="21">
        <f t="shared" ca="1" si="20"/>
        <v>15721</v>
      </c>
      <c r="S28" s="307">
        <f t="shared" ca="1" si="11"/>
        <v>156</v>
      </c>
      <c r="T28" s="3190">
        <f>面积表!A23</f>
        <v>0</v>
      </c>
    </row>
    <row r="29" spans="1:45">
      <c r="A29" s="3169" t="str">
        <f>面积表!D24</f>
        <v>105</v>
      </c>
      <c r="B29" s="52">
        <f>面积表!E24</f>
        <v>99.25</v>
      </c>
      <c r="C29" s="21">
        <f t="shared" si="12"/>
        <v>1.01</v>
      </c>
      <c r="D29" s="2559" t="s">
        <v>4016</v>
      </c>
      <c r="E29" s="21">
        <f t="shared" si="13"/>
        <v>1</v>
      </c>
      <c r="F29" s="2559" t="s">
        <v>21</v>
      </c>
      <c r="G29" s="21">
        <f t="shared" si="14"/>
        <v>1</v>
      </c>
      <c r="H29" s="631">
        <v>5.3</v>
      </c>
      <c r="I29" s="21">
        <f t="shared" si="15"/>
        <v>1.1000000000000001</v>
      </c>
      <c r="J29" s="631"/>
      <c r="K29" s="21">
        <f t="shared" si="16"/>
        <v>1</v>
      </c>
      <c r="L29" s="631"/>
      <c r="M29" s="21">
        <f t="shared" si="17"/>
        <v>1</v>
      </c>
      <c r="N29" s="631"/>
      <c r="O29" s="21">
        <f t="shared" si="18"/>
        <v>1</v>
      </c>
      <c r="P29" s="2559" t="s">
        <v>3409</v>
      </c>
      <c r="Q29" s="21">
        <f t="shared" si="19"/>
        <v>1</v>
      </c>
      <c r="R29" s="21">
        <f t="shared" ca="1" si="20"/>
        <v>15721</v>
      </c>
      <c r="S29" s="307">
        <f t="shared" ca="1" si="11"/>
        <v>156</v>
      </c>
      <c r="T29" s="3190">
        <f>面积表!A24</f>
        <v>0</v>
      </c>
    </row>
    <row r="30" spans="1:45">
      <c r="A30" s="3169" t="str">
        <f>面积表!D25</f>
        <v>106</v>
      </c>
      <c r="B30" s="52">
        <f>面积表!E25</f>
        <v>99.25</v>
      </c>
      <c r="C30" s="21">
        <f t="shared" si="12"/>
        <v>1.01</v>
      </c>
      <c r="D30" s="2559" t="s">
        <v>4016</v>
      </c>
      <c r="E30" s="21">
        <f t="shared" si="13"/>
        <v>1</v>
      </c>
      <c r="F30" s="2559" t="s">
        <v>21</v>
      </c>
      <c r="G30" s="21">
        <f t="shared" si="14"/>
        <v>1</v>
      </c>
      <c r="H30" s="631">
        <v>5.3</v>
      </c>
      <c r="I30" s="21">
        <f t="shared" si="15"/>
        <v>1.1000000000000001</v>
      </c>
      <c r="J30" s="631"/>
      <c r="K30" s="21">
        <f t="shared" si="16"/>
        <v>1</v>
      </c>
      <c r="L30" s="631"/>
      <c r="M30" s="21">
        <f t="shared" si="17"/>
        <v>1</v>
      </c>
      <c r="N30" s="631"/>
      <c r="O30" s="21">
        <f t="shared" si="18"/>
        <v>1</v>
      </c>
      <c r="P30" s="2559" t="s">
        <v>3409</v>
      </c>
      <c r="Q30" s="21">
        <f t="shared" si="19"/>
        <v>1</v>
      </c>
      <c r="R30" s="21">
        <f t="shared" ca="1" si="20"/>
        <v>15721</v>
      </c>
      <c r="S30" s="307">
        <f t="shared" ca="1" si="11"/>
        <v>156</v>
      </c>
      <c r="T30" s="3190">
        <f>面积表!A25</f>
        <v>0</v>
      </c>
    </row>
    <row r="31" spans="1:45">
      <c r="A31" s="3169" t="str">
        <f>面积表!D26</f>
        <v>107</v>
      </c>
      <c r="B31" s="52">
        <f>面积表!E26</f>
        <v>68.78</v>
      </c>
      <c r="C31" s="21">
        <f t="shared" si="12"/>
        <v>1.01</v>
      </c>
      <c r="D31" s="2559" t="s">
        <v>4016</v>
      </c>
      <c r="E31" s="21">
        <f t="shared" si="13"/>
        <v>1</v>
      </c>
      <c r="F31" s="2559" t="s">
        <v>21</v>
      </c>
      <c r="G31" s="21">
        <f t="shared" si="14"/>
        <v>1</v>
      </c>
      <c r="H31" s="631">
        <v>5.3</v>
      </c>
      <c r="I31" s="21">
        <f t="shared" si="15"/>
        <v>1.1000000000000001</v>
      </c>
      <c r="J31" s="631"/>
      <c r="K31" s="21">
        <f t="shared" si="16"/>
        <v>1</v>
      </c>
      <c r="L31" s="631"/>
      <c r="M31" s="21">
        <f t="shared" si="17"/>
        <v>1</v>
      </c>
      <c r="N31" s="631"/>
      <c r="O31" s="21">
        <f t="shared" si="18"/>
        <v>1</v>
      </c>
      <c r="P31" s="2559" t="s">
        <v>3409</v>
      </c>
      <c r="Q31" s="21">
        <f t="shared" si="19"/>
        <v>1</v>
      </c>
      <c r="R31" s="21">
        <f t="shared" ca="1" si="20"/>
        <v>15721</v>
      </c>
      <c r="S31" s="307">
        <f t="shared" ca="1" si="11"/>
        <v>108</v>
      </c>
      <c r="T31" s="3190">
        <f>面积表!A26</f>
        <v>0</v>
      </c>
    </row>
    <row r="32" spans="1:45">
      <c r="A32" s="3169" t="str">
        <f>面积表!D27</f>
        <v>108</v>
      </c>
      <c r="B32" s="52">
        <f>面积表!E27</f>
        <v>88.24</v>
      </c>
      <c r="C32" s="21">
        <f t="shared" si="12"/>
        <v>1.01</v>
      </c>
      <c r="D32" s="2559" t="s">
        <v>4016</v>
      </c>
      <c r="E32" s="21">
        <f t="shared" si="13"/>
        <v>1</v>
      </c>
      <c r="F32" s="2559" t="s">
        <v>21</v>
      </c>
      <c r="G32" s="21">
        <f t="shared" si="14"/>
        <v>1</v>
      </c>
      <c r="H32" s="631">
        <v>5.3</v>
      </c>
      <c r="I32" s="21">
        <f t="shared" si="15"/>
        <v>1.1000000000000001</v>
      </c>
      <c r="J32" s="631"/>
      <c r="K32" s="21">
        <f t="shared" si="16"/>
        <v>1</v>
      </c>
      <c r="L32" s="631"/>
      <c r="M32" s="21">
        <f t="shared" si="17"/>
        <v>1</v>
      </c>
      <c r="N32" s="631"/>
      <c r="O32" s="21">
        <f t="shared" si="18"/>
        <v>1</v>
      </c>
      <c r="P32" s="2559" t="s">
        <v>3409</v>
      </c>
      <c r="Q32" s="21">
        <f t="shared" si="19"/>
        <v>1</v>
      </c>
      <c r="R32" s="21">
        <f t="shared" ca="1" si="20"/>
        <v>15721</v>
      </c>
      <c r="S32" s="307">
        <f t="shared" ca="1" si="11"/>
        <v>139</v>
      </c>
      <c r="T32" s="3190">
        <f>面积表!A27</f>
        <v>0</v>
      </c>
    </row>
    <row r="33" spans="1:20">
      <c r="A33" s="3169" t="str">
        <f>面积表!D28</f>
        <v>109</v>
      </c>
      <c r="B33" s="52">
        <f>面积表!E28</f>
        <v>96.56</v>
      </c>
      <c r="C33" s="21">
        <f t="shared" si="12"/>
        <v>1.01</v>
      </c>
      <c r="D33" s="2559" t="s">
        <v>4016</v>
      </c>
      <c r="E33" s="21">
        <f t="shared" si="13"/>
        <v>1</v>
      </c>
      <c r="F33" s="2559" t="s">
        <v>21</v>
      </c>
      <c r="G33" s="21">
        <f t="shared" si="14"/>
        <v>1</v>
      </c>
      <c r="H33" s="631">
        <v>5.3</v>
      </c>
      <c r="I33" s="21">
        <f t="shared" si="15"/>
        <v>1.1000000000000001</v>
      </c>
      <c r="J33" s="631"/>
      <c r="K33" s="21">
        <f t="shared" si="16"/>
        <v>1</v>
      </c>
      <c r="L33" s="631"/>
      <c r="M33" s="21">
        <f t="shared" si="17"/>
        <v>1</v>
      </c>
      <c r="N33" s="631"/>
      <c r="O33" s="21">
        <f t="shared" si="18"/>
        <v>1</v>
      </c>
      <c r="P33" s="2559" t="s">
        <v>3409</v>
      </c>
      <c r="Q33" s="21">
        <f t="shared" si="19"/>
        <v>1</v>
      </c>
      <c r="R33" s="21">
        <f t="shared" ca="1" si="20"/>
        <v>15721</v>
      </c>
      <c r="S33" s="307">
        <f t="shared" ca="1" si="11"/>
        <v>152</v>
      </c>
      <c r="T33" s="3190">
        <f>面积表!A28</f>
        <v>0</v>
      </c>
    </row>
    <row r="34" spans="1:20">
      <c r="A34" s="3169" t="str">
        <f>面积表!D29</f>
        <v>110</v>
      </c>
      <c r="B34" s="52">
        <f>面积表!E29</f>
        <v>100.21</v>
      </c>
      <c r="C34" s="21">
        <f t="shared" si="12"/>
        <v>1.01</v>
      </c>
      <c r="D34" s="2559" t="s">
        <v>4016</v>
      </c>
      <c r="E34" s="21">
        <f t="shared" si="13"/>
        <v>1</v>
      </c>
      <c r="F34" s="2559" t="s">
        <v>21</v>
      </c>
      <c r="G34" s="21">
        <f t="shared" si="14"/>
        <v>1</v>
      </c>
      <c r="H34" s="631">
        <v>5.3</v>
      </c>
      <c r="I34" s="21">
        <f t="shared" si="15"/>
        <v>1.1000000000000001</v>
      </c>
      <c r="J34" s="631"/>
      <c r="K34" s="21">
        <f t="shared" si="16"/>
        <v>1</v>
      </c>
      <c r="L34" s="631"/>
      <c r="M34" s="21">
        <f t="shared" si="17"/>
        <v>1</v>
      </c>
      <c r="N34" s="631"/>
      <c r="O34" s="21">
        <f t="shared" si="18"/>
        <v>1</v>
      </c>
      <c r="P34" s="2559" t="s">
        <v>3409</v>
      </c>
      <c r="Q34" s="21">
        <f t="shared" si="19"/>
        <v>1</v>
      </c>
      <c r="R34" s="21">
        <f t="shared" ca="1" si="20"/>
        <v>15721</v>
      </c>
      <c r="S34" s="307">
        <f t="shared" ca="1" si="11"/>
        <v>158</v>
      </c>
      <c r="T34" s="3190">
        <f>面积表!A29</f>
        <v>0</v>
      </c>
    </row>
    <row r="35" spans="1:20">
      <c r="A35" s="3169" t="str">
        <f>面积表!D30</f>
        <v>111</v>
      </c>
      <c r="B35" s="52">
        <f>面积表!E30</f>
        <v>99.01</v>
      </c>
      <c r="C35" s="21">
        <f t="shared" si="12"/>
        <v>1.01</v>
      </c>
      <c r="D35" s="2559" t="s">
        <v>4016</v>
      </c>
      <c r="E35" s="21">
        <f t="shared" si="13"/>
        <v>1</v>
      </c>
      <c r="F35" s="2559" t="s">
        <v>21</v>
      </c>
      <c r="G35" s="21">
        <f t="shared" si="14"/>
        <v>1</v>
      </c>
      <c r="H35" s="631">
        <v>5.3</v>
      </c>
      <c r="I35" s="21">
        <f t="shared" si="15"/>
        <v>1.1000000000000001</v>
      </c>
      <c r="J35" s="631"/>
      <c r="K35" s="21">
        <f t="shared" si="16"/>
        <v>1</v>
      </c>
      <c r="L35" s="631"/>
      <c r="M35" s="21">
        <f t="shared" si="17"/>
        <v>1</v>
      </c>
      <c r="N35" s="631"/>
      <c r="O35" s="21">
        <f t="shared" si="18"/>
        <v>1</v>
      </c>
      <c r="P35" s="2559" t="s">
        <v>3409</v>
      </c>
      <c r="Q35" s="21">
        <f t="shared" si="19"/>
        <v>1</v>
      </c>
      <c r="R35" s="21">
        <f t="shared" ca="1" si="20"/>
        <v>15721</v>
      </c>
      <c r="S35" s="307">
        <f t="shared" ca="1" si="11"/>
        <v>156</v>
      </c>
      <c r="T35" s="3190">
        <f>面积表!A30</f>
        <v>0</v>
      </c>
    </row>
    <row r="36" spans="1:20">
      <c r="A36" s="3169" t="str">
        <f>面积表!D31</f>
        <v>201</v>
      </c>
      <c r="B36" s="52">
        <f>面积表!E31</f>
        <v>51.33</v>
      </c>
      <c r="C36" s="21">
        <f t="shared" si="12"/>
        <v>1</v>
      </c>
      <c r="D36" s="2559" t="s">
        <v>4016</v>
      </c>
      <c r="E36" s="21">
        <f t="shared" si="13"/>
        <v>1</v>
      </c>
      <c r="F36" s="2559" t="s">
        <v>21</v>
      </c>
      <c r="G36" s="21">
        <f t="shared" si="14"/>
        <v>1</v>
      </c>
      <c r="H36" s="631">
        <v>4.2</v>
      </c>
      <c r="I36" s="21">
        <f t="shared" si="15"/>
        <v>1.05</v>
      </c>
      <c r="J36" s="631"/>
      <c r="K36" s="21">
        <f t="shared" si="16"/>
        <v>1</v>
      </c>
      <c r="L36" s="631"/>
      <c r="M36" s="21">
        <f t="shared" si="17"/>
        <v>1</v>
      </c>
      <c r="N36" s="631"/>
      <c r="O36" s="21">
        <f t="shared" si="18"/>
        <v>1</v>
      </c>
      <c r="P36" s="2559" t="s">
        <v>3409</v>
      </c>
      <c r="Q36" s="21">
        <f t="shared" si="19"/>
        <v>1</v>
      </c>
      <c r="R36" s="21">
        <f t="shared" ca="1" si="20"/>
        <v>14858</v>
      </c>
      <c r="S36" s="307">
        <f t="shared" ca="1" si="11"/>
        <v>76</v>
      </c>
      <c r="T36" s="3190">
        <f>面积表!A31</f>
        <v>0</v>
      </c>
    </row>
    <row r="37" spans="1:20">
      <c r="A37" s="3169" t="str">
        <f>面积表!D32</f>
        <v>202</v>
      </c>
      <c r="B37" s="52">
        <f>面积表!E32</f>
        <v>49.62</v>
      </c>
      <c r="C37" s="21">
        <f t="shared" si="12"/>
        <v>1</v>
      </c>
      <c r="D37" s="2559" t="s">
        <v>4016</v>
      </c>
      <c r="E37" s="21">
        <f t="shared" si="13"/>
        <v>1</v>
      </c>
      <c r="F37" s="2559" t="s">
        <v>21</v>
      </c>
      <c r="G37" s="21">
        <f t="shared" si="14"/>
        <v>1</v>
      </c>
      <c r="H37" s="631">
        <v>4.2</v>
      </c>
      <c r="I37" s="21">
        <f t="shared" si="15"/>
        <v>1.05</v>
      </c>
      <c r="J37" s="631"/>
      <c r="K37" s="21">
        <f t="shared" si="16"/>
        <v>1</v>
      </c>
      <c r="L37" s="631"/>
      <c r="M37" s="21">
        <f t="shared" si="17"/>
        <v>1</v>
      </c>
      <c r="N37" s="631"/>
      <c r="O37" s="21">
        <f t="shared" si="18"/>
        <v>1</v>
      </c>
      <c r="P37" s="2559" t="s">
        <v>3409</v>
      </c>
      <c r="Q37" s="21">
        <f t="shared" si="19"/>
        <v>1</v>
      </c>
      <c r="R37" s="21">
        <f t="shared" ca="1" si="20"/>
        <v>14858</v>
      </c>
      <c r="S37" s="307">
        <f t="shared" ca="1" si="11"/>
        <v>74</v>
      </c>
      <c r="T37" s="3190">
        <f>面积表!A32</f>
        <v>0</v>
      </c>
    </row>
    <row r="38" spans="1:20">
      <c r="A38" s="3169" t="str">
        <f>面积表!D33</f>
        <v>203</v>
      </c>
      <c r="B38" s="52">
        <f>面积表!E33</f>
        <v>49.62</v>
      </c>
      <c r="C38" s="21">
        <f t="shared" si="12"/>
        <v>1</v>
      </c>
      <c r="D38" s="2559" t="s">
        <v>4016</v>
      </c>
      <c r="E38" s="21">
        <f t="shared" si="13"/>
        <v>1</v>
      </c>
      <c r="F38" s="2559" t="s">
        <v>21</v>
      </c>
      <c r="G38" s="21">
        <f t="shared" si="14"/>
        <v>1</v>
      </c>
      <c r="H38" s="631">
        <v>4.2</v>
      </c>
      <c r="I38" s="21">
        <f t="shared" si="15"/>
        <v>1.05</v>
      </c>
      <c r="J38" s="631"/>
      <c r="K38" s="21">
        <f t="shared" si="16"/>
        <v>1</v>
      </c>
      <c r="L38" s="631"/>
      <c r="M38" s="21">
        <f t="shared" si="17"/>
        <v>1</v>
      </c>
      <c r="N38" s="631"/>
      <c r="O38" s="21">
        <f t="shared" si="18"/>
        <v>1</v>
      </c>
      <c r="P38" s="2559" t="s">
        <v>3409</v>
      </c>
      <c r="Q38" s="21">
        <f t="shared" si="19"/>
        <v>1</v>
      </c>
      <c r="R38" s="21">
        <f t="shared" ca="1" si="20"/>
        <v>14858</v>
      </c>
      <c r="S38" s="307">
        <f t="shared" ca="1" si="11"/>
        <v>74</v>
      </c>
      <c r="T38" s="3190">
        <f>面积表!A33</f>
        <v>0</v>
      </c>
    </row>
    <row r="39" spans="1:20">
      <c r="A39" s="3169" t="str">
        <f>面积表!D34</f>
        <v>204</v>
      </c>
      <c r="B39" s="52">
        <f>面积表!E34</f>
        <v>49.62</v>
      </c>
      <c r="C39" s="21">
        <f t="shared" si="12"/>
        <v>1</v>
      </c>
      <c r="D39" s="2559" t="s">
        <v>4016</v>
      </c>
      <c r="E39" s="21">
        <f t="shared" si="13"/>
        <v>1</v>
      </c>
      <c r="F39" s="2559" t="s">
        <v>21</v>
      </c>
      <c r="G39" s="21">
        <f t="shared" si="14"/>
        <v>1</v>
      </c>
      <c r="H39" s="631">
        <v>4.2</v>
      </c>
      <c r="I39" s="21">
        <f t="shared" si="15"/>
        <v>1.05</v>
      </c>
      <c r="J39" s="631"/>
      <c r="K39" s="21">
        <f t="shared" si="16"/>
        <v>1</v>
      </c>
      <c r="L39" s="631"/>
      <c r="M39" s="21">
        <f t="shared" si="17"/>
        <v>1</v>
      </c>
      <c r="N39" s="631"/>
      <c r="O39" s="21">
        <f t="shared" si="18"/>
        <v>1</v>
      </c>
      <c r="P39" s="2559" t="s">
        <v>3409</v>
      </c>
      <c r="Q39" s="21">
        <f t="shared" si="19"/>
        <v>1</v>
      </c>
      <c r="R39" s="21">
        <f t="shared" ca="1" si="20"/>
        <v>14858</v>
      </c>
      <c r="S39" s="307">
        <f t="shared" ca="1" si="11"/>
        <v>74</v>
      </c>
      <c r="T39" s="3190">
        <f>面积表!A34</f>
        <v>0</v>
      </c>
    </row>
    <row r="40" spans="1:20">
      <c r="A40" s="3169" t="str">
        <f>面积表!D35</f>
        <v>205</v>
      </c>
      <c r="B40" s="52">
        <f>面积表!E35</f>
        <v>49.62</v>
      </c>
      <c r="C40" s="21">
        <f t="shared" si="12"/>
        <v>1</v>
      </c>
      <c r="D40" s="2559" t="s">
        <v>4016</v>
      </c>
      <c r="E40" s="21">
        <f t="shared" si="13"/>
        <v>1</v>
      </c>
      <c r="F40" s="2559" t="s">
        <v>21</v>
      </c>
      <c r="G40" s="21">
        <f t="shared" si="14"/>
        <v>1</v>
      </c>
      <c r="H40" s="631">
        <v>4.2</v>
      </c>
      <c r="I40" s="21">
        <f t="shared" si="15"/>
        <v>1.05</v>
      </c>
      <c r="J40" s="631"/>
      <c r="K40" s="21">
        <f t="shared" si="16"/>
        <v>1</v>
      </c>
      <c r="L40" s="631"/>
      <c r="M40" s="21">
        <f t="shared" si="17"/>
        <v>1</v>
      </c>
      <c r="N40" s="631"/>
      <c r="O40" s="21">
        <f t="shared" si="18"/>
        <v>1</v>
      </c>
      <c r="P40" s="2559" t="s">
        <v>3409</v>
      </c>
      <c r="Q40" s="21">
        <f t="shared" si="19"/>
        <v>1</v>
      </c>
      <c r="R40" s="21">
        <f t="shared" ca="1" si="20"/>
        <v>14858</v>
      </c>
      <c r="S40" s="307">
        <f t="shared" ca="1" si="11"/>
        <v>74</v>
      </c>
      <c r="T40" s="3190">
        <f>面积表!A35</f>
        <v>0</v>
      </c>
    </row>
    <row r="41" spans="1:20">
      <c r="A41" s="3169" t="str">
        <f>面积表!D36</f>
        <v>206</v>
      </c>
      <c r="B41" s="52">
        <f>面积表!E36</f>
        <v>49.62</v>
      </c>
      <c r="C41" s="21">
        <f t="shared" si="12"/>
        <v>1</v>
      </c>
      <c r="D41" s="2559" t="s">
        <v>4016</v>
      </c>
      <c r="E41" s="21">
        <f t="shared" si="13"/>
        <v>1</v>
      </c>
      <c r="F41" s="2559" t="s">
        <v>21</v>
      </c>
      <c r="G41" s="21">
        <f t="shared" si="14"/>
        <v>1</v>
      </c>
      <c r="H41" s="631">
        <v>4.2</v>
      </c>
      <c r="I41" s="21">
        <f t="shared" si="15"/>
        <v>1.05</v>
      </c>
      <c r="J41" s="631"/>
      <c r="K41" s="21">
        <f t="shared" si="16"/>
        <v>1</v>
      </c>
      <c r="L41" s="631"/>
      <c r="M41" s="21">
        <f t="shared" si="17"/>
        <v>1</v>
      </c>
      <c r="N41" s="631"/>
      <c r="O41" s="21">
        <f t="shared" si="18"/>
        <v>1</v>
      </c>
      <c r="P41" s="2559" t="s">
        <v>3409</v>
      </c>
      <c r="Q41" s="21">
        <f t="shared" si="19"/>
        <v>1</v>
      </c>
      <c r="R41" s="21">
        <f t="shared" ca="1" si="20"/>
        <v>14858</v>
      </c>
      <c r="S41" s="307">
        <f t="shared" ca="1" si="11"/>
        <v>74</v>
      </c>
      <c r="T41" s="3190">
        <f>面积表!A36</f>
        <v>0</v>
      </c>
    </row>
    <row r="42" spans="1:20">
      <c r="A42" s="3169" t="str">
        <f>面积表!D37</f>
        <v>207</v>
      </c>
      <c r="B42" s="52">
        <f>面积表!E37</f>
        <v>49.62</v>
      </c>
      <c r="C42" s="21">
        <f t="shared" si="12"/>
        <v>1</v>
      </c>
      <c r="D42" s="2559" t="s">
        <v>4016</v>
      </c>
      <c r="E42" s="21">
        <f t="shared" si="13"/>
        <v>1</v>
      </c>
      <c r="F42" s="2559" t="s">
        <v>21</v>
      </c>
      <c r="G42" s="21">
        <f t="shared" si="14"/>
        <v>1</v>
      </c>
      <c r="H42" s="631">
        <v>4.2</v>
      </c>
      <c r="I42" s="21">
        <f t="shared" si="15"/>
        <v>1.05</v>
      </c>
      <c r="J42" s="631"/>
      <c r="K42" s="21">
        <f t="shared" si="16"/>
        <v>1</v>
      </c>
      <c r="L42" s="631"/>
      <c r="M42" s="21">
        <f t="shared" si="17"/>
        <v>1</v>
      </c>
      <c r="N42" s="631"/>
      <c r="O42" s="21">
        <f t="shared" si="18"/>
        <v>1</v>
      </c>
      <c r="P42" s="2559" t="s">
        <v>3409</v>
      </c>
      <c r="Q42" s="21">
        <f t="shared" si="19"/>
        <v>1</v>
      </c>
      <c r="R42" s="21">
        <f t="shared" ca="1" si="20"/>
        <v>14858</v>
      </c>
      <c r="S42" s="307">
        <f t="shared" ca="1" si="11"/>
        <v>74</v>
      </c>
      <c r="T42" s="3190">
        <f>面积表!A37</f>
        <v>0</v>
      </c>
    </row>
    <row r="43" spans="1:20">
      <c r="A43" s="3169" t="str">
        <f>面积表!D38</f>
        <v>208</v>
      </c>
      <c r="B43" s="52">
        <f>面积表!E38</f>
        <v>49.62</v>
      </c>
      <c r="C43" s="21">
        <f t="shared" si="12"/>
        <v>1</v>
      </c>
      <c r="D43" s="2559" t="s">
        <v>4016</v>
      </c>
      <c r="E43" s="21">
        <f t="shared" si="13"/>
        <v>1</v>
      </c>
      <c r="F43" s="2559" t="s">
        <v>21</v>
      </c>
      <c r="G43" s="21">
        <f t="shared" si="14"/>
        <v>1</v>
      </c>
      <c r="H43" s="631">
        <v>4.2</v>
      </c>
      <c r="I43" s="21">
        <f t="shared" si="15"/>
        <v>1.05</v>
      </c>
      <c r="J43" s="631"/>
      <c r="K43" s="21">
        <f t="shared" si="16"/>
        <v>1</v>
      </c>
      <c r="L43" s="631"/>
      <c r="M43" s="21">
        <f t="shared" si="17"/>
        <v>1</v>
      </c>
      <c r="N43" s="631"/>
      <c r="O43" s="21">
        <f t="shared" si="18"/>
        <v>1</v>
      </c>
      <c r="P43" s="2559" t="s">
        <v>3409</v>
      </c>
      <c r="Q43" s="21">
        <f t="shared" si="19"/>
        <v>1</v>
      </c>
      <c r="R43" s="21">
        <f t="shared" ca="1" si="20"/>
        <v>14858</v>
      </c>
      <c r="S43" s="307">
        <f t="shared" ca="1" si="11"/>
        <v>74</v>
      </c>
      <c r="T43" s="3190">
        <f>面积表!A38</f>
        <v>0</v>
      </c>
    </row>
    <row r="44" spans="1:20">
      <c r="A44" s="3169" t="str">
        <f>面积表!D39</f>
        <v>209</v>
      </c>
      <c r="B44" s="52">
        <f>面积表!E39</f>
        <v>49.62</v>
      </c>
      <c r="C44" s="21">
        <f t="shared" si="12"/>
        <v>1</v>
      </c>
      <c r="D44" s="2559" t="s">
        <v>4016</v>
      </c>
      <c r="E44" s="21">
        <f t="shared" si="13"/>
        <v>1</v>
      </c>
      <c r="F44" s="2559" t="s">
        <v>21</v>
      </c>
      <c r="G44" s="21">
        <f t="shared" si="14"/>
        <v>1</v>
      </c>
      <c r="H44" s="631">
        <v>4.2</v>
      </c>
      <c r="I44" s="21">
        <f t="shared" si="15"/>
        <v>1.05</v>
      </c>
      <c r="J44" s="631"/>
      <c r="K44" s="21">
        <f t="shared" si="16"/>
        <v>1</v>
      </c>
      <c r="L44" s="631"/>
      <c r="M44" s="21">
        <f t="shared" si="17"/>
        <v>1</v>
      </c>
      <c r="N44" s="631"/>
      <c r="O44" s="21">
        <f t="shared" si="18"/>
        <v>1</v>
      </c>
      <c r="P44" s="2559" t="s">
        <v>3409</v>
      </c>
      <c r="Q44" s="21">
        <f t="shared" si="19"/>
        <v>1</v>
      </c>
      <c r="R44" s="21">
        <f t="shared" ca="1" si="20"/>
        <v>14858</v>
      </c>
      <c r="S44" s="307">
        <f t="shared" ca="1" si="11"/>
        <v>74</v>
      </c>
      <c r="T44" s="3190">
        <f>面积表!A39</f>
        <v>0</v>
      </c>
    </row>
    <row r="45" spans="1:20">
      <c r="A45" s="3169" t="str">
        <f>面积表!D40</f>
        <v>210</v>
      </c>
      <c r="B45" s="52">
        <f>面积表!E40</f>
        <v>49.62</v>
      </c>
      <c r="C45" s="21">
        <f t="shared" si="12"/>
        <v>1</v>
      </c>
      <c r="D45" s="2559" t="s">
        <v>4016</v>
      </c>
      <c r="E45" s="21">
        <f t="shared" si="13"/>
        <v>1</v>
      </c>
      <c r="F45" s="2559" t="s">
        <v>21</v>
      </c>
      <c r="G45" s="21">
        <f t="shared" si="14"/>
        <v>1</v>
      </c>
      <c r="H45" s="631">
        <v>4.2</v>
      </c>
      <c r="I45" s="21">
        <f t="shared" si="15"/>
        <v>1.05</v>
      </c>
      <c r="J45" s="631"/>
      <c r="K45" s="21">
        <f t="shared" si="16"/>
        <v>1</v>
      </c>
      <c r="L45" s="631"/>
      <c r="M45" s="21">
        <f t="shared" si="17"/>
        <v>1</v>
      </c>
      <c r="N45" s="631"/>
      <c r="O45" s="21">
        <f t="shared" si="18"/>
        <v>1</v>
      </c>
      <c r="P45" s="2559" t="s">
        <v>3409</v>
      </c>
      <c r="Q45" s="21">
        <f t="shared" si="19"/>
        <v>1</v>
      </c>
      <c r="R45" s="21">
        <f t="shared" ca="1" si="20"/>
        <v>14858</v>
      </c>
      <c r="S45" s="307">
        <f t="shared" ca="1" si="11"/>
        <v>74</v>
      </c>
      <c r="T45" s="3190">
        <f>面积表!A40</f>
        <v>0</v>
      </c>
    </row>
    <row r="46" spans="1:20">
      <c r="A46" s="3169" t="str">
        <f>面积表!D41</f>
        <v>211</v>
      </c>
      <c r="B46" s="52">
        <f>面积表!E41</f>
        <v>49.62</v>
      </c>
      <c r="C46" s="21">
        <f t="shared" si="12"/>
        <v>1</v>
      </c>
      <c r="D46" s="2559" t="s">
        <v>4016</v>
      </c>
      <c r="E46" s="21">
        <f t="shared" si="13"/>
        <v>1</v>
      </c>
      <c r="F46" s="2559" t="s">
        <v>21</v>
      </c>
      <c r="G46" s="21">
        <f t="shared" si="14"/>
        <v>1</v>
      </c>
      <c r="H46" s="631">
        <v>4.2</v>
      </c>
      <c r="I46" s="21">
        <f t="shared" si="15"/>
        <v>1.05</v>
      </c>
      <c r="J46" s="631"/>
      <c r="K46" s="21">
        <f t="shared" si="16"/>
        <v>1</v>
      </c>
      <c r="L46" s="631"/>
      <c r="M46" s="21">
        <f t="shared" si="17"/>
        <v>1</v>
      </c>
      <c r="N46" s="631"/>
      <c r="O46" s="21">
        <f t="shared" si="18"/>
        <v>1</v>
      </c>
      <c r="P46" s="2559" t="s">
        <v>3409</v>
      </c>
      <c r="Q46" s="21">
        <f t="shared" si="19"/>
        <v>1</v>
      </c>
      <c r="R46" s="21">
        <f t="shared" ca="1" si="20"/>
        <v>14858</v>
      </c>
      <c r="S46" s="307">
        <f t="shared" ca="1" si="11"/>
        <v>74</v>
      </c>
      <c r="T46" s="3190">
        <f>面积表!A41</f>
        <v>0</v>
      </c>
    </row>
    <row r="47" spans="1:20">
      <c r="A47" s="3169" t="str">
        <f>面积表!D42</f>
        <v>212</v>
      </c>
      <c r="B47" s="52">
        <f>面积表!E42</f>
        <v>49.62</v>
      </c>
      <c r="C47" s="21">
        <f t="shared" si="12"/>
        <v>1</v>
      </c>
      <c r="D47" s="2559" t="s">
        <v>4016</v>
      </c>
      <c r="E47" s="21">
        <f t="shared" si="13"/>
        <v>1</v>
      </c>
      <c r="F47" s="2559" t="s">
        <v>21</v>
      </c>
      <c r="G47" s="21">
        <f t="shared" si="14"/>
        <v>1</v>
      </c>
      <c r="H47" s="631">
        <v>4.2</v>
      </c>
      <c r="I47" s="21">
        <f t="shared" si="15"/>
        <v>1.05</v>
      </c>
      <c r="J47" s="631"/>
      <c r="K47" s="21">
        <f t="shared" si="16"/>
        <v>1</v>
      </c>
      <c r="L47" s="631"/>
      <c r="M47" s="21">
        <f t="shared" si="17"/>
        <v>1</v>
      </c>
      <c r="N47" s="631"/>
      <c r="O47" s="21">
        <f t="shared" si="18"/>
        <v>1</v>
      </c>
      <c r="P47" s="2559" t="s">
        <v>3409</v>
      </c>
      <c r="Q47" s="21">
        <f t="shared" si="19"/>
        <v>1</v>
      </c>
      <c r="R47" s="21">
        <f t="shared" ca="1" si="20"/>
        <v>14858</v>
      </c>
      <c r="S47" s="307">
        <f t="shared" ca="1" si="11"/>
        <v>74</v>
      </c>
      <c r="T47" s="3190">
        <f>面积表!A42</f>
        <v>0</v>
      </c>
    </row>
    <row r="48" spans="1:20">
      <c r="A48" s="3169" t="str">
        <f>面积表!D43</f>
        <v>213</v>
      </c>
      <c r="B48" s="52">
        <f>面积表!E43</f>
        <v>49.62</v>
      </c>
      <c r="C48" s="21">
        <f t="shared" si="12"/>
        <v>1</v>
      </c>
      <c r="D48" s="2559" t="s">
        <v>4016</v>
      </c>
      <c r="E48" s="21">
        <f t="shared" si="13"/>
        <v>1</v>
      </c>
      <c r="F48" s="2559" t="s">
        <v>21</v>
      </c>
      <c r="G48" s="21">
        <f t="shared" si="14"/>
        <v>1</v>
      </c>
      <c r="H48" s="631">
        <v>4.2</v>
      </c>
      <c r="I48" s="21">
        <f t="shared" si="15"/>
        <v>1.05</v>
      </c>
      <c r="J48" s="631"/>
      <c r="K48" s="21">
        <f t="shared" si="16"/>
        <v>1</v>
      </c>
      <c r="L48" s="631"/>
      <c r="M48" s="21">
        <f t="shared" si="17"/>
        <v>1</v>
      </c>
      <c r="N48" s="631"/>
      <c r="O48" s="21">
        <f t="shared" si="18"/>
        <v>1</v>
      </c>
      <c r="P48" s="2559" t="s">
        <v>3409</v>
      </c>
      <c r="Q48" s="21">
        <f t="shared" si="19"/>
        <v>1</v>
      </c>
      <c r="R48" s="21">
        <f t="shared" ca="1" si="20"/>
        <v>14858</v>
      </c>
      <c r="S48" s="307">
        <f t="shared" ca="1" si="11"/>
        <v>74</v>
      </c>
      <c r="T48" s="3190">
        <f>面积表!A43</f>
        <v>0</v>
      </c>
    </row>
    <row r="49" spans="1:20">
      <c r="A49" s="3169" t="str">
        <f>面积表!D44</f>
        <v>214</v>
      </c>
      <c r="B49" s="52">
        <f>面积表!E44</f>
        <v>49.62</v>
      </c>
      <c r="C49" s="21">
        <f t="shared" si="12"/>
        <v>1</v>
      </c>
      <c r="D49" s="2559" t="s">
        <v>4016</v>
      </c>
      <c r="E49" s="21">
        <f t="shared" si="13"/>
        <v>1</v>
      </c>
      <c r="F49" s="2559" t="s">
        <v>21</v>
      </c>
      <c r="G49" s="21">
        <f t="shared" si="14"/>
        <v>1</v>
      </c>
      <c r="H49" s="631">
        <v>4.2</v>
      </c>
      <c r="I49" s="21">
        <f t="shared" si="15"/>
        <v>1.05</v>
      </c>
      <c r="J49" s="631"/>
      <c r="K49" s="21">
        <f t="shared" si="16"/>
        <v>1</v>
      </c>
      <c r="L49" s="631"/>
      <c r="M49" s="21">
        <f t="shared" si="17"/>
        <v>1</v>
      </c>
      <c r="N49" s="631"/>
      <c r="O49" s="21">
        <f t="shared" si="18"/>
        <v>1</v>
      </c>
      <c r="P49" s="2559" t="s">
        <v>3409</v>
      </c>
      <c r="Q49" s="21">
        <f t="shared" si="19"/>
        <v>1</v>
      </c>
      <c r="R49" s="21">
        <f t="shared" ca="1" si="20"/>
        <v>14858</v>
      </c>
      <c r="S49" s="307">
        <f t="shared" ca="1" si="11"/>
        <v>74</v>
      </c>
      <c r="T49" s="3190">
        <f>面积表!A44</f>
        <v>0</v>
      </c>
    </row>
    <row r="50" spans="1:20">
      <c r="A50" s="3169" t="str">
        <f>面积表!D45</f>
        <v>215</v>
      </c>
      <c r="B50" s="52">
        <f>面积表!E45</f>
        <v>49.62</v>
      </c>
      <c r="C50" s="21">
        <f t="shared" si="12"/>
        <v>1</v>
      </c>
      <c r="D50" s="2559" t="s">
        <v>4016</v>
      </c>
      <c r="E50" s="21">
        <f t="shared" si="13"/>
        <v>1</v>
      </c>
      <c r="F50" s="2559" t="s">
        <v>21</v>
      </c>
      <c r="G50" s="21">
        <f t="shared" si="14"/>
        <v>1</v>
      </c>
      <c r="H50" s="631">
        <v>4.2</v>
      </c>
      <c r="I50" s="21">
        <f t="shared" si="15"/>
        <v>1.05</v>
      </c>
      <c r="J50" s="631"/>
      <c r="K50" s="21">
        <f t="shared" si="16"/>
        <v>1</v>
      </c>
      <c r="L50" s="631"/>
      <c r="M50" s="21">
        <f t="shared" si="17"/>
        <v>1</v>
      </c>
      <c r="N50" s="631"/>
      <c r="O50" s="21">
        <f t="shared" si="18"/>
        <v>1</v>
      </c>
      <c r="P50" s="2559" t="s">
        <v>3409</v>
      </c>
      <c r="Q50" s="21">
        <f t="shared" si="19"/>
        <v>1</v>
      </c>
      <c r="R50" s="21">
        <f t="shared" ca="1" si="20"/>
        <v>14858</v>
      </c>
      <c r="S50" s="307">
        <f t="shared" ca="1" si="11"/>
        <v>74</v>
      </c>
      <c r="T50" s="3190">
        <f>面积表!A45</f>
        <v>0</v>
      </c>
    </row>
    <row r="51" spans="1:20">
      <c r="A51" s="3169" t="str">
        <f>面积表!D46</f>
        <v>216</v>
      </c>
      <c r="B51" s="52">
        <f>面积表!E46</f>
        <v>68.78</v>
      </c>
      <c r="C51" s="21">
        <f t="shared" si="12"/>
        <v>1.01</v>
      </c>
      <c r="D51" s="2559" t="s">
        <v>4016</v>
      </c>
      <c r="E51" s="21">
        <f t="shared" si="13"/>
        <v>1</v>
      </c>
      <c r="F51" s="2559" t="s">
        <v>21</v>
      </c>
      <c r="G51" s="21">
        <f t="shared" si="14"/>
        <v>1</v>
      </c>
      <c r="H51" s="631">
        <v>4.2</v>
      </c>
      <c r="I51" s="21">
        <f t="shared" si="15"/>
        <v>1.05</v>
      </c>
      <c r="J51" s="631"/>
      <c r="K51" s="21">
        <f t="shared" si="16"/>
        <v>1</v>
      </c>
      <c r="L51" s="631"/>
      <c r="M51" s="21">
        <f t="shared" si="17"/>
        <v>1</v>
      </c>
      <c r="N51" s="631"/>
      <c r="O51" s="21">
        <f t="shared" si="18"/>
        <v>1</v>
      </c>
      <c r="P51" s="2559" t="s">
        <v>3409</v>
      </c>
      <c r="Q51" s="21">
        <f t="shared" si="19"/>
        <v>1</v>
      </c>
      <c r="R51" s="21">
        <f t="shared" ca="1" si="20"/>
        <v>15006</v>
      </c>
      <c r="S51" s="307">
        <f t="shared" ca="1" si="11"/>
        <v>103</v>
      </c>
      <c r="T51" s="3190">
        <f>面积表!A46</f>
        <v>0</v>
      </c>
    </row>
    <row r="52" spans="1:20">
      <c r="A52" s="3169" t="str">
        <f>面积表!D47</f>
        <v>217</v>
      </c>
      <c r="B52" s="52">
        <f>面积表!E47</f>
        <v>39.49</v>
      </c>
      <c r="C52" s="21">
        <f t="shared" si="12"/>
        <v>1</v>
      </c>
      <c r="D52" s="2559" t="s">
        <v>4016</v>
      </c>
      <c r="E52" s="21">
        <f t="shared" si="13"/>
        <v>1</v>
      </c>
      <c r="F52" s="2559" t="s">
        <v>21</v>
      </c>
      <c r="G52" s="21">
        <f t="shared" si="14"/>
        <v>1</v>
      </c>
      <c r="H52" s="631">
        <v>4.2</v>
      </c>
      <c r="I52" s="21">
        <f t="shared" si="15"/>
        <v>1.05</v>
      </c>
      <c r="J52" s="631"/>
      <c r="K52" s="21">
        <f t="shared" si="16"/>
        <v>1</v>
      </c>
      <c r="L52" s="631"/>
      <c r="M52" s="21">
        <f t="shared" si="17"/>
        <v>1</v>
      </c>
      <c r="N52" s="631"/>
      <c r="O52" s="21">
        <f t="shared" si="18"/>
        <v>1</v>
      </c>
      <c r="P52" s="2559" t="s">
        <v>3409</v>
      </c>
      <c r="Q52" s="21">
        <f t="shared" si="19"/>
        <v>1</v>
      </c>
      <c r="R52" s="21">
        <f t="shared" ca="1" si="20"/>
        <v>14858</v>
      </c>
      <c r="S52" s="307">
        <f t="shared" ca="1" si="11"/>
        <v>59</v>
      </c>
      <c r="T52" s="3190">
        <f>面积表!A47</f>
        <v>0</v>
      </c>
    </row>
    <row r="53" spans="1:20">
      <c r="A53" s="3169" t="str">
        <f>面积表!D48</f>
        <v>218</v>
      </c>
      <c r="B53" s="52">
        <f>面积表!E48</f>
        <v>42.78</v>
      </c>
      <c r="C53" s="21">
        <f t="shared" si="12"/>
        <v>1</v>
      </c>
      <c r="D53" s="2559" t="s">
        <v>4016</v>
      </c>
      <c r="E53" s="21">
        <f t="shared" si="13"/>
        <v>1</v>
      </c>
      <c r="F53" s="2559" t="s">
        <v>21</v>
      </c>
      <c r="G53" s="21">
        <f t="shared" si="14"/>
        <v>1</v>
      </c>
      <c r="H53" s="631">
        <v>4.2</v>
      </c>
      <c r="I53" s="21">
        <f t="shared" si="15"/>
        <v>1.05</v>
      </c>
      <c r="J53" s="631"/>
      <c r="K53" s="21">
        <f t="shared" si="16"/>
        <v>1</v>
      </c>
      <c r="L53" s="631"/>
      <c r="M53" s="21">
        <f t="shared" si="17"/>
        <v>1</v>
      </c>
      <c r="N53" s="631"/>
      <c r="O53" s="21">
        <f t="shared" si="18"/>
        <v>1</v>
      </c>
      <c r="P53" s="2559" t="s">
        <v>3409</v>
      </c>
      <c r="Q53" s="21">
        <f t="shared" si="19"/>
        <v>1</v>
      </c>
      <c r="R53" s="21">
        <f t="shared" ca="1" si="20"/>
        <v>14858</v>
      </c>
      <c r="S53" s="307">
        <f t="shared" ca="1" si="11"/>
        <v>64</v>
      </c>
      <c r="T53" s="3190">
        <f>面积表!A48</f>
        <v>0</v>
      </c>
    </row>
    <row r="54" spans="1:20">
      <c r="A54" s="3169" t="str">
        <f>面积表!D49</f>
        <v>219</v>
      </c>
      <c r="B54" s="52">
        <f>面积表!E49</f>
        <v>45.46</v>
      </c>
      <c r="C54" s="21">
        <f t="shared" si="12"/>
        <v>1</v>
      </c>
      <c r="D54" s="2559" t="s">
        <v>4016</v>
      </c>
      <c r="E54" s="21">
        <f t="shared" si="13"/>
        <v>1</v>
      </c>
      <c r="F54" s="2559" t="s">
        <v>21</v>
      </c>
      <c r="G54" s="21">
        <f t="shared" si="14"/>
        <v>1</v>
      </c>
      <c r="H54" s="631">
        <v>4.2</v>
      </c>
      <c r="I54" s="21">
        <f t="shared" si="15"/>
        <v>1.05</v>
      </c>
      <c r="J54" s="631"/>
      <c r="K54" s="21">
        <f t="shared" si="16"/>
        <v>1</v>
      </c>
      <c r="L54" s="631"/>
      <c r="M54" s="21">
        <f t="shared" si="17"/>
        <v>1</v>
      </c>
      <c r="N54" s="631"/>
      <c r="O54" s="21">
        <f t="shared" si="18"/>
        <v>1</v>
      </c>
      <c r="P54" s="2559" t="s">
        <v>3409</v>
      </c>
      <c r="Q54" s="21">
        <f t="shared" si="19"/>
        <v>1</v>
      </c>
      <c r="R54" s="21">
        <f t="shared" ca="1" si="20"/>
        <v>14858</v>
      </c>
      <c r="S54" s="307">
        <f t="shared" ca="1" si="11"/>
        <v>68</v>
      </c>
      <c r="T54" s="3190">
        <f>面积表!A49</f>
        <v>0</v>
      </c>
    </row>
    <row r="55" spans="1:20">
      <c r="A55" s="3169" t="str">
        <f>面积表!D50</f>
        <v>220</v>
      </c>
      <c r="B55" s="52">
        <f>面积表!E50</f>
        <v>47.56</v>
      </c>
      <c r="C55" s="21">
        <f t="shared" si="12"/>
        <v>1</v>
      </c>
      <c r="D55" s="2559" t="s">
        <v>4016</v>
      </c>
      <c r="E55" s="21">
        <f t="shared" si="13"/>
        <v>1</v>
      </c>
      <c r="F55" s="2559" t="s">
        <v>21</v>
      </c>
      <c r="G55" s="21">
        <f t="shared" si="14"/>
        <v>1</v>
      </c>
      <c r="H55" s="631">
        <v>4.2</v>
      </c>
      <c r="I55" s="21">
        <f t="shared" si="15"/>
        <v>1.05</v>
      </c>
      <c r="J55" s="631"/>
      <c r="K55" s="21">
        <f t="shared" si="16"/>
        <v>1</v>
      </c>
      <c r="L55" s="631"/>
      <c r="M55" s="21">
        <f t="shared" si="17"/>
        <v>1</v>
      </c>
      <c r="N55" s="631"/>
      <c r="O55" s="21">
        <f t="shared" si="18"/>
        <v>1</v>
      </c>
      <c r="P55" s="2559" t="s">
        <v>3409</v>
      </c>
      <c r="Q55" s="21">
        <f t="shared" si="19"/>
        <v>1</v>
      </c>
      <c r="R55" s="21">
        <f t="shared" ca="1" si="20"/>
        <v>14858</v>
      </c>
      <c r="S55" s="307">
        <f t="shared" ref="S55:S77" ca="1" si="21">ROUND(R55*B55/10000,0)</f>
        <v>71</v>
      </c>
      <c r="T55" s="3190">
        <f>面积表!A50</f>
        <v>0</v>
      </c>
    </row>
    <row r="56" spans="1:20">
      <c r="A56" s="3169" t="str">
        <f>面积表!D51</f>
        <v>221</v>
      </c>
      <c r="B56" s="52">
        <f>面积表!E51</f>
        <v>49</v>
      </c>
      <c r="C56" s="21">
        <f t="shared" si="12"/>
        <v>1</v>
      </c>
      <c r="D56" s="2559" t="s">
        <v>4016</v>
      </c>
      <c r="E56" s="21">
        <f t="shared" si="13"/>
        <v>1</v>
      </c>
      <c r="F56" s="2559" t="s">
        <v>21</v>
      </c>
      <c r="G56" s="21">
        <f t="shared" si="14"/>
        <v>1</v>
      </c>
      <c r="H56" s="631">
        <v>4.2</v>
      </c>
      <c r="I56" s="21">
        <f t="shared" si="15"/>
        <v>1.05</v>
      </c>
      <c r="J56" s="631"/>
      <c r="K56" s="21">
        <f t="shared" si="16"/>
        <v>1</v>
      </c>
      <c r="L56" s="631"/>
      <c r="M56" s="21">
        <f t="shared" si="17"/>
        <v>1</v>
      </c>
      <c r="N56" s="631"/>
      <c r="O56" s="21">
        <f t="shared" si="18"/>
        <v>1</v>
      </c>
      <c r="P56" s="2559" t="s">
        <v>3409</v>
      </c>
      <c r="Q56" s="21">
        <f t="shared" si="19"/>
        <v>1</v>
      </c>
      <c r="R56" s="21">
        <f t="shared" ca="1" si="20"/>
        <v>14858</v>
      </c>
      <c r="S56" s="307">
        <f t="shared" ca="1" si="21"/>
        <v>73</v>
      </c>
      <c r="T56" s="3190">
        <f>面积表!A51</f>
        <v>0</v>
      </c>
    </row>
    <row r="57" spans="1:20">
      <c r="A57" s="3169" t="str">
        <f>面积表!D52</f>
        <v>222</v>
      </c>
      <c r="B57" s="52">
        <f>面积表!E52</f>
        <v>49.98</v>
      </c>
      <c r="C57" s="21">
        <f t="shared" si="12"/>
        <v>1</v>
      </c>
      <c r="D57" s="2559" t="s">
        <v>4016</v>
      </c>
      <c r="E57" s="21">
        <f t="shared" si="13"/>
        <v>1</v>
      </c>
      <c r="F57" s="2559" t="s">
        <v>21</v>
      </c>
      <c r="G57" s="21">
        <f t="shared" si="14"/>
        <v>1</v>
      </c>
      <c r="H57" s="631">
        <v>4.2</v>
      </c>
      <c r="I57" s="21">
        <f t="shared" si="15"/>
        <v>1.05</v>
      </c>
      <c r="J57" s="631"/>
      <c r="K57" s="21">
        <f t="shared" si="16"/>
        <v>1</v>
      </c>
      <c r="L57" s="631"/>
      <c r="M57" s="21">
        <f t="shared" si="17"/>
        <v>1</v>
      </c>
      <c r="N57" s="631"/>
      <c r="O57" s="21">
        <f t="shared" si="18"/>
        <v>1</v>
      </c>
      <c r="P57" s="2559" t="s">
        <v>3409</v>
      </c>
      <c r="Q57" s="21">
        <f t="shared" si="19"/>
        <v>1</v>
      </c>
      <c r="R57" s="21">
        <f t="shared" ca="1" si="20"/>
        <v>14858</v>
      </c>
      <c r="S57" s="307">
        <f t="shared" ca="1" si="21"/>
        <v>74</v>
      </c>
      <c r="T57" s="3190">
        <f>面积表!A52</f>
        <v>0</v>
      </c>
    </row>
    <row r="58" spans="1:20">
      <c r="A58" s="3169" t="str">
        <f>面积表!D53</f>
        <v>223</v>
      </c>
      <c r="B58" s="52">
        <f>面积表!E53</f>
        <v>50.24</v>
      </c>
      <c r="C58" s="21">
        <f t="shared" si="12"/>
        <v>1</v>
      </c>
      <c r="D58" s="2559" t="s">
        <v>4016</v>
      </c>
      <c r="E58" s="21">
        <f t="shared" si="13"/>
        <v>1</v>
      </c>
      <c r="F58" s="2559" t="s">
        <v>21</v>
      </c>
      <c r="G58" s="21">
        <f t="shared" si="14"/>
        <v>1</v>
      </c>
      <c r="H58" s="631">
        <v>4.2</v>
      </c>
      <c r="I58" s="21">
        <f t="shared" si="15"/>
        <v>1.05</v>
      </c>
      <c r="J58" s="631"/>
      <c r="K58" s="21">
        <f t="shared" si="16"/>
        <v>1</v>
      </c>
      <c r="L58" s="631"/>
      <c r="M58" s="21">
        <f t="shared" si="17"/>
        <v>1</v>
      </c>
      <c r="N58" s="631"/>
      <c r="O58" s="21">
        <f t="shared" si="18"/>
        <v>1</v>
      </c>
      <c r="P58" s="2559" t="s">
        <v>3409</v>
      </c>
      <c r="Q58" s="21">
        <f t="shared" si="19"/>
        <v>1</v>
      </c>
      <c r="R58" s="21">
        <f t="shared" ca="1" si="20"/>
        <v>14858</v>
      </c>
      <c r="S58" s="307">
        <f t="shared" ca="1" si="21"/>
        <v>75</v>
      </c>
      <c r="T58" s="3190">
        <f>面积表!A53</f>
        <v>0</v>
      </c>
    </row>
    <row r="59" spans="1:20">
      <c r="A59" s="3169" t="str">
        <f>面积表!D54</f>
        <v>224</v>
      </c>
      <c r="B59" s="52">
        <f>面积表!E54</f>
        <v>49.95</v>
      </c>
      <c r="C59" s="21">
        <f t="shared" si="12"/>
        <v>1</v>
      </c>
      <c r="D59" s="2559" t="s">
        <v>4016</v>
      </c>
      <c r="E59" s="21">
        <f t="shared" si="13"/>
        <v>1</v>
      </c>
      <c r="F59" s="2559" t="s">
        <v>21</v>
      </c>
      <c r="G59" s="21">
        <f t="shared" si="14"/>
        <v>1</v>
      </c>
      <c r="H59" s="631">
        <v>4.2</v>
      </c>
      <c r="I59" s="21">
        <f t="shared" si="15"/>
        <v>1.05</v>
      </c>
      <c r="J59" s="631"/>
      <c r="K59" s="21">
        <f t="shared" si="16"/>
        <v>1</v>
      </c>
      <c r="L59" s="631"/>
      <c r="M59" s="21">
        <f t="shared" si="17"/>
        <v>1</v>
      </c>
      <c r="N59" s="631"/>
      <c r="O59" s="21">
        <f t="shared" si="18"/>
        <v>1</v>
      </c>
      <c r="P59" s="2559" t="s">
        <v>3409</v>
      </c>
      <c r="Q59" s="21">
        <f t="shared" si="19"/>
        <v>1</v>
      </c>
      <c r="R59" s="21">
        <f t="shared" ca="1" si="20"/>
        <v>14858</v>
      </c>
      <c r="S59" s="307">
        <f t="shared" ca="1" si="21"/>
        <v>74</v>
      </c>
      <c r="T59" s="3190">
        <f>面积表!A54</f>
        <v>0</v>
      </c>
    </row>
    <row r="60" spans="1:20">
      <c r="A60" s="3169" t="str">
        <f>面积表!D55</f>
        <v>225</v>
      </c>
      <c r="B60" s="52">
        <f>面积表!E55</f>
        <v>49.06</v>
      </c>
      <c r="C60" s="21">
        <f t="shared" si="12"/>
        <v>1</v>
      </c>
      <c r="D60" s="2559" t="s">
        <v>4016</v>
      </c>
      <c r="E60" s="21">
        <f t="shared" si="13"/>
        <v>1</v>
      </c>
      <c r="F60" s="2559" t="s">
        <v>21</v>
      </c>
      <c r="G60" s="21">
        <f t="shared" si="14"/>
        <v>1</v>
      </c>
      <c r="H60" s="631">
        <v>4.2</v>
      </c>
      <c r="I60" s="21">
        <f t="shared" si="15"/>
        <v>1.05</v>
      </c>
      <c r="J60" s="631"/>
      <c r="K60" s="21">
        <f t="shared" si="16"/>
        <v>1</v>
      </c>
      <c r="L60" s="631"/>
      <c r="M60" s="21">
        <f t="shared" si="17"/>
        <v>1</v>
      </c>
      <c r="N60" s="631"/>
      <c r="O60" s="21">
        <f t="shared" si="18"/>
        <v>1</v>
      </c>
      <c r="P60" s="2559" t="s">
        <v>3409</v>
      </c>
      <c r="Q60" s="21">
        <f t="shared" si="19"/>
        <v>1</v>
      </c>
      <c r="R60" s="21">
        <f t="shared" ca="1" si="20"/>
        <v>14858</v>
      </c>
      <c r="S60" s="307">
        <f t="shared" ca="1" si="21"/>
        <v>73</v>
      </c>
      <c r="T60" s="3190">
        <f>面积表!A55</f>
        <v>0</v>
      </c>
    </row>
    <row r="61" spans="1:20">
      <c r="A61" s="3169" t="str">
        <f>面积表!D56</f>
        <v>226</v>
      </c>
      <c r="B61" s="52">
        <f>面积表!E56</f>
        <v>72.27</v>
      </c>
      <c r="C61" s="21">
        <f t="shared" si="12"/>
        <v>1.01</v>
      </c>
      <c r="D61" s="2559" t="s">
        <v>4016</v>
      </c>
      <c r="E61" s="21">
        <f t="shared" si="13"/>
        <v>1</v>
      </c>
      <c r="F61" s="2559" t="s">
        <v>21</v>
      </c>
      <c r="G61" s="21">
        <f t="shared" si="14"/>
        <v>1</v>
      </c>
      <c r="H61" s="631">
        <v>4.2</v>
      </c>
      <c r="I61" s="21">
        <f t="shared" si="15"/>
        <v>1.05</v>
      </c>
      <c r="J61" s="631"/>
      <c r="K61" s="21">
        <f t="shared" si="16"/>
        <v>1</v>
      </c>
      <c r="L61" s="631"/>
      <c r="M61" s="21">
        <f t="shared" si="17"/>
        <v>1</v>
      </c>
      <c r="N61" s="631"/>
      <c r="O61" s="21">
        <f t="shared" si="18"/>
        <v>1</v>
      </c>
      <c r="P61" s="2559" t="s">
        <v>3409</v>
      </c>
      <c r="Q61" s="21">
        <f t="shared" si="19"/>
        <v>1</v>
      </c>
      <c r="R61" s="21">
        <f t="shared" ca="1" si="20"/>
        <v>15006</v>
      </c>
      <c r="S61" s="307">
        <f t="shared" ca="1" si="21"/>
        <v>108</v>
      </c>
      <c r="T61" s="3190">
        <f>面积表!A56</f>
        <v>0</v>
      </c>
    </row>
    <row r="62" spans="1:20">
      <c r="A62" s="3169" t="str">
        <f>面积表!D57</f>
        <v>302</v>
      </c>
      <c r="B62" s="52">
        <f>面积表!E57</f>
        <v>49.62</v>
      </c>
      <c r="C62" s="21">
        <f t="shared" si="12"/>
        <v>1</v>
      </c>
      <c r="D62" s="2559" t="s">
        <v>4016</v>
      </c>
      <c r="E62" s="21">
        <f t="shared" si="13"/>
        <v>1</v>
      </c>
      <c r="F62" s="2559" t="s">
        <v>21</v>
      </c>
      <c r="G62" s="21">
        <f t="shared" si="14"/>
        <v>1</v>
      </c>
      <c r="H62" s="631">
        <v>3</v>
      </c>
      <c r="I62" s="21">
        <f t="shared" si="15"/>
        <v>1</v>
      </c>
      <c r="J62" s="631"/>
      <c r="K62" s="21">
        <f t="shared" si="16"/>
        <v>1</v>
      </c>
      <c r="L62" s="631"/>
      <c r="M62" s="21">
        <f t="shared" si="17"/>
        <v>1</v>
      </c>
      <c r="N62" s="631"/>
      <c r="O62" s="21">
        <f t="shared" si="18"/>
        <v>1</v>
      </c>
      <c r="P62" s="2559" t="s">
        <v>3409</v>
      </c>
      <c r="Q62" s="21">
        <f t="shared" si="19"/>
        <v>1</v>
      </c>
      <c r="R62" s="21">
        <f t="shared" ca="1" si="20"/>
        <v>14150</v>
      </c>
      <c r="S62" s="307">
        <f t="shared" ca="1" si="21"/>
        <v>70</v>
      </c>
      <c r="T62" s="3190">
        <f>面积表!A57</f>
        <v>0</v>
      </c>
    </row>
    <row r="63" spans="1:20">
      <c r="A63" s="3169" t="str">
        <f>面积表!D58</f>
        <v>303</v>
      </c>
      <c r="B63" s="52">
        <f>面积表!E58</f>
        <v>49.62</v>
      </c>
      <c r="C63" s="21">
        <f t="shared" si="12"/>
        <v>1</v>
      </c>
      <c r="D63" s="2559" t="s">
        <v>4016</v>
      </c>
      <c r="E63" s="21">
        <f t="shared" si="13"/>
        <v>1</v>
      </c>
      <c r="F63" s="2559" t="s">
        <v>21</v>
      </c>
      <c r="G63" s="21">
        <f t="shared" si="14"/>
        <v>1</v>
      </c>
      <c r="H63" s="631">
        <v>3</v>
      </c>
      <c r="I63" s="21">
        <f t="shared" si="15"/>
        <v>1</v>
      </c>
      <c r="J63" s="631"/>
      <c r="K63" s="21">
        <f t="shared" si="16"/>
        <v>1</v>
      </c>
      <c r="L63" s="631"/>
      <c r="M63" s="21">
        <f t="shared" si="17"/>
        <v>1</v>
      </c>
      <c r="N63" s="631"/>
      <c r="O63" s="21">
        <f t="shared" si="18"/>
        <v>1</v>
      </c>
      <c r="P63" s="2559" t="s">
        <v>3409</v>
      </c>
      <c r="Q63" s="21">
        <f t="shared" si="19"/>
        <v>1</v>
      </c>
      <c r="R63" s="21">
        <f t="shared" ca="1" si="20"/>
        <v>14150</v>
      </c>
      <c r="S63" s="307">
        <f t="shared" ca="1" si="21"/>
        <v>70</v>
      </c>
      <c r="T63" s="3190">
        <f>面积表!A58</f>
        <v>0</v>
      </c>
    </row>
    <row r="64" spans="1:20">
      <c r="A64" s="3169" t="str">
        <f>面积表!D59</f>
        <v>304</v>
      </c>
      <c r="B64" s="52">
        <f>面积表!E59</f>
        <v>49.62</v>
      </c>
      <c r="C64" s="21">
        <f t="shared" si="12"/>
        <v>1</v>
      </c>
      <c r="D64" s="2559" t="s">
        <v>4016</v>
      </c>
      <c r="E64" s="21">
        <f t="shared" si="13"/>
        <v>1</v>
      </c>
      <c r="F64" s="2559" t="s">
        <v>21</v>
      </c>
      <c r="G64" s="21">
        <f t="shared" si="14"/>
        <v>1</v>
      </c>
      <c r="H64" s="631">
        <v>3</v>
      </c>
      <c r="I64" s="21">
        <f t="shared" si="15"/>
        <v>1</v>
      </c>
      <c r="J64" s="631"/>
      <c r="K64" s="21">
        <f t="shared" si="16"/>
        <v>1</v>
      </c>
      <c r="L64" s="631"/>
      <c r="M64" s="21">
        <f t="shared" si="17"/>
        <v>1</v>
      </c>
      <c r="N64" s="631"/>
      <c r="O64" s="21">
        <f t="shared" si="18"/>
        <v>1</v>
      </c>
      <c r="P64" s="2559" t="s">
        <v>3409</v>
      </c>
      <c r="Q64" s="21">
        <f t="shared" si="19"/>
        <v>1</v>
      </c>
      <c r="R64" s="21">
        <f t="shared" ca="1" si="20"/>
        <v>14150</v>
      </c>
      <c r="S64" s="307">
        <f t="shared" ca="1" si="21"/>
        <v>70</v>
      </c>
      <c r="T64" s="3190">
        <f>面积表!A59</f>
        <v>0</v>
      </c>
    </row>
    <row r="65" spans="1:20">
      <c r="A65" s="3169" t="str">
        <f>面积表!D60</f>
        <v>305</v>
      </c>
      <c r="B65" s="52">
        <f>面积表!E60</f>
        <v>49.62</v>
      </c>
      <c r="C65" s="21">
        <f t="shared" si="12"/>
        <v>1</v>
      </c>
      <c r="D65" s="2559" t="s">
        <v>4016</v>
      </c>
      <c r="E65" s="21">
        <f t="shared" si="13"/>
        <v>1</v>
      </c>
      <c r="F65" s="2559" t="s">
        <v>21</v>
      </c>
      <c r="G65" s="21">
        <f t="shared" si="14"/>
        <v>1</v>
      </c>
      <c r="H65" s="631">
        <v>3</v>
      </c>
      <c r="I65" s="21">
        <f t="shared" si="15"/>
        <v>1</v>
      </c>
      <c r="J65" s="631"/>
      <c r="K65" s="21">
        <f t="shared" si="16"/>
        <v>1</v>
      </c>
      <c r="L65" s="631"/>
      <c r="M65" s="21">
        <f t="shared" si="17"/>
        <v>1</v>
      </c>
      <c r="N65" s="631"/>
      <c r="O65" s="21">
        <f t="shared" si="18"/>
        <v>1</v>
      </c>
      <c r="P65" s="2559" t="s">
        <v>3409</v>
      </c>
      <c r="Q65" s="21">
        <f t="shared" si="19"/>
        <v>1</v>
      </c>
      <c r="R65" s="21">
        <f t="shared" ca="1" si="20"/>
        <v>14150</v>
      </c>
      <c r="S65" s="307">
        <f t="shared" ca="1" si="21"/>
        <v>70</v>
      </c>
      <c r="T65" s="3190">
        <f>面积表!A60</f>
        <v>0</v>
      </c>
    </row>
    <row r="66" spans="1:20">
      <c r="A66" s="3169" t="str">
        <f>面积表!D61</f>
        <v>306</v>
      </c>
      <c r="B66" s="52">
        <f>面积表!E61</f>
        <v>49.62</v>
      </c>
      <c r="C66" s="21">
        <f t="shared" si="12"/>
        <v>1</v>
      </c>
      <c r="D66" s="2559" t="s">
        <v>4016</v>
      </c>
      <c r="E66" s="21">
        <f t="shared" si="13"/>
        <v>1</v>
      </c>
      <c r="F66" s="2559" t="s">
        <v>21</v>
      </c>
      <c r="G66" s="21">
        <f t="shared" si="14"/>
        <v>1</v>
      </c>
      <c r="H66" s="631">
        <v>3</v>
      </c>
      <c r="I66" s="21">
        <f t="shared" si="15"/>
        <v>1</v>
      </c>
      <c r="J66" s="631"/>
      <c r="K66" s="21">
        <f t="shared" si="16"/>
        <v>1</v>
      </c>
      <c r="L66" s="631"/>
      <c r="M66" s="21">
        <f t="shared" si="17"/>
        <v>1</v>
      </c>
      <c r="N66" s="631"/>
      <c r="O66" s="21">
        <f t="shared" si="18"/>
        <v>1</v>
      </c>
      <c r="P66" s="2559" t="s">
        <v>3409</v>
      </c>
      <c r="Q66" s="21">
        <f t="shared" si="19"/>
        <v>1</v>
      </c>
      <c r="R66" s="21">
        <f t="shared" ca="1" si="20"/>
        <v>14150</v>
      </c>
      <c r="S66" s="307">
        <f t="shared" ca="1" si="21"/>
        <v>70</v>
      </c>
      <c r="T66" s="3190">
        <f>面积表!A61</f>
        <v>0</v>
      </c>
    </row>
    <row r="67" spans="1:20">
      <c r="A67" s="3169" t="str">
        <f>面积表!D62</f>
        <v>307</v>
      </c>
      <c r="B67" s="52">
        <f>面积表!E62</f>
        <v>49.62</v>
      </c>
      <c r="C67" s="21">
        <f t="shared" si="12"/>
        <v>1</v>
      </c>
      <c r="D67" s="2559" t="s">
        <v>4016</v>
      </c>
      <c r="E67" s="21">
        <f t="shared" si="13"/>
        <v>1</v>
      </c>
      <c r="F67" s="2559" t="s">
        <v>21</v>
      </c>
      <c r="G67" s="21">
        <f t="shared" si="14"/>
        <v>1</v>
      </c>
      <c r="H67" s="631">
        <v>3</v>
      </c>
      <c r="I67" s="21">
        <f t="shared" si="15"/>
        <v>1</v>
      </c>
      <c r="J67" s="631"/>
      <c r="K67" s="21">
        <f t="shared" si="16"/>
        <v>1</v>
      </c>
      <c r="L67" s="631"/>
      <c r="M67" s="21">
        <f t="shared" si="17"/>
        <v>1</v>
      </c>
      <c r="N67" s="631"/>
      <c r="O67" s="21">
        <f t="shared" si="18"/>
        <v>1</v>
      </c>
      <c r="P67" s="2559" t="s">
        <v>3409</v>
      </c>
      <c r="Q67" s="21">
        <f t="shared" si="19"/>
        <v>1</v>
      </c>
      <c r="R67" s="21">
        <f t="shared" ca="1" si="20"/>
        <v>14150</v>
      </c>
      <c r="S67" s="307">
        <f t="shared" ca="1" si="21"/>
        <v>70</v>
      </c>
      <c r="T67" s="3190">
        <f>面积表!A62</f>
        <v>0</v>
      </c>
    </row>
    <row r="68" spans="1:20">
      <c r="A68" s="3169" t="str">
        <f>面积表!D63</f>
        <v>308</v>
      </c>
      <c r="B68" s="52">
        <f>面积表!E63</f>
        <v>49.62</v>
      </c>
      <c r="C68" s="21">
        <f t="shared" si="12"/>
        <v>1</v>
      </c>
      <c r="D68" s="2559" t="s">
        <v>4016</v>
      </c>
      <c r="E68" s="21">
        <f t="shared" si="13"/>
        <v>1</v>
      </c>
      <c r="F68" s="2559" t="s">
        <v>21</v>
      </c>
      <c r="G68" s="21">
        <f t="shared" si="14"/>
        <v>1</v>
      </c>
      <c r="H68" s="631">
        <v>3</v>
      </c>
      <c r="I68" s="21">
        <f t="shared" si="15"/>
        <v>1</v>
      </c>
      <c r="J68" s="631"/>
      <c r="K68" s="21">
        <f t="shared" si="16"/>
        <v>1</v>
      </c>
      <c r="L68" s="631"/>
      <c r="M68" s="21">
        <f t="shared" si="17"/>
        <v>1</v>
      </c>
      <c r="N68" s="631"/>
      <c r="O68" s="21">
        <f t="shared" si="18"/>
        <v>1</v>
      </c>
      <c r="P68" s="2559" t="s">
        <v>3409</v>
      </c>
      <c r="Q68" s="21">
        <f t="shared" si="19"/>
        <v>1</v>
      </c>
      <c r="R68" s="21">
        <f t="shared" ca="1" si="20"/>
        <v>14150</v>
      </c>
      <c r="S68" s="307">
        <f t="shared" ca="1" si="21"/>
        <v>70</v>
      </c>
      <c r="T68" s="3190">
        <f>面积表!A63</f>
        <v>0</v>
      </c>
    </row>
    <row r="69" spans="1:20">
      <c r="A69" s="3169" t="str">
        <f>面积表!D64</f>
        <v>309</v>
      </c>
      <c r="B69" s="52">
        <f>面积表!E64</f>
        <v>49.62</v>
      </c>
      <c r="C69" s="21">
        <f t="shared" si="12"/>
        <v>1</v>
      </c>
      <c r="D69" s="2559" t="s">
        <v>4016</v>
      </c>
      <c r="E69" s="21">
        <f t="shared" si="13"/>
        <v>1</v>
      </c>
      <c r="F69" s="2559" t="s">
        <v>21</v>
      </c>
      <c r="G69" s="21">
        <f t="shared" si="14"/>
        <v>1</v>
      </c>
      <c r="H69" s="631">
        <v>3</v>
      </c>
      <c r="I69" s="21">
        <f t="shared" si="15"/>
        <v>1</v>
      </c>
      <c r="J69" s="631"/>
      <c r="K69" s="21">
        <f t="shared" si="16"/>
        <v>1</v>
      </c>
      <c r="L69" s="631"/>
      <c r="M69" s="21">
        <f t="shared" si="17"/>
        <v>1</v>
      </c>
      <c r="N69" s="631"/>
      <c r="O69" s="21">
        <f t="shared" si="18"/>
        <v>1</v>
      </c>
      <c r="P69" s="2559" t="s">
        <v>3409</v>
      </c>
      <c r="Q69" s="21">
        <f t="shared" si="19"/>
        <v>1</v>
      </c>
      <c r="R69" s="21">
        <f t="shared" ca="1" si="20"/>
        <v>14150</v>
      </c>
      <c r="S69" s="307">
        <f t="shared" ca="1" si="21"/>
        <v>70</v>
      </c>
      <c r="T69" s="3190">
        <f>面积表!A64</f>
        <v>0</v>
      </c>
    </row>
    <row r="70" spans="1:20">
      <c r="A70" s="3169" t="str">
        <f>面积表!D65</f>
        <v>310</v>
      </c>
      <c r="B70" s="52">
        <f>面积表!E65</f>
        <v>49.62</v>
      </c>
      <c r="C70" s="21">
        <f t="shared" si="12"/>
        <v>1</v>
      </c>
      <c r="D70" s="2559" t="s">
        <v>4016</v>
      </c>
      <c r="E70" s="21">
        <f t="shared" si="13"/>
        <v>1</v>
      </c>
      <c r="F70" s="2559" t="s">
        <v>21</v>
      </c>
      <c r="G70" s="21">
        <f t="shared" si="14"/>
        <v>1</v>
      </c>
      <c r="H70" s="631">
        <v>3</v>
      </c>
      <c r="I70" s="21">
        <f t="shared" si="15"/>
        <v>1</v>
      </c>
      <c r="J70" s="631"/>
      <c r="K70" s="21">
        <f t="shared" si="16"/>
        <v>1</v>
      </c>
      <c r="L70" s="631"/>
      <c r="M70" s="21">
        <f t="shared" si="17"/>
        <v>1</v>
      </c>
      <c r="N70" s="631"/>
      <c r="O70" s="21">
        <f t="shared" si="18"/>
        <v>1</v>
      </c>
      <c r="P70" s="2559" t="s">
        <v>3409</v>
      </c>
      <c r="Q70" s="21">
        <f t="shared" si="19"/>
        <v>1</v>
      </c>
      <c r="R70" s="21">
        <f t="shared" ca="1" si="20"/>
        <v>14150</v>
      </c>
      <c r="S70" s="307">
        <f t="shared" ca="1" si="21"/>
        <v>70</v>
      </c>
      <c r="T70" s="3190">
        <f>面积表!A65</f>
        <v>0</v>
      </c>
    </row>
    <row r="71" spans="1:20">
      <c r="A71" s="3169" t="str">
        <f>面积表!D66</f>
        <v>311</v>
      </c>
      <c r="B71" s="52">
        <f>面积表!E66</f>
        <v>49.62</v>
      </c>
      <c r="C71" s="21">
        <f t="shared" si="12"/>
        <v>1</v>
      </c>
      <c r="D71" s="2559" t="s">
        <v>4016</v>
      </c>
      <c r="E71" s="21">
        <f t="shared" si="13"/>
        <v>1</v>
      </c>
      <c r="F71" s="2559" t="s">
        <v>21</v>
      </c>
      <c r="G71" s="21">
        <f t="shared" si="14"/>
        <v>1</v>
      </c>
      <c r="H71" s="631">
        <v>3</v>
      </c>
      <c r="I71" s="21">
        <f t="shared" si="15"/>
        <v>1</v>
      </c>
      <c r="J71" s="631"/>
      <c r="K71" s="21">
        <f t="shared" si="16"/>
        <v>1</v>
      </c>
      <c r="L71" s="631"/>
      <c r="M71" s="21">
        <f t="shared" si="17"/>
        <v>1</v>
      </c>
      <c r="N71" s="631"/>
      <c r="O71" s="21">
        <f t="shared" si="18"/>
        <v>1</v>
      </c>
      <c r="P71" s="2559" t="s">
        <v>3409</v>
      </c>
      <c r="Q71" s="21">
        <f t="shared" si="19"/>
        <v>1</v>
      </c>
      <c r="R71" s="21">
        <f t="shared" ca="1" si="20"/>
        <v>14150</v>
      </c>
      <c r="S71" s="307">
        <f t="shared" ca="1" si="21"/>
        <v>70</v>
      </c>
      <c r="T71" s="3190">
        <f>面积表!A66</f>
        <v>0</v>
      </c>
    </row>
    <row r="72" spans="1:20">
      <c r="A72" s="3169" t="str">
        <f>面积表!D67</f>
        <v>312</v>
      </c>
      <c r="B72" s="52">
        <f>面积表!E67</f>
        <v>49.62</v>
      </c>
      <c r="C72" s="21">
        <f t="shared" si="12"/>
        <v>1</v>
      </c>
      <c r="D72" s="2559" t="s">
        <v>4016</v>
      </c>
      <c r="E72" s="21">
        <f t="shared" si="13"/>
        <v>1</v>
      </c>
      <c r="F72" s="2559" t="s">
        <v>21</v>
      </c>
      <c r="G72" s="21">
        <f t="shared" si="14"/>
        <v>1</v>
      </c>
      <c r="H72" s="631">
        <v>3</v>
      </c>
      <c r="I72" s="21">
        <f t="shared" si="15"/>
        <v>1</v>
      </c>
      <c r="J72" s="631"/>
      <c r="K72" s="21">
        <f t="shared" si="16"/>
        <v>1</v>
      </c>
      <c r="L72" s="631"/>
      <c r="M72" s="21">
        <f t="shared" si="17"/>
        <v>1</v>
      </c>
      <c r="N72" s="631"/>
      <c r="O72" s="21">
        <f t="shared" si="18"/>
        <v>1</v>
      </c>
      <c r="P72" s="2559" t="s">
        <v>3409</v>
      </c>
      <c r="Q72" s="21">
        <f t="shared" si="19"/>
        <v>1</v>
      </c>
      <c r="R72" s="21">
        <f t="shared" ca="1" si="20"/>
        <v>14150</v>
      </c>
      <c r="S72" s="307">
        <f t="shared" ca="1" si="21"/>
        <v>70</v>
      </c>
      <c r="T72" s="3190">
        <f>面积表!A67</f>
        <v>0</v>
      </c>
    </row>
    <row r="73" spans="1:20">
      <c r="A73" s="3169" t="str">
        <f>面积表!D68</f>
        <v>313</v>
      </c>
      <c r="B73" s="52">
        <f>面积表!E68</f>
        <v>49.62</v>
      </c>
      <c r="C73" s="21">
        <f t="shared" si="12"/>
        <v>1</v>
      </c>
      <c r="D73" s="2559" t="s">
        <v>4016</v>
      </c>
      <c r="E73" s="21">
        <f t="shared" si="13"/>
        <v>1</v>
      </c>
      <c r="F73" s="2559" t="s">
        <v>21</v>
      </c>
      <c r="G73" s="21">
        <f t="shared" si="14"/>
        <v>1</v>
      </c>
      <c r="H73" s="631">
        <v>3</v>
      </c>
      <c r="I73" s="21">
        <f t="shared" si="15"/>
        <v>1</v>
      </c>
      <c r="J73" s="631"/>
      <c r="K73" s="21">
        <f t="shared" si="16"/>
        <v>1</v>
      </c>
      <c r="L73" s="631"/>
      <c r="M73" s="21">
        <f t="shared" si="17"/>
        <v>1</v>
      </c>
      <c r="N73" s="631"/>
      <c r="O73" s="21">
        <f t="shared" si="18"/>
        <v>1</v>
      </c>
      <c r="P73" s="2559" t="s">
        <v>3409</v>
      </c>
      <c r="Q73" s="21">
        <f t="shared" si="19"/>
        <v>1</v>
      </c>
      <c r="R73" s="21">
        <f t="shared" ca="1" si="20"/>
        <v>14150</v>
      </c>
      <c r="S73" s="307">
        <f t="shared" ca="1" si="21"/>
        <v>70</v>
      </c>
      <c r="T73" s="3190">
        <f>面积表!A68</f>
        <v>0</v>
      </c>
    </row>
    <row r="74" spans="1:20">
      <c r="A74" s="3169" t="str">
        <f>面积表!D69</f>
        <v>314</v>
      </c>
      <c r="B74" s="52">
        <f>面积表!E69</f>
        <v>49.62</v>
      </c>
      <c r="C74" s="21">
        <f t="shared" si="12"/>
        <v>1</v>
      </c>
      <c r="D74" s="2559" t="s">
        <v>4016</v>
      </c>
      <c r="E74" s="21">
        <f t="shared" si="13"/>
        <v>1</v>
      </c>
      <c r="F74" s="2559" t="s">
        <v>21</v>
      </c>
      <c r="G74" s="21">
        <f t="shared" si="14"/>
        <v>1</v>
      </c>
      <c r="H74" s="631">
        <v>3</v>
      </c>
      <c r="I74" s="21">
        <f t="shared" si="15"/>
        <v>1</v>
      </c>
      <c r="J74" s="631"/>
      <c r="K74" s="21">
        <f t="shared" si="16"/>
        <v>1</v>
      </c>
      <c r="L74" s="631"/>
      <c r="M74" s="21">
        <f t="shared" si="17"/>
        <v>1</v>
      </c>
      <c r="N74" s="631"/>
      <c r="O74" s="21">
        <f t="shared" si="18"/>
        <v>1</v>
      </c>
      <c r="P74" s="2559" t="s">
        <v>3409</v>
      </c>
      <c r="Q74" s="21">
        <f t="shared" si="19"/>
        <v>1</v>
      </c>
      <c r="R74" s="21">
        <f t="shared" ca="1" si="20"/>
        <v>14150</v>
      </c>
      <c r="S74" s="307">
        <f t="shared" ca="1" si="21"/>
        <v>70</v>
      </c>
      <c r="T74" s="3190">
        <f>面积表!A69</f>
        <v>0</v>
      </c>
    </row>
    <row r="75" spans="1:20">
      <c r="A75" s="3169" t="str">
        <f>面积表!D70</f>
        <v>315</v>
      </c>
      <c r="B75" s="52">
        <f>面积表!E70</f>
        <v>49.62</v>
      </c>
      <c r="C75" s="21">
        <f t="shared" si="12"/>
        <v>1</v>
      </c>
      <c r="D75" s="2559" t="s">
        <v>4016</v>
      </c>
      <c r="E75" s="21">
        <f t="shared" si="13"/>
        <v>1</v>
      </c>
      <c r="F75" s="2559" t="s">
        <v>21</v>
      </c>
      <c r="G75" s="21">
        <f t="shared" si="14"/>
        <v>1</v>
      </c>
      <c r="H75" s="631">
        <v>3</v>
      </c>
      <c r="I75" s="21">
        <f t="shared" si="15"/>
        <v>1</v>
      </c>
      <c r="J75" s="631"/>
      <c r="K75" s="21">
        <f t="shared" si="16"/>
        <v>1</v>
      </c>
      <c r="L75" s="631"/>
      <c r="M75" s="21">
        <f t="shared" si="17"/>
        <v>1</v>
      </c>
      <c r="N75" s="631"/>
      <c r="O75" s="21">
        <f t="shared" si="18"/>
        <v>1</v>
      </c>
      <c r="P75" s="2559" t="s">
        <v>3409</v>
      </c>
      <c r="Q75" s="21">
        <f t="shared" si="19"/>
        <v>1</v>
      </c>
      <c r="R75" s="21">
        <f t="shared" ca="1" si="20"/>
        <v>14150</v>
      </c>
      <c r="S75" s="307">
        <f t="shared" ca="1" si="21"/>
        <v>70</v>
      </c>
      <c r="T75" s="3190">
        <f>面积表!A70</f>
        <v>0</v>
      </c>
    </row>
    <row r="76" spans="1:20">
      <c r="A76" s="3169" t="str">
        <f>面积表!D71</f>
        <v>316</v>
      </c>
      <c r="B76" s="52">
        <f>面积表!E71</f>
        <v>68.78</v>
      </c>
      <c r="C76" s="21">
        <f t="shared" si="12"/>
        <v>1.01</v>
      </c>
      <c r="D76" s="2559" t="s">
        <v>4016</v>
      </c>
      <c r="E76" s="21">
        <f t="shared" si="13"/>
        <v>1</v>
      </c>
      <c r="F76" s="2559" t="s">
        <v>21</v>
      </c>
      <c r="G76" s="21">
        <f t="shared" si="14"/>
        <v>1</v>
      </c>
      <c r="H76" s="631">
        <v>3</v>
      </c>
      <c r="I76" s="21">
        <f t="shared" si="15"/>
        <v>1</v>
      </c>
      <c r="J76" s="631"/>
      <c r="K76" s="21">
        <f t="shared" si="16"/>
        <v>1</v>
      </c>
      <c r="L76" s="631"/>
      <c r="M76" s="21">
        <f t="shared" si="17"/>
        <v>1</v>
      </c>
      <c r="N76" s="631"/>
      <c r="O76" s="21">
        <f t="shared" si="18"/>
        <v>1</v>
      </c>
      <c r="P76" s="2559" t="s">
        <v>3409</v>
      </c>
      <c r="Q76" s="21">
        <f t="shared" si="19"/>
        <v>1</v>
      </c>
      <c r="R76" s="21">
        <f t="shared" ca="1" si="20"/>
        <v>14292</v>
      </c>
      <c r="S76" s="307">
        <f t="shared" ca="1" si="21"/>
        <v>98</v>
      </c>
      <c r="T76" s="3190">
        <f>面积表!A71</f>
        <v>0</v>
      </c>
    </row>
    <row r="77" spans="1:20">
      <c r="A77" s="3169" t="str">
        <f>面积表!D72</f>
        <v>317</v>
      </c>
      <c r="B77" s="52">
        <f>面积表!E72</f>
        <v>38.1</v>
      </c>
      <c r="C77" s="21">
        <f t="shared" si="12"/>
        <v>1</v>
      </c>
      <c r="D77" s="2559" t="s">
        <v>4016</v>
      </c>
      <c r="E77" s="21">
        <f t="shared" si="13"/>
        <v>1</v>
      </c>
      <c r="F77" s="2559" t="s">
        <v>21</v>
      </c>
      <c r="G77" s="21">
        <f t="shared" si="14"/>
        <v>1</v>
      </c>
      <c r="H77" s="631">
        <v>3</v>
      </c>
      <c r="I77" s="21">
        <f t="shared" si="15"/>
        <v>1</v>
      </c>
      <c r="J77" s="631"/>
      <c r="K77" s="21">
        <f t="shared" si="16"/>
        <v>1</v>
      </c>
      <c r="L77" s="631"/>
      <c r="M77" s="21">
        <f t="shared" si="17"/>
        <v>1</v>
      </c>
      <c r="N77" s="631"/>
      <c r="O77" s="21">
        <f t="shared" si="18"/>
        <v>1</v>
      </c>
      <c r="P77" s="2559" t="s">
        <v>3409</v>
      </c>
      <c r="Q77" s="21">
        <f t="shared" si="19"/>
        <v>1</v>
      </c>
      <c r="R77" s="21">
        <f t="shared" ca="1" si="20"/>
        <v>14150</v>
      </c>
      <c r="S77" s="307">
        <f t="shared" ca="1" si="21"/>
        <v>54</v>
      </c>
      <c r="T77" s="3190">
        <f>面积表!A72</f>
        <v>0</v>
      </c>
    </row>
    <row r="78" spans="1:20">
      <c r="A78" s="3169" t="str">
        <f>面积表!D73</f>
        <v>318</v>
      </c>
      <c r="B78" s="52">
        <f>面积表!E73</f>
        <v>41.4</v>
      </c>
      <c r="C78" s="21">
        <f t="shared" si="12"/>
        <v>1</v>
      </c>
      <c r="D78" s="2559" t="s">
        <v>4016</v>
      </c>
      <c r="E78" s="21">
        <f t="shared" si="13"/>
        <v>1</v>
      </c>
      <c r="F78" s="2559" t="s">
        <v>21</v>
      </c>
      <c r="G78" s="21">
        <f t="shared" si="14"/>
        <v>1</v>
      </c>
      <c r="H78" s="631">
        <v>3</v>
      </c>
      <c r="I78" s="21">
        <f t="shared" si="15"/>
        <v>1</v>
      </c>
      <c r="J78" s="631"/>
      <c r="K78" s="21">
        <f t="shared" si="16"/>
        <v>1</v>
      </c>
      <c r="L78" s="631"/>
      <c r="M78" s="21">
        <f t="shared" si="17"/>
        <v>1</v>
      </c>
      <c r="N78" s="631"/>
      <c r="O78" s="21">
        <f t="shared" si="18"/>
        <v>1</v>
      </c>
      <c r="P78" s="2559" t="s">
        <v>3409</v>
      </c>
      <c r="Q78" s="21">
        <f t="shared" si="19"/>
        <v>1</v>
      </c>
      <c r="R78" s="21">
        <f t="shared" ca="1" si="20"/>
        <v>14150</v>
      </c>
      <c r="S78" s="307">
        <f t="shared" ref="S78:S122" ca="1" si="22">ROUND(R78*B78/10000,0)</f>
        <v>59</v>
      </c>
      <c r="T78" s="3190">
        <f>面积表!A73</f>
        <v>0</v>
      </c>
    </row>
    <row r="79" spans="1:20">
      <c r="A79" s="3169" t="str">
        <f>面积表!D74</f>
        <v>319</v>
      </c>
      <c r="B79" s="52">
        <f>面积表!E74</f>
        <v>44.09</v>
      </c>
      <c r="C79" s="21">
        <f t="shared" si="12"/>
        <v>1</v>
      </c>
      <c r="D79" s="2559" t="s">
        <v>4016</v>
      </c>
      <c r="E79" s="21">
        <f t="shared" si="13"/>
        <v>1</v>
      </c>
      <c r="F79" s="2559" t="s">
        <v>21</v>
      </c>
      <c r="G79" s="21">
        <f t="shared" si="14"/>
        <v>1</v>
      </c>
      <c r="H79" s="631">
        <v>3</v>
      </c>
      <c r="I79" s="21">
        <f t="shared" si="15"/>
        <v>1</v>
      </c>
      <c r="J79" s="631"/>
      <c r="K79" s="21">
        <f t="shared" si="16"/>
        <v>1</v>
      </c>
      <c r="L79" s="631"/>
      <c r="M79" s="21">
        <f t="shared" si="17"/>
        <v>1</v>
      </c>
      <c r="N79" s="631"/>
      <c r="O79" s="21">
        <f t="shared" si="18"/>
        <v>1</v>
      </c>
      <c r="P79" s="2559" t="s">
        <v>3409</v>
      </c>
      <c r="Q79" s="21">
        <f t="shared" si="19"/>
        <v>1</v>
      </c>
      <c r="R79" s="21">
        <f t="shared" ca="1" si="20"/>
        <v>14150</v>
      </c>
      <c r="S79" s="307">
        <f t="shared" ca="1" si="22"/>
        <v>62</v>
      </c>
      <c r="T79" s="3190">
        <f>面积表!A74</f>
        <v>0</v>
      </c>
    </row>
    <row r="80" spans="1:20">
      <c r="A80" s="3169" t="str">
        <f>面积表!D75</f>
        <v>320</v>
      </c>
      <c r="B80" s="52">
        <f>面积表!E75</f>
        <v>46.17</v>
      </c>
      <c r="C80" s="21">
        <f t="shared" si="12"/>
        <v>1</v>
      </c>
      <c r="D80" s="2559" t="s">
        <v>4016</v>
      </c>
      <c r="E80" s="21">
        <f t="shared" si="13"/>
        <v>1</v>
      </c>
      <c r="F80" s="2559" t="s">
        <v>21</v>
      </c>
      <c r="G80" s="21">
        <f t="shared" si="14"/>
        <v>1</v>
      </c>
      <c r="H80" s="631">
        <v>3</v>
      </c>
      <c r="I80" s="21">
        <f t="shared" si="15"/>
        <v>1</v>
      </c>
      <c r="J80" s="631"/>
      <c r="K80" s="21">
        <f t="shared" si="16"/>
        <v>1</v>
      </c>
      <c r="L80" s="631"/>
      <c r="M80" s="21">
        <f t="shared" si="17"/>
        <v>1</v>
      </c>
      <c r="N80" s="631"/>
      <c r="O80" s="21">
        <f t="shared" si="18"/>
        <v>1</v>
      </c>
      <c r="P80" s="2559" t="s">
        <v>3409</v>
      </c>
      <c r="Q80" s="21">
        <f t="shared" si="19"/>
        <v>1</v>
      </c>
      <c r="R80" s="21">
        <f t="shared" ca="1" si="20"/>
        <v>14150</v>
      </c>
      <c r="S80" s="307">
        <f t="shared" ca="1" si="22"/>
        <v>65</v>
      </c>
      <c r="T80" s="3190">
        <f>面积表!A75</f>
        <v>0</v>
      </c>
    </row>
    <row r="81" spans="1:20">
      <c r="A81" s="3169" t="str">
        <f>面积表!D76</f>
        <v>321</v>
      </c>
      <c r="B81" s="52">
        <f>面积表!E76</f>
        <v>47.65</v>
      </c>
      <c r="C81" s="21">
        <f t="shared" si="12"/>
        <v>1</v>
      </c>
      <c r="D81" s="2559" t="s">
        <v>4016</v>
      </c>
      <c r="E81" s="21">
        <f t="shared" si="13"/>
        <v>1</v>
      </c>
      <c r="F81" s="2559" t="s">
        <v>21</v>
      </c>
      <c r="G81" s="21">
        <f t="shared" si="14"/>
        <v>1</v>
      </c>
      <c r="H81" s="631">
        <v>3</v>
      </c>
      <c r="I81" s="21">
        <f t="shared" si="15"/>
        <v>1</v>
      </c>
      <c r="J81" s="631"/>
      <c r="K81" s="21">
        <f t="shared" si="16"/>
        <v>1</v>
      </c>
      <c r="L81" s="631"/>
      <c r="M81" s="21">
        <f t="shared" si="17"/>
        <v>1</v>
      </c>
      <c r="N81" s="631"/>
      <c r="O81" s="21">
        <f t="shared" si="18"/>
        <v>1</v>
      </c>
      <c r="P81" s="2559" t="s">
        <v>3409</v>
      </c>
      <c r="Q81" s="21">
        <f t="shared" si="19"/>
        <v>1</v>
      </c>
      <c r="R81" s="21">
        <f t="shared" ca="1" si="20"/>
        <v>14150</v>
      </c>
      <c r="S81" s="307">
        <f t="shared" ca="1" si="22"/>
        <v>67</v>
      </c>
      <c r="T81" s="3190">
        <f>面积表!A76</f>
        <v>0</v>
      </c>
    </row>
    <row r="82" spans="1:20">
      <c r="A82" s="3169" t="str">
        <f>面积表!D77</f>
        <v>322</v>
      </c>
      <c r="B82" s="52">
        <f>面积表!E77</f>
        <v>48.6</v>
      </c>
      <c r="C82" s="21">
        <f t="shared" si="12"/>
        <v>1</v>
      </c>
      <c r="D82" s="2559" t="s">
        <v>4016</v>
      </c>
      <c r="E82" s="21">
        <f t="shared" si="13"/>
        <v>1</v>
      </c>
      <c r="F82" s="2559" t="s">
        <v>21</v>
      </c>
      <c r="G82" s="21">
        <f t="shared" si="14"/>
        <v>1</v>
      </c>
      <c r="H82" s="631">
        <v>3</v>
      </c>
      <c r="I82" s="21">
        <f t="shared" si="15"/>
        <v>1</v>
      </c>
      <c r="J82" s="631"/>
      <c r="K82" s="21">
        <f t="shared" si="16"/>
        <v>1</v>
      </c>
      <c r="L82" s="631"/>
      <c r="M82" s="21">
        <f t="shared" si="17"/>
        <v>1</v>
      </c>
      <c r="N82" s="631"/>
      <c r="O82" s="21">
        <f t="shared" si="18"/>
        <v>1</v>
      </c>
      <c r="P82" s="2559" t="s">
        <v>3409</v>
      </c>
      <c r="Q82" s="21">
        <f t="shared" si="19"/>
        <v>1</v>
      </c>
      <c r="R82" s="21">
        <f t="shared" ca="1" si="20"/>
        <v>14150</v>
      </c>
      <c r="S82" s="307">
        <f t="shared" ca="1" si="22"/>
        <v>69</v>
      </c>
      <c r="T82" s="3190">
        <f>面积表!A77</f>
        <v>0</v>
      </c>
    </row>
    <row r="83" spans="1:20">
      <c r="A83" s="3169" t="str">
        <f>面积表!D78</f>
        <v>323</v>
      </c>
      <c r="B83" s="52">
        <f>面积表!E78</f>
        <v>48.89</v>
      </c>
      <c r="C83" s="21">
        <f t="shared" si="12"/>
        <v>1</v>
      </c>
      <c r="D83" s="2559" t="s">
        <v>4016</v>
      </c>
      <c r="E83" s="21">
        <f t="shared" si="13"/>
        <v>1</v>
      </c>
      <c r="F83" s="2559" t="s">
        <v>21</v>
      </c>
      <c r="G83" s="21">
        <f t="shared" si="14"/>
        <v>1</v>
      </c>
      <c r="H83" s="631">
        <v>3</v>
      </c>
      <c r="I83" s="21">
        <f t="shared" si="15"/>
        <v>1</v>
      </c>
      <c r="J83" s="631"/>
      <c r="K83" s="21">
        <f t="shared" si="16"/>
        <v>1</v>
      </c>
      <c r="L83" s="631"/>
      <c r="M83" s="21">
        <f t="shared" si="17"/>
        <v>1</v>
      </c>
      <c r="N83" s="631"/>
      <c r="O83" s="21">
        <f t="shared" si="18"/>
        <v>1</v>
      </c>
      <c r="P83" s="2559" t="s">
        <v>3409</v>
      </c>
      <c r="Q83" s="21">
        <f t="shared" si="19"/>
        <v>1</v>
      </c>
      <c r="R83" s="21">
        <f t="shared" ca="1" si="20"/>
        <v>14150</v>
      </c>
      <c r="S83" s="307">
        <f t="shared" ca="1" si="22"/>
        <v>69</v>
      </c>
      <c r="T83" s="3190">
        <f>面积表!A78</f>
        <v>0</v>
      </c>
    </row>
    <row r="84" spans="1:20">
      <c r="A84" s="3169" t="str">
        <f>面积表!D79</f>
        <v>324</v>
      </c>
      <c r="B84" s="52">
        <f>面积表!E79</f>
        <v>48.59</v>
      </c>
      <c r="C84" s="21">
        <f t="shared" si="12"/>
        <v>1</v>
      </c>
      <c r="D84" s="2559" t="s">
        <v>4016</v>
      </c>
      <c r="E84" s="21">
        <f t="shared" si="13"/>
        <v>1</v>
      </c>
      <c r="F84" s="2559" t="s">
        <v>21</v>
      </c>
      <c r="G84" s="21">
        <f t="shared" si="14"/>
        <v>1</v>
      </c>
      <c r="H84" s="631">
        <v>3</v>
      </c>
      <c r="I84" s="21">
        <f t="shared" si="15"/>
        <v>1</v>
      </c>
      <c r="J84" s="631"/>
      <c r="K84" s="21">
        <f t="shared" si="16"/>
        <v>1</v>
      </c>
      <c r="L84" s="631"/>
      <c r="M84" s="21">
        <f t="shared" si="17"/>
        <v>1</v>
      </c>
      <c r="N84" s="631"/>
      <c r="O84" s="21">
        <f t="shared" si="18"/>
        <v>1</v>
      </c>
      <c r="P84" s="2559" t="s">
        <v>3409</v>
      </c>
      <c r="Q84" s="21">
        <f t="shared" si="19"/>
        <v>1</v>
      </c>
      <c r="R84" s="21">
        <f t="shared" ca="1" si="20"/>
        <v>14150</v>
      </c>
      <c r="S84" s="307">
        <f t="shared" ca="1" si="22"/>
        <v>69</v>
      </c>
      <c r="T84" s="3190">
        <f>面积表!A79</f>
        <v>0</v>
      </c>
    </row>
    <row r="85" spans="1:20">
      <c r="A85" s="3169" t="str">
        <f>面积表!D80</f>
        <v>325</v>
      </c>
      <c r="B85" s="52">
        <f>面积表!E80</f>
        <v>47.73</v>
      </c>
      <c r="C85" s="21">
        <f t="shared" si="12"/>
        <v>1</v>
      </c>
      <c r="D85" s="2559" t="s">
        <v>4016</v>
      </c>
      <c r="E85" s="21">
        <f t="shared" si="13"/>
        <v>1</v>
      </c>
      <c r="F85" s="2559" t="s">
        <v>21</v>
      </c>
      <c r="G85" s="21">
        <f t="shared" si="14"/>
        <v>1</v>
      </c>
      <c r="H85" s="631">
        <v>3</v>
      </c>
      <c r="I85" s="21">
        <f t="shared" si="15"/>
        <v>1</v>
      </c>
      <c r="J85" s="631"/>
      <c r="K85" s="21">
        <f t="shared" si="16"/>
        <v>1</v>
      </c>
      <c r="L85" s="631"/>
      <c r="M85" s="21">
        <f t="shared" si="17"/>
        <v>1</v>
      </c>
      <c r="N85" s="631"/>
      <c r="O85" s="21">
        <f t="shared" si="18"/>
        <v>1</v>
      </c>
      <c r="P85" s="2559" t="s">
        <v>3409</v>
      </c>
      <c r="Q85" s="21">
        <f t="shared" si="19"/>
        <v>1</v>
      </c>
      <c r="R85" s="21">
        <f t="shared" ca="1" si="20"/>
        <v>14150</v>
      </c>
      <c r="S85" s="307">
        <f t="shared" ca="1" si="22"/>
        <v>68</v>
      </c>
      <c r="T85" s="3190">
        <f>面积表!A80</f>
        <v>0</v>
      </c>
    </row>
    <row r="86" spans="1:20">
      <c r="A86" s="3169" t="str">
        <f>面积表!D81</f>
        <v>326</v>
      </c>
      <c r="B86" s="52">
        <f>面积表!E81</f>
        <v>70.2</v>
      </c>
      <c r="C86" s="21">
        <f t="shared" si="12"/>
        <v>1.01</v>
      </c>
      <c r="D86" s="2559" t="s">
        <v>4016</v>
      </c>
      <c r="E86" s="21">
        <f t="shared" si="13"/>
        <v>1</v>
      </c>
      <c r="F86" s="2559" t="s">
        <v>21</v>
      </c>
      <c r="G86" s="21">
        <f t="shared" si="14"/>
        <v>1</v>
      </c>
      <c r="H86" s="631">
        <v>3</v>
      </c>
      <c r="I86" s="21">
        <f t="shared" si="15"/>
        <v>1</v>
      </c>
      <c r="J86" s="631"/>
      <c r="K86" s="21">
        <f t="shared" si="16"/>
        <v>1</v>
      </c>
      <c r="L86" s="631"/>
      <c r="M86" s="21">
        <f t="shared" si="17"/>
        <v>1</v>
      </c>
      <c r="N86" s="631"/>
      <c r="O86" s="21">
        <f t="shared" si="18"/>
        <v>1</v>
      </c>
      <c r="P86" s="2559" t="s">
        <v>3409</v>
      </c>
      <c r="Q86" s="21">
        <f t="shared" si="19"/>
        <v>1</v>
      </c>
      <c r="R86" s="21">
        <f t="shared" ca="1" si="20"/>
        <v>14292</v>
      </c>
      <c r="S86" s="307">
        <f t="shared" ca="1" si="22"/>
        <v>100</v>
      </c>
      <c r="T86" s="3190">
        <f>面积表!A81</f>
        <v>0</v>
      </c>
    </row>
    <row r="87" spans="1:20">
      <c r="A87" s="3169" t="str">
        <f>面积表!D82</f>
        <v>401</v>
      </c>
      <c r="B87" s="52">
        <f>面积表!E82</f>
        <v>51.46</v>
      </c>
      <c r="C87" s="21">
        <f t="shared" si="12"/>
        <v>1</v>
      </c>
      <c r="D87" s="2559" t="s">
        <v>4016</v>
      </c>
      <c r="E87" s="21">
        <f t="shared" si="13"/>
        <v>1</v>
      </c>
      <c r="F87" s="2559" t="s">
        <v>21</v>
      </c>
      <c r="G87" s="21">
        <f t="shared" si="14"/>
        <v>1</v>
      </c>
      <c r="H87" s="631">
        <v>3</v>
      </c>
      <c r="I87" s="21">
        <f t="shared" si="15"/>
        <v>1</v>
      </c>
      <c r="J87" s="631"/>
      <c r="K87" s="21">
        <f t="shared" si="16"/>
        <v>1</v>
      </c>
      <c r="L87" s="631"/>
      <c r="M87" s="21">
        <f t="shared" si="17"/>
        <v>1</v>
      </c>
      <c r="N87" s="631"/>
      <c r="O87" s="21">
        <f t="shared" si="18"/>
        <v>1</v>
      </c>
      <c r="P87" s="2559" t="s">
        <v>3409</v>
      </c>
      <c r="Q87" s="21">
        <f t="shared" si="19"/>
        <v>1</v>
      </c>
      <c r="R87" s="21">
        <f t="shared" ca="1" si="20"/>
        <v>14150</v>
      </c>
      <c r="S87" s="307">
        <f t="shared" ca="1" si="22"/>
        <v>73</v>
      </c>
      <c r="T87" s="3190">
        <f>面积表!A82</f>
        <v>0</v>
      </c>
    </row>
    <row r="88" spans="1:20">
      <c r="A88" s="3169" t="str">
        <f>面积表!D83</f>
        <v>402</v>
      </c>
      <c r="B88" s="52">
        <f>面积表!E83</f>
        <v>49.62</v>
      </c>
      <c r="C88" s="21">
        <f t="shared" si="12"/>
        <v>1</v>
      </c>
      <c r="D88" s="2559" t="s">
        <v>4016</v>
      </c>
      <c r="E88" s="21">
        <f t="shared" si="13"/>
        <v>1</v>
      </c>
      <c r="F88" s="2559" t="s">
        <v>21</v>
      </c>
      <c r="G88" s="21">
        <f t="shared" si="14"/>
        <v>1</v>
      </c>
      <c r="H88" s="631">
        <v>3</v>
      </c>
      <c r="I88" s="21">
        <f t="shared" si="15"/>
        <v>1</v>
      </c>
      <c r="J88" s="631"/>
      <c r="K88" s="21">
        <f t="shared" si="16"/>
        <v>1</v>
      </c>
      <c r="L88" s="631"/>
      <c r="M88" s="21">
        <f t="shared" si="17"/>
        <v>1</v>
      </c>
      <c r="N88" s="631"/>
      <c r="O88" s="21">
        <f t="shared" si="18"/>
        <v>1</v>
      </c>
      <c r="P88" s="2559" t="s">
        <v>3409</v>
      </c>
      <c r="Q88" s="21">
        <f t="shared" si="19"/>
        <v>1</v>
      </c>
      <c r="R88" s="21">
        <f t="shared" ca="1" si="20"/>
        <v>14150</v>
      </c>
      <c r="S88" s="307">
        <f t="shared" ca="1" si="22"/>
        <v>70</v>
      </c>
      <c r="T88" s="3190">
        <f>面积表!A83</f>
        <v>0</v>
      </c>
    </row>
    <row r="89" spans="1:20">
      <c r="A89" s="3169" t="str">
        <f>面积表!D84</f>
        <v>403</v>
      </c>
      <c r="B89" s="52">
        <f>面积表!E84</f>
        <v>49.62</v>
      </c>
      <c r="C89" s="21">
        <f t="shared" si="12"/>
        <v>1</v>
      </c>
      <c r="D89" s="2559" t="s">
        <v>4016</v>
      </c>
      <c r="E89" s="21">
        <f t="shared" si="13"/>
        <v>1</v>
      </c>
      <c r="F89" s="2559" t="s">
        <v>21</v>
      </c>
      <c r="G89" s="21">
        <f t="shared" si="14"/>
        <v>1</v>
      </c>
      <c r="H89" s="631">
        <v>3</v>
      </c>
      <c r="I89" s="21">
        <f t="shared" si="15"/>
        <v>1</v>
      </c>
      <c r="J89" s="631"/>
      <c r="K89" s="21">
        <f t="shared" si="16"/>
        <v>1</v>
      </c>
      <c r="L89" s="631"/>
      <c r="M89" s="21">
        <f t="shared" si="17"/>
        <v>1</v>
      </c>
      <c r="N89" s="631"/>
      <c r="O89" s="21">
        <f t="shared" si="18"/>
        <v>1</v>
      </c>
      <c r="P89" s="2559" t="s">
        <v>3409</v>
      </c>
      <c r="Q89" s="21">
        <f t="shared" si="19"/>
        <v>1</v>
      </c>
      <c r="R89" s="21">
        <f t="shared" ca="1" si="20"/>
        <v>14150</v>
      </c>
      <c r="S89" s="307">
        <f t="shared" ca="1" si="22"/>
        <v>70</v>
      </c>
      <c r="T89" s="3190">
        <f>面积表!A84</f>
        <v>0</v>
      </c>
    </row>
    <row r="90" spans="1:20">
      <c r="A90" s="3169" t="str">
        <f>面积表!D85</f>
        <v>404</v>
      </c>
      <c r="B90" s="52">
        <f>面积表!E85</f>
        <v>49.62</v>
      </c>
      <c r="C90" s="21">
        <f t="shared" ref="C90:C153" si="23">IF(B90="",1,(LOOKUP(B90,$3:$3,$4:$4)-LOOKUP($B$24,$3:$3,$4:$4)+100)/100)</f>
        <v>1</v>
      </c>
      <c r="D90" s="2559" t="s">
        <v>4016</v>
      </c>
      <c r="E90" s="21">
        <f t="shared" ref="E90:E153" si="24">(SUMIF($5:$5,D90,$6:$6)-SUMIF($5:$5,$D$24,$6:$6)+100)/100</f>
        <v>1</v>
      </c>
      <c r="F90" s="2559" t="s">
        <v>21</v>
      </c>
      <c r="G90" s="21">
        <f t="shared" ref="G90:G153" si="25">(SUMIF($7:$7,F90,$8:$8)-SUMIF($7:$7,$F$24,$8:$8)+100)/100</f>
        <v>1</v>
      </c>
      <c r="H90" s="631">
        <v>3</v>
      </c>
      <c r="I90" s="21">
        <f t="shared" ref="I90:I153" si="26">(SUMIF($9:$9,H90,$10:$10)-SUMIF($9:$9,$H$24,$10:$10)+100)/100</f>
        <v>1</v>
      </c>
      <c r="J90" s="631"/>
      <c r="K90" s="21">
        <f t="shared" ref="K90:K153" si="27">(SUMIF($11:$11,J90,$12:$12)-SUMIF($11:$11,$J$24,$12:$12)+100)/100</f>
        <v>1</v>
      </c>
      <c r="L90" s="631"/>
      <c r="M90" s="21">
        <f t="shared" ref="M90:M153" si="28">(SUMIF($13:$13,L90,$14:$14)-SUMIF($13:$13,$L$24,$14:$14)+100)/100</f>
        <v>1</v>
      </c>
      <c r="N90" s="631"/>
      <c r="O90" s="21">
        <f t="shared" ref="O90:O153" si="29">(SUMIF($15:$15,N90,$16:$16)-SUMIF($15:$15,$N$24,$16:$16)+100)/100</f>
        <v>1</v>
      </c>
      <c r="P90" s="2559" t="s">
        <v>3409</v>
      </c>
      <c r="Q90" s="21">
        <f t="shared" ref="Q90:Q153" si="30">(SUMIF($17:$17,P90,$18:$18)-SUMIF($17:$17,$P$24,$18:$18)+100)/100</f>
        <v>1</v>
      </c>
      <c r="R90" s="21">
        <f t="shared" ref="R90:R153" ca="1" si="31">IF(B90="",0,ROUND($R$24*C90*E90*G90*I90*K90*M90*O90*Q90,0))</f>
        <v>14150</v>
      </c>
      <c r="S90" s="307">
        <f t="shared" ca="1" si="22"/>
        <v>70</v>
      </c>
      <c r="T90" s="3190">
        <f>面积表!A85</f>
        <v>0</v>
      </c>
    </row>
    <row r="91" spans="1:20">
      <c r="A91" s="3169" t="str">
        <f>面积表!D86</f>
        <v>405</v>
      </c>
      <c r="B91" s="52">
        <f>面积表!E86</f>
        <v>49.62</v>
      </c>
      <c r="C91" s="21">
        <f t="shared" si="23"/>
        <v>1</v>
      </c>
      <c r="D91" s="2559" t="s">
        <v>4016</v>
      </c>
      <c r="E91" s="21">
        <f t="shared" si="24"/>
        <v>1</v>
      </c>
      <c r="F91" s="2559" t="s">
        <v>21</v>
      </c>
      <c r="G91" s="21">
        <f t="shared" si="25"/>
        <v>1</v>
      </c>
      <c r="H91" s="631">
        <v>3</v>
      </c>
      <c r="I91" s="21">
        <f t="shared" si="26"/>
        <v>1</v>
      </c>
      <c r="J91" s="631"/>
      <c r="K91" s="21">
        <f t="shared" si="27"/>
        <v>1</v>
      </c>
      <c r="L91" s="631"/>
      <c r="M91" s="21">
        <f t="shared" si="28"/>
        <v>1</v>
      </c>
      <c r="N91" s="631"/>
      <c r="O91" s="21">
        <f t="shared" si="29"/>
        <v>1</v>
      </c>
      <c r="P91" s="2559" t="s">
        <v>3409</v>
      </c>
      <c r="Q91" s="21">
        <f t="shared" si="30"/>
        <v>1</v>
      </c>
      <c r="R91" s="21">
        <f t="shared" ca="1" si="31"/>
        <v>14150</v>
      </c>
      <c r="S91" s="307">
        <f t="shared" ca="1" si="22"/>
        <v>70</v>
      </c>
      <c r="T91" s="3190">
        <f>面积表!A86</f>
        <v>0</v>
      </c>
    </row>
    <row r="92" spans="1:20">
      <c r="A92" s="3169" t="str">
        <f>面积表!D87</f>
        <v>406</v>
      </c>
      <c r="B92" s="52">
        <f>面积表!E87</f>
        <v>49.62</v>
      </c>
      <c r="C92" s="21">
        <f t="shared" si="23"/>
        <v>1</v>
      </c>
      <c r="D92" s="2559" t="s">
        <v>4016</v>
      </c>
      <c r="E92" s="21">
        <f t="shared" si="24"/>
        <v>1</v>
      </c>
      <c r="F92" s="2559" t="s">
        <v>21</v>
      </c>
      <c r="G92" s="21">
        <f t="shared" si="25"/>
        <v>1</v>
      </c>
      <c r="H92" s="631">
        <v>3</v>
      </c>
      <c r="I92" s="21">
        <f t="shared" si="26"/>
        <v>1</v>
      </c>
      <c r="J92" s="631"/>
      <c r="K92" s="21">
        <f t="shared" si="27"/>
        <v>1</v>
      </c>
      <c r="L92" s="631"/>
      <c r="M92" s="21">
        <f t="shared" si="28"/>
        <v>1</v>
      </c>
      <c r="N92" s="631"/>
      <c r="O92" s="21">
        <f t="shared" si="29"/>
        <v>1</v>
      </c>
      <c r="P92" s="2559" t="s">
        <v>3409</v>
      </c>
      <c r="Q92" s="21">
        <f t="shared" si="30"/>
        <v>1</v>
      </c>
      <c r="R92" s="21">
        <f t="shared" ca="1" si="31"/>
        <v>14150</v>
      </c>
      <c r="S92" s="307">
        <f t="shared" ca="1" si="22"/>
        <v>70</v>
      </c>
      <c r="T92" s="3190">
        <f>面积表!A87</f>
        <v>0</v>
      </c>
    </row>
    <row r="93" spans="1:20">
      <c r="A93" s="3169" t="str">
        <f>面积表!D88</f>
        <v>407</v>
      </c>
      <c r="B93" s="52">
        <f>面积表!E88</f>
        <v>49.62</v>
      </c>
      <c r="C93" s="21">
        <f t="shared" si="23"/>
        <v>1</v>
      </c>
      <c r="D93" s="2559" t="s">
        <v>4016</v>
      </c>
      <c r="E93" s="21">
        <f t="shared" si="24"/>
        <v>1</v>
      </c>
      <c r="F93" s="2559" t="s">
        <v>21</v>
      </c>
      <c r="G93" s="21">
        <f t="shared" si="25"/>
        <v>1</v>
      </c>
      <c r="H93" s="631">
        <v>3</v>
      </c>
      <c r="I93" s="21">
        <f t="shared" si="26"/>
        <v>1</v>
      </c>
      <c r="J93" s="631"/>
      <c r="K93" s="21">
        <f t="shared" si="27"/>
        <v>1</v>
      </c>
      <c r="L93" s="631"/>
      <c r="M93" s="21">
        <f t="shared" si="28"/>
        <v>1</v>
      </c>
      <c r="N93" s="631"/>
      <c r="O93" s="21">
        <f t="shared" si="29"/>
        <v>1</v>
      </c>
      <c r="P93" s="2559" t="s">
        <v>3409</v>
      </c>
      <c r="Q93" s="21">
        <f t="shared" si="30"/>
        <v>1</v>
      </c>
      <c r="R93" s="21">
        <f t="shared" ca="1" si="31"/>
        <v>14150</v>
      </c>
      <c r="S93" s="307">
        <f t="shared" ca="1" si="22"/>
        <v>70</v>
      </c>
      <c r="T93" s="3190">
        <f>面积表!A88</f>
        <v>0</v>
      </c>
    </row>
    <row r="94" spans="1:20">
      <c r="A94" s="3169" t="str">
        <f>面积表!D89</f>
        <v>408</v>
      </c>
      <c r="B94" s="52">
        <f>面积表!E89</f>
        <v>49.62</v>
      </c>
      <c r="C94" s="21">
        <f t="shared" si="23"/>
        <v>1</v>
      </c>
      <c r="D94" s="2559" t="s">
        <v>4016</v>
      </c>
      <c r="E94" s="21">
        <f t="shared" si="24"/>
        <v>1</v>
      </c>
      <c r="F94" s="2559" t="s">
        <v>21</v>
      </c>
      <c r="G94" s="21">
        <f t="shared" si="25"/>
        <v>1</v>
      </c>
      <c r="H94" s="631">
        <v>3</v>
      </c>
      <c r="I94" s="21">
        <f t="shared" si="26"/>
        <v>1</v>
      </c>
      <c r="J94" s="631"/>
      <c r="K94" s="21">
        <f t="shared" si="27"/>
        <v>1</v>
      </c>
      <c r="L94" s="631"/>
      <c r="M94" s="21">
        <f t="shared" si="28"/>
        <v>1</v>
      </c>
      <c r="N94" s="631"/>
      <c r="O94" s="21">
        <f t="shared" si="29"/>
        <v>1</v>
      </c>
      <c r="P94" s="2559" t="s">
        <v>3409</v>
      </c>
      <c r="Q94" s="21">
        <f t="shared" si="30"/>
        <v>1</v>
      </c>
      <c r="R94" s="21">
        <f t="shared" ca="1" si="31"/>
        <v>14150</v>
      </c>
      <c r="S94" s="307">
        <f t="shared" ca="1" si="22"/>
        <v>70</v>
      </c>
      <c r="T94" s="3190">
        <f>面积表!A89</f>
        <v>0</v>
      </c>
    </row>
    <row r="95" spans="1:20">
      <c r="A95" s="3169" t="str">
        <f>面积表!D90</f>
        <v>409</v>
      </c>
      <c r="B95" s="52">
        <f>面积表!E90</f>
        <v>49.62</v>
      </c>
      <c r="C95" s="21">
        <f t="shared" si="23"/>
        <v>1</v>
      </c>
      <c r="D95" s="2559" t="s">
        <v>4016</v>
      </c>
      <c r="E95" s="21">
        <f t="shared" si="24"/>
        <v>1</v>
      </c>
      <c r="F95" s="2559" t="s">
        <v>21</v>
      </c>
      <c r="G95" s="21">
        <f t="shared" si="25"/>
        <v>1</v>
      </c>
      <c r="H95" s="631">
        <v>3</v>
      </c>
      <c r="I95" s="21">
        <f t="shared" si="26"/>
        <v>1</v>
      </c>
      <c r="J95" s="631"/>
      <c r="K95" s="21">
        <f t="shared" si="27"/>
        <v>1</v>
      </c>
      <c r="L95" s="631"/>
      <c r="M95" s="21">
        <f t="shared" si="28"/>
        <v>1</v>
      </c>
      <c r="N95" s="631"/>
      <c r="O95" s="21">
        <f t="shared" si="29"/>
        <v>1</v>
      </c>
      <c r="P95" s="2559" t="s">
        <v>3409</v>
      </c>
      <c r="Q95" s="21">
        <f t="shared" si="30"/>
        <v>1</v>
      </c>
      <c r="R95" s="21">
        <f t="shared" ca="1" si="31"/>
        <v>14150</v>
      </c>
      <c r="S95" s="307">
        <f t="shared" ca="1" si="22"/>
        <v>70</v>
      </c>
      <c r="T95" s="3190">
        <f>面积表!A90</f>
        <v>0</v>
      </c>
    </row>
    <row r="96" spans="1:20">
      <c r="A96" s="3169" t="str">
        <f>面积表!D91</f>
        <v>410</v>
      </c>
      <c r="B96" s="52">
        <f>面积表!E91</f>
        <v>49.62</v>
      </c>
      <c r="C96" s="21">
        <f t="shared" si="23"/>
        <v>1</v>
      </c>
      <c r="D96" s="2559" t="s">
        <v>4016</v>
      </c>
      <c r="E96" s="21">
        <f t="shared" si="24"/>
        <v>1</v>
      </c>
      <c r="F96" s="2559" t="s">
        <v>21</v>
      </c>
      <c r="G96" s="21">
        <f t="shared" si="25"/>
        <v>1</v>
      </c>
      <c r="H96" s="631">
        <v>3</v>
      </c>
      <c r="I96" s="21">
        <f t="shared" si="26"/>
        <v>1</v>
      </c>
      <c r="J96" s="631"/>
      <c r="K96" s="21">
        <f t="shared" si="27"/>
        <v>1</v>
      </c>
      <c r="L96" s="631"/>
      <c r="M96" s="21">
        <f t="shared" si="28"/>
        <v>1</v>
      </c>
      <c r="N96" s="631"/>
      <c r="O96" s="21">
        <f t="shared" si="29"/>
        <v>1</v>
      </c>
      <c r="P96" s="2559" t="s">
        <v>3409</v>
      </c>
      <c r="Q96" s="21">
        <f t="shared" si="30"/>
        <v>1</v>
      </c>
      <c r="R96" s="21">
        <f t="shared" ca="1" si="31"/>
        <v>14150</v>
      </c>
      <c r="S96" s="307">
        <f t="shared" ca="1" si="22"/>
        <v>70</v>
      </c>
      <c r="T96" s="3190">
        <f>面积表!A91</f>
        <v>0</v>
      </c>
    </row>
    <row r="97" spans="1:20">
      <c r="A97" s="3169" t="str">
        <f>面积表!D92</f>
        <v>411</v>
      </c>
      <c r="B97" s="52">
        <f>面积表!E92</f>
        <v>49.62</v>
      </c>
      <c r="C97" s="21">
        <f t="shared" si="23"/>
        <v>1</v>
      </c>
      <c r="D97" s="2559" t="s">
        <v>4016</v>
      </c>
      <c r="E97" s="21">
        <f t="shared" si="24"/>
        <v>1</v>
      </c>
      <c r="F97" s="2559" t="s">
        <v>21</v>
      </c>
      <c r="G97" s="21">
        <f t="shared" si="25"/>
        <v>1</v>
      </c>
      <c r="H97" s="631">
        <v>3</v>
      </c>
      <c r="I97" s="21">
        <f t="shared" si="26"/>
        <v>1</v>
      </c>
      <c r="J97" s="631"/>
      <c r="K97" s="21">
        <f t="shared" si="27"/>
        <v>1</v>
      </c>
      <c r="L97" s="631"/>
      <c r="M97" s="21">
        <f t="shared" si="28"/>
        <v>1</v>
      </c>
      <c r="N97" s="631"/>
      <c r="O97" s="21">
        <f t="shared" si="29"/>
        <v>1</v>
      </c>
      <c r="P97" s="2559" t="s">
        <v>3409</v>
      </c>
      <c r="Q97" s="21">
        <f t="shared" si="30"/>
        <v>1</v>
      </c>
      <c r="R97" s="21">
        <f t="shared" ca="1" si="31"/>
        <v>14150</v>
      </c>
      <c r="S97" s="307">
        <f t="shared" ca="1" si="22"/>
        <v>70</v>
      </c>
      <c r="T97" s="3190">
        <f>面积表!A92</f>
        <v>0</v>
      </c>
    </row>
    <row r="98" spans="1:20">
      <c r="A98" s="3169" t="str">
        <f>面积表!D93</f>
        <v>412</v>
      </c>
      <c r="B98" s="52">
        <f>面积表!E93</f>
        <v>49.62</v>
      </c>
      <c r="C98" s="21">
        <f t="shared" si="23"/>
        <v>1</v>
      </c>
      <c r="D98" s="2559" t="s">
        <v>4016</v>
      </c>
      <c r="E98" s="21">
        <f t="shared" si="24"/>
        <v>1</v>
      </c>
      <c r="F98" s="2559" t="s">
        <v>21</v>
      </c>
      <c r="G98" s="21">
        <f t="shared" si="25"/>
        <v>1</v>
      </c>
      <c r="H98" s="631">
        <v>3</v>
      </c>
      <c r="I98" s="21">
        <f t="shared" si="26"/>
        <v>1</v>
      </c>
      <c r="J98" s="631"/>
      <c r="K98" s="21">
        <f t="shared" si="27"/>
        <v>1</v>
      </c>
      <c r="L98" s="631"/>
      <c r="M98" s="21">
        <f t="shared" si="28"/>
        <v>1</v>
      </c>
      <c r="N98" s="631"/>
      <c r="O98" s="21">
        <f t="shared" si="29"/>
        <v>1</v>
      </c>
      <c r="P98" s="2559" t="s">
        <v>3409</v>
      </c>
      <c r="Q98" s="21">
        <f t="shared" si="30"/>
        <v>1</v>
      </c>
      <c r="R98" s="21">
        <f t="shared" ca="1" si="31"/>
        <v>14150</v>
      </c>
      <c r="S98" s="307">
        <f t="shared" ca="1" si="22"/>
        <v>70</v>
      </c>
      <c r="T98" s="3190">
        <f>面积表!A93</f>
        <v>0</v>
      </c>
    </row>
    <row r="99" spans="1:20">
      <c r="A99" s="3169" t="str">
        <f>面积表!D94</f>
        <v>413</v>
      </c>
      <c r="B99" s="52">
        <f>面积表!E94</f>
        <v>49.62</v>
      </c>
      <c r="C99" s="21">
        <f t="shared" si="23"/>
        <v>1</v>
      </c>
      <c r="D99" s="2559" t="s">
        <v>4016</v>
      </c>
      <c r="E99" s="21">
        <f t="shared" si="24"/>
        <v>1</v>
      </c>
      <c r="F99" s="2559" t="s">
        <v>21</v>
      </c>
      <c r="G99" s="21">
        <f t="shared" si="25"/>
        <v>1</v>
      </c>
      <c r="H99" s="631">
        <v>3</v>
      </c>
      <c r="I99" s="21">
        <f t="shared" si="26"/>
        <v>1</v>
      </c>
      <c r="J99" s="631"/>
      <c r="K99" s="21">
        <f t="shared" si="27"/>
        <v>1</v>
      </c>
      <c r="L99" s="631"/>
      <c r="M99" s="21">
        <f t="shared" si="28"/>
        <v>1</v>
      </c>
      <c r="N99" s="631"/>
      <c r="O99" s="21">
        <f t="shared" si="29"/>
        <v>1</v>
      </c>
      <c r="P99" s="2559" t="s">
        <v>3409</v>
      </c>
      <c r="Q99" s="21">
        <f t="shared" si="30"/>
        <v>1</v>
      </c>
      <c r="R99" s="21">
        <f t="shared" ca="1" si="31"/>
        <v>14150</v>
      </c>
      <c r="S99" s="307">
        <f t="shared" ca="1" si="22"/>
        <v>70</v>
      </c>
      <c r="T99" s="3190">
        <f>面积表!A94</f>
        <v>0</v>
      </c>
    </row>
    <row r="100" spans="1:20">
      <c r="A100" s="3169" t="str">
        <f>面积表!D95</f>
        <v>414</v>
      </c>
      <c r="B100" s="52">
        <f>面积表!E95</f>
        <v>49.62</v>
      </c>
      <c r="C100" s="21">
        <f t="shared" si="23"/>
        <v>1</v>
      </c>
      <c r="D100" s="2559" t="s">
        <v>4016</v>
      </c>
      <c r="E100" s="21">
        <f t="shared" si="24"/>
        <v>1</v>
      </c>
      <c r="F100" s="2559" t="s">
        <v>21</v>
      </c>
      <c r="G100" s="21">
        <f t="shared" si="25"/>
        <v>1</v>
      </c>
      <c r="H100" s="631">
        <v>3</v>
      </c>
      <c r="I100" s="21">
        <f t="shared" si="26"/>
        <v>1</v>
      </c>
      <c r="J100" s="631"/>
      <c r="K100" s="21">
        <f t="shared" si="27"/>
        <v>1</v>
      </c>
      <c r="L100" s="631"/>
      <c r="M100" s="21">
        <f t="shared" si="28"/>
        <v>1</v>
      </c>
      <c r="N100" s="631"/>
      <c r="O100" s="21">
        <f t="shared" si="29"/>
        <v>1</v>
      </c>
      <c r="P100" s="2559" t="s">
        <v>3409</v>
      </c>
      <c r="Q100" s="21">
        <f t="shared" si="30"/>
        <v>1</v>
      </c>
      <c r="R100" s="21">
        <f t="shared" ca="1" si="31"/>
        <v>14150</v>
      </c>
      <c r="S100" s="307">
        <f t="shared" ca="1" si="22"/>
        <v>70</v>
      </c>
      <c r="T100" s="3190">
        <f>面积表!A95</f>
        <v>0</v>
      </c>
    </row>
    <row r="101" spans="1:20">
      <c r="A101" s="3169" t="str">
        <f>面积表!D96</f>
        <v>415</v>
      </c>
      <c r="B101" s="52">
        <f>面积表!E96</f>
        <v>49.62</v>
      </c>
      <c r="C101" s="21">
        <f t="shared" si="23"/>
        <v>1</v>
      </c>
      <c r="D101" s="2559" t="s">
        <v>4016</v>
      </c>
      <c r="E101" s="21">
        <f t="shared" si="24"/>
        <v>1</v>
      </c>
      <c r="F101" s="2559" t="s">
        <v>21</v>
      </c>
      <c r="G101" s="21">
        <f t="shared" si="25"/>
        <v>1</v>
      </c>
      <c r="H101" s="631">
        <v>3</v>
      </c>
      <c r="I101" s="21">
        <f t="shared" si="26"/>
        <v>1</v>
      </c>
      <c r="J101" s="631"/>
      <c r="K101" s="21">
        <f t="shared" si="27"/>
        <v>1</v>
      </c>
      <c r="L101" s="631"/>
      <c r="M101" s="21">
        <f t="shared" si="28"/>
        <v>1</v>
      </c>
      <c r="N101" s="631"/>
      <c r="O101" s="21">
        <f t="shared" si="29"/>
        <v>1</v>
      </c>
      <c r="P101" s="2559" t="s">
        <v>3409</v>
      </c>
      <c r="Q101" s="21">
        <f t="shared" si="30"/>
        <v>1</v>
      </c>
      <c r="R101" s="21">
        <f t="shared" ca="1" si="31"/>
        <v>14150</v>
      </c>
      <c r="S101" s="307">
        <f t="shared" ca="1" si="22"/>
        <v>70</v>
      </c>
      <c r="T101" s="3190">
        <f>面积表!A96</f>
        <v>0</v>
      </c>
    </row>
    <row r="102" spans="1:20">
      <c r="A102" s="3169" t="str">
        <f>面积表!D97</f>
        <v>416</v>
      </c>
      <c r="B102" s="52">
        <f>面积表!E97</f>
        <v>68.78</v>
      </c>
      <c r="C102" s="21">
        <f t="shared" si="23"/>
        <v>1.01</v>
      </c>
      <c r="D102" s="2559" t="s">
        <v>4016</v>
      </c>
      <c r="E102" s="21">
        <f t="shared" si="24"/>
        <v>1</v>
      </c>
      <c r="F102" s="2559" t="s">
        <v>21</v>
      </c>
      <c r="G102" s="21">
        <f t="shared" si="25"/>
        <v>1</v>
      </c>
      <c r="H102" s="631">
        <v>3</v>
      </c>
      <c r="I102" s="21">
        <f t="shared" si="26"/>
        <v>1</v>
      </c>
      <c r="J102" s="631"/>
      <c r="K102" s="21">
        <f t="shared" si="27"/>
        <v>1</v>
      </c>
      <c r="L102" s="631"/>
      <c r="M102" s="21">
        <f t="shared" si="28"/>
        <v>1</v>
      </c>
      <c r="N102" s="631"/>
      <c r="O102" s="21">
        <f t="shared" si="29"/>
        <v>1</v>
      </c>
      <c r="P102" s="2559" t="s">
        <v>3409</v>
      </c>
      <c r="Q102" s="21">
        <f t="shared" si="30"/>
        <v>1</v>
      </c>
      <c r="R102" s="21">
        <f t="shared" ca="1" si="31"/>
        <v>14292</v>
      </c>
      <c r="S102" s="307">
        <f t="shared" ca="1" si="22"/>
        <v>98</v>
      </c>
      <c r="T102" s="3190">
        <f>面积表!A97</f>
        <v>0</v>
      </c>
    </row>
    <row r="103" spans="1:20">
      <c r="A103" s="3169" t="str">
        <f>面积表!D98</f>
        <v>417</v>
      </c>
      <c r="B103" s="52">
        <f>面积表!E98</f>
        <v>38.1</v>
      </c>
      <c r="C103" s="21">
        <f t="shared" si="23"/>
        <v>1</v>
      </c>
      <c r="D103" s="2559" t="s">
        <v>4016</v>
      </c>
      <c r="E103" s="21">
        <f t="shared" si="24"/>
        <v>1</v>
      </c>
      <c r="F103" s="2559" t="s">
        <v>21</v>
      </c>
      <c r="G103" s="21">
        <f t="shared" si="25"/>
        <v>1</v>
      </c>
      <c r="H103" s="631">
        <v>3</v>
      </c>
      <c r="I103" s="21">
        <f t="shared" si="26"/>
        <v>1</v>
      </c>
      <c r="J103" s="631"/>
      <c r="K103" s="21">
        <f t="shared" si="27"/>
        <v>1</v>
      </c>
      <c r="L103" s="631"/>
      <c r="M103" s="21">
        <f t="shared" si="28"/>
        <v>1</v>
      </c>
      <c r="N103" s="631"/>
      <c r="O103" s="21">
        <f t="shared" si="29"/>
        <v>1</v>
      </c>
      <c r="P103" s="2559" t="s">
        <v>3409</v>
      </c>
      <c r="Q103" s="21">
        <f t="shared" si="30"/>
        <v>1</v>
      </c>
      <c r="R103" s="21">
        <f t="shared" ca="1" si="31"/>
        <v>14150</v>
      </c>
      <c r="S103" s="307">
        <f t="shared" ca="1" si="22"/>
        <v>54</v>
      </c>
      <c r="T103" s="3190">
        <f>面积表!A98</f>
        <v>0</v>
      </c>
    </row>
    <row r="104" spans="1:20">
      <c r="A104" s="3169" t="str">
        <f>面积表!D99</f>
        <v>418</v>
      </c>
      <c r="B104" s="52">
        <f>面积表!E99</f>
        <v>41.4</v>
      </c>
      <c r="C104" s="21">
        <f t="shared" si="23"/>
        <v>1</v>
      </c>
      <c r="D104" s="2559" t="s">
        <v>4016</v>
      </c>
      <c r="E104" s="21">
        <f t="shared" si="24"/>
        <v>1</v>
      </c>
      <c r="F104" s="2559" t="s">
        <v>21</v>
      </c>
      <c r="G104" s="21">
        <f t="shared" si="25"/>
        <v>1</v>
      </c>
      <c r="H104" s="631">
        <v>3</v>
      </c>
      <c r="I104" s="21">
        <f t="shared" si="26"/>
        <v>1</v>
      </c>
      <c r="J104" s="631"/>
      <c r="K104" s="21">
        <f t="shared" si="27"/>
        <v>1</v>
      </c>
      <c r="L104" s="631"/>
      <c r="M104" s="21">
        <f t="shared" si="28"/>
        <v>1</v>
      </c>
      <c r="N104" s="631"/>
      <c r="O104" s="21">
        <f t="shared" si="29"/>
        <v>1</v>
      </c>
      <c r="P104" s="2559" t="s">
        <v>3409</v>
      </c>
      <c r="Q104" s="21">
        <f t="shared" si="30"/>
        <v>1</v>
      </c>
      <c r="R104" s="21">
        <f t="shared" ca="1" si="31"/>
        <v>14150</v>
      </c>
      <c r="S104" s="307">
        <f t="shared" ca="1" si="22"/>
        <v>59</v>
      </c>
      <c r="T104" s="3190">
        <f>面积表!A99</f>
        <v>0</v>
      </c>
    </row>
    <row r="105" spans="1:20">
      <c r="A105" s="3169" t="str">
        <f>面积表!D100</f>
        <v>419</v>
      </c>
      <c r="B105" s="52">
        <f>面积表!E100</f>
        <v>44.09</v>
      </c>
      <c r="C105" s="21">
        <f t="shared" si="23"/>
        <v>1</v>
      </c>
      <c r="D105" s="2559" t="s">
        <v>4016</v>
      </c>
      <c r="E105" s="21">
        <f t="shared" si="24"/>
        <v>1</v>
      </c>
      <c r="F105" s="2559" t="s">
        <v>21</v>
      </c>
      <c r="G105" s="21">
        <f t="shared" si="25"/>
        <v>1</v>
      </c>
      <c r="H105" s="631">
        <v>3</v>
      </c>
      <c r="I105" s="21">
        <f t="shared" si="26"/>
        <v>1</v>
      </c>
      <c r="J105" s="631"/>
      <c r="K105" s="21">
        <f t="shared" si="27"/>
        <v>1</v>
      </c>
      <c r="L105" s="631"/>
      <c r="M105" s="21">
        <f t="shared" si="28"/>
        <v>1</v>
      </c>
      <c r="N105" s="631"/>
      <c r="O105" s="21">
        <f t="shared" si="29"/>
        <v>1</v>
      </c>
      <c r="P105" s="2559" t="s">
        <v>3409</v>
      </c>
      <c r="Q105" s="21">
        <f t="shared" si="30"/>
        <v>1</v>
      </c>
      <c r="R105" s="21">
        <f t="shared" ca="1" si="31"/>
        <v>14150</v>
      </c>
      <c r="S105" s="307">
        <f t="shared" ca="1" si="22"/>
        <v>62</v>
      </c>
      <c r="T105" s="3190">
        <f>面积表!A100</f>
        <v>0</v>
      </c>
    </row>
    <row r="106" spans="1:20">
      <c r="A106" s="3169" t="str">
        <f>面积表!D101</f>
        <v>420</v>
      </c>
      <c r="B106" s="52">
        <f>面积表!E101</f>
        <v>46.17</v>
      </c>
      <c r="C106" s="21">
        <f t="shared" si="23"/>
        <v>1</v>
      </c>
      <c r="D106" s="2559" t="s">
        <v>4016</v>
      </c>
      <c r="E106" s="21">
        <f t="shared" si="24"/>
        <v>1</v>
      </c>
      <c r="F106" s="2559" t="s">
        <v>21</v>
      </c>
      <c r="G106" s="21">
        <f t="shared" si="25"/>
        <v>1</v>
      </c>
      <c r="H106" s="631">
        <v>3</v>
      </c>
      <c r="I106" s="21">
        <f t="shared" si="26"/>
        <v>1</v>
      </c>
      <c r="J106" s="631"/>
      <c r="K106" s="21">
        <f t="shared" si="27"/>
        <v>1</v>
      </c>
      <c r="L106" s="631"/>
      <c r="M106" s="21">
        <f t="shared" si="28"/>
        <v>1</v>
      </c>
      <c r="N106" s="631"/>
      <c r="O106" s="21">
        <f t="shared" si="29"/>
        <v>1</v>
      </c>
      <c r="P106" s="2559" t="s">
        <v>3409</v>
      </c>
      <c r="Q106" s="21">
        <f t="shared" si="30"/>
        <v>1</v>
      </c>
      <c r="R106" s="21">
        <f t="shared" ca="1" si="31"/>
        <v>14150</v>
      </c>
      <c r="S106" s="307">
        <f t="shared" ca="1" si="22"/>
        <v>65</v>
      </c>
      <c r="T106" s="3190">
        <f>面积表!A101</f>
        <v>0</v>
      </c>
    </row>
    <row r="107" spans="1:20">
      <c r="A107" s="3169" t="str">
        <f>面积表!D102</f>
        <v>421</v>
      </c>
      <c r="B107" s="52">
        <f>面积表!E102</f>
        <v>47.65</v>
      </c>
      <c r="C107" s="21">
        <f t="shared" si="23"/>
        <v>1</v>
      </c>
      <c r="D107" s="2559" t="s">
        <v>4016</v>
      </c>
      <c r="E107" s="21">
        <f t="shared" si="24"/>
        <v>1</v>
      </c>
      <c r="F107" s="2559" t="s">
        <v>21</v>
      </c>
      <c r="G107" s="21">
        <f t="shared" si="25"/>
        <v>1</v>
      </c>
      <c r="H107" s="631">
        <v>3</v>
      </c>
      <c r="I107" s="21">
        <f t="shared" si="26"/>
        <v>1</v>
      </c>
      <c r="J107" s="631"/>
      <c r="K107" s="21">
        <f t="shared" si="27"/>
        <v>1</v>
      </c>
      <c r="L107" s="631"/>
      <c r="M107" s="21">
        <f t="shared" si="28"/>
        <v>1</v>
      </c>
      <c r="N107" s="631"/>
      <c r="O107" s="21">
        <f t="shared" si="29"/>
        <v>1</v>
      </c>
      <c r="P107" s="2559" t="s">
        <v>3409</v>
      </c>
      <c r="Q107" s="21">
        <f t="shared" si="30"/>
        <v>1</v>
      </c>
      <c r="R107" s="21">
        <f t="shared" ca="1" si="31"/>
        <v>14150</v>
      </c>
      <c r="S107" s="307">
        <f t="shared" ca="1" si="22"/>
        <v>67</v>
      </c>
      <c r="T107" s="3190">
        <f>面积表!A102</f>
        <v>0</v>
      </c>
    </row>
    <row r="108" spans="1:20">
      <c r="A108" s="3169" t="str">
        <f>面积表!D103</f>
        <v>422</v>
      </c>
      <c r="B108" s="52">
        <f>面积表!E103</f>
        <v>48.6</v>
      </c>
      <c r="C108" s="21">
        <f t="shared" si="23"/>
        <v>1</v>
      </c>
      <c r="D108" s="2559" t="s">
        <v>4016</v>
      </c>
      <c r="E108" s="21">
        <f t="shared" si="24"/>
        <v>1</v>
      </c>
      <c r="F108" s="2559" t="s">
        <v>21</v>
      </c>
      <c r="G108" s="21">
        <f t="shared" si="25"/>
        <v>1</v>
      </c>
      <c r="H108" s="631">
        <v>3</v>
      </c>
      <c r="I108" s="21">
        <f t="shared" si="26"/>
        <v>1</v>
      </c>
      <c r="J108" s="631"/>
      <c r="K108" s="21">
        <f t="shared" si="27"/>
        <v>1</v>
      </c>
      <c r="L108" s="631"/>
      <c r="M108" s="21">
        <f t="shared" si="28"/>
        <v>1</v>
      </c>
      <c r="N108" s="631"/>
      <c r="O108" s="21">
        <f t="shared" si="29"/>
        <v>1</v>
      </c>
      <c r="P108" s="2559" t="s">
        <v>3409</v>
      </c>
      <c r="Q108" s="21">
        <f t="shared" si="30"/>
        <v>1</v>
      </c>
      <c r="R108" s="21">
        <f t="shared" ca="1" si="31"/>
        <v>14150</v>
      </c>
      <c r="S108" s="307">
        <f t="shared" ca="1" si="22"/>
        <v>69</v>
      </c>
      <c r="T108" s="3190">
        <f>面积表!A103</f>
        <v>0</v>
      </c>
    </row>
    <row r="109" spans="1:20">
      <c r="A109" s="3169" t="str">
        <f>面积表!D104</f>
        <v>423</v>
      </c>
      <c r="B109" s="52">
        <f>面积表!E104</f>
        <v>48.89</v>
      </c>
      <c r="C109" s="21">
        <f t="shared" si="23"/>
        <v>1</v>
      </c>
      <c r="D109" s="2559" t="s">
        <v>4016</v>
      </c>
      <c r="E109" s="21">
        <f t="shared" si="24"/>
        <v>1</v>
      </c>
      <c r="F109" s="2559" t="s">
        <v>21</v>
      </c>
      <c r="G109" s="21">
        <f t="shared" si="25"/>
        <v>1</v>
      </c>
      <c r="H109" s="631">
        <v>3</v>
      </c>
      <c r="I109" s="21">
        <f t="shared" si="26"/>
        <v>1</v>
      </c>
      <c r="J109" s="631"/>
      <c r="K109" s="21">
        <f t="shared" si="27"/>
        <v>1</v>
      </c>
      <c r="L109" s="631"/>
      <c r="M109" s="21">
        <f t="shared" si="28"/>
        <v>1</v>
      </c>
      <c r="N109" s="631"/>
      <c r="O109" s="21">
        <f t="shared" si="29"/>
        <v>1</v>
      </c>
      <c r="P109" s="2559" t="s">
        <v>3409</v>
      </c>
      <c r="Q109" s="21">
        <f t="shared" si="30"/>
        <v>1</v>
      </c>
      <c r="R109" s="21">
        <f t="shared" ca="1" si="31"/>
        <v>14150</v>
      </c>
      <c r="S109" s="307">
        <f t="shared" ca="1" si="22"/>
        <v>69</v>
      </c>
      <c r="T109" s="3190">
        <f>面积表!A104</f>
        <v>0</v>
      </c>
    </row>
    <row r="110" spans="1:20">
      <c r="A110" s="3169" t="str">
        <f>面积表!D105</f>
        <v>424</v>
      </c>
      <c r="B110" s="52">
        <f>面积表!E105</f>
        <v>48.59</v>
      </c>
      <c r="C110" s="21">
        <f t="shared" si="23"/>
        <v>1</v>
      </c>
      <c r="D110" s="2559" t="s">
        <v>4016</v>
      </c>
      <c r="E110" s="21">
        <f t="shared" si="24"/>
        <v>1</v>
      </c>
      <c r="F110" s="2559" t="s">
        <v>21</v>
      </c>
      <c r="G110" s="21">
        <f t="shared" si="25"/>
        <v>1</v>
      </c>
      <c r="H110" s="631">
        <v>3</v>
      </c>
      <c r="I110" s="21">
        <f t="shared" si="26"/>
        <v>1</v>
      </c>
      <c r="J110" s="631"/>
      <c r="K110" s="21">
        <f t="shared" si="27"/>
        <v>1</v>
      </c>
      <c r="L110" s="631"/>
      <c r="M110" s="21">
        <f t="shared" si="28"/>
        <v>1</v>
      </c>
      <c r="N110" s="631"/>
      <c r="O110" s="21">
        <f t="shared" si="29"/>
        <v>1</v>
      </c>
      <c r="P110" s="2559" t="s">
        <v>3409</v>
      </c>
      <c r="Q110" s="21">
        <f t="shared" si="30"/>
        <v>1</v>
      </c>
      <c r="R110" s="21">
        <f t="shared" ca="1" si="31"/>
        <v>14150</v>
      </c>
      <c r="S110" s="307">
        <f t="shared" ca="1" si="22"/>
        <v>69</v>
      </c>
      <c r="T110" s="3190">
        <f>面积表!A105</f>
        <v>0</v>
      </c>
    </row>
    <row r="111" spans="1:20">
      <c r="A111" s="3169" t="str">
        <f>面积表!D106</f>
        <v>425</v>
      </c>
      <c r="B111" s="52">
        <f>面积表!E106</f>
        <v>47.73</v>
      </c>
      <c r="C111" s="21">
        <f t="shared" si="23"/>
        <v>1</v>
      </c>
      <c r="D111" s="2559" t="s">
        <v>4016</v>
      </c>
      <c r="E111" s="21">
        <f t="shared" si="24"/>
        <v>1</v>
      </c>
      <c r="F111" s="2559" t="s">
        <v>21</v>
      </c>
      <c r="G111" s="21">
        <f t="shared" si="25"/>
        <v>1</v>
      </c>
      <c r="H111" s="631">
        <v>3</v>
      </c>
      <c r="I111" s="21">
        <f t="shared" si="26"/>
        <v>1</v>
      </c>
      <c r="J111" s="631"/>
      <c r="K111" s="21">
        <f t="shared" si="27"/>
        <v>1</v>
      </c>
      <c r="L111" s="631"/>
      <c r="M111" s="21">
        <f t="shared" si="28"/>
        <v>1</v>
      </c>
      <c r="N111" s="631"/>
      <c r="O111" s="21">
        <f t="shared" si="29"/>
        <v>1</v>
      </c>
      <c r="P111" s="2559" t="s">
        <v>3409</v>
      </c>
      <c r="Q111" s="21">
        <f t="shared" si="30"/>
        <v>1</v>
      </c>
      <c r="R111" s="21">
        <f t="shared" ca="1" si="31"/>
        <v>14150</v>
      </c>
      <c r="S111" s="307">
        <f t="shared" ca="1" si="22"/>
        <v>68</v>
      </c>
      <c r="T111" s="3190">
        <f>面积表!A106</f>
        <v>0</v>
      </c>
    </row>
    <row r="112" spans="1:20">
      <c r="A112" s="3169" t="str">
        <f>面积表!D107</f>
        <v>426</v>
      </c>
      <c r="B112" s="52">
        <f>面积表!E107</f>
        <v>70.2</v>
      </c>
      <c r="C112" s="21">
        <f t="shared" si="23"/>
        <v>1.01</v>
      </c>
      <c r="D112" s="2559" t="s">
        <v>4016</v>
      </c>
      <c r="E112" s="21">
        <f t="shared" si="24"/>
        <v>1</v>
      </c>
      <c r="F112" s="2559" t="s">
        <v>21</v>
      </c>
      <c r="G112" s="21">
        <f t="shared" si="25"/>
        <v>1</v>
      </c>
      <c r="H112" s="631">
        <v>3</v>
      </c>
      <c r="I112" s="21">
        <f t="shared" si="26"/>
        <v>1</v>
      </c>
      <c r="J112" s="631"/>
      <c r="K112" s="21">
        <f t="shared" si="27"/>
        <v>1</v>
      </c>
      <c r="L112" s="631"/>
      <c r="M112" s="21">
        <f t="shared" si="28"/>
        <v>1</v>
      </c>
      <c r="N112" s="631"/>
      <c r="O112" s="21">
        <f t="shared" si="29"/>
        <v>1</v>
      </c>
      <c r="P112" s="2559" t="s">
        <v>3409</v>
      </c>
      <c r="Q112" s="21">
        <f t="shared" si="30"/>
        <v>1</v>
      </c>
      <c r="R112" s="21">
        <f t="shared" ca="1" si="31"/>
        <v>14292</v>
      </c>
      <c r="S112" s="307">
        <f t="shared" ca="1" si="22"/>
        <v>100</v>
      </c>
      <c r="T112" s="3190">
        <f>面积表!A107</f>
        <v>0</v>
      </c>
    </row>
    <row r="113" spans="1:20">
      <c r="A113" s="3169" t="str">
        <f>面积表!D108</f>
        <v>501</v>
      </c>
      <c r="B113" s="52">
        <f>面积表!E108</f>
        <v>51.46</v>
      </c>
      <c r="C113" s="21">
        <f t="shared" si="23"/>
        <v>1</v>
      </c>
      <c r="D113" s="2559" t="s">
        <v>4016</v>
      </c>
      <c r="E113" s="21">
        <f t="shared" si="24"/>
        <v>1</v>
      </c>
      <c r="F113" s="2559" t="s">
        <v>21</v>
      </c>
      <c r="G113" s="21">
        <f t="shared" si="25"/>
        <v>1</v>
      </c>
      <c r="H113" s="631">
        <v>3</v>
      </c>
      <c r="I113" s="21">
        <f t="shared" si="26"/>
        <v>1</v>
      </c>
      <c r="J113" s="631"/>
      <c r="K113" s="21">
        <f t="shared" si="27"/>
        <v>1</v>
      </c>
      <c r="L113" s="631"/>
      <c r="M113" s="21">
        <f t="shared" si="28"/>
        <v>1</v>
      </c>
      <c r="N113" s="631"/>
      <c r="O113" s="21">
        <f t="shared" si="29"/>
        <v>1</v>
      </c>
      <c r="P113" s="2559" t="s">
        <v>3409</v>
      </c>
      <c r="Q113" s="21">
        <f t="shared" si="30"/>
        <v>1</v>
      </c>
      <c r="R113" s="21">
        <f t="shared" ca="1" si="31"/>
        <v>14150</v>
      </c>
      <c r="S113" s="307">
        <f t="shared" ca="1" si="22"/>
        <v>73</v>
      </c>
      <c r="T113" s="3190">
        <f>面积表!A108</f>
        <v>0</v>
      </c>
    </row>
    <row r="114" spans="1:20">
      <c r="A114" s="3169" t="str">
        <f>面积表!D109</f>
        <v>502</v>
      </c>
      <c r="B114" s="52">
        <f>面积表!E109</f>
        <v>49.62</v>
      </c>
      <c r="C114" s="21">
        <f t="shared" si="23"/>
        <v>1</v>
      </c>
      <c r="D114" s="2559" t="s">
        <v>4016</v>
      </c>
      <c r="E114" s="21">
        <f t="shared" si="24"/>
        <v>1</v>
      </c>
      <c r="F114" s="2559" t="s">
        <v>21</v>
      </c>
      <c r="G114" s="21">
        <f t="shared" si="25"/>
        <v>1</v>
      </c>
      <c r="H114" s="631">
        <v>3</v>
      </c>
      <c r="I114" s="21">
        <f t="shared" si="26"/>
        <v>1</v>
      </c>
      <c r="J114" s="631"/>
      <c r="K114" s="21">
        <f t="shared" si="27"/>
        <v>1</v>
      </c>
      <c r="L114" s="631"/>
      <c r="M114" s="21">
        <f t="shared" si="28"/>
        <v>1</v>
      </c>
      <c r="N114" s="631"/>
      <c r="O114" s="21">
        <f t="shared" si="29"/>
        <v>1</v>
      </c>
      <c r="P114" s="2559" t="s">
        <v>3409</v>
      </c>
      <c r="Q114" s="21">
        <f t="shared" si="30"/>
        <v>1</v>
      </c>
      <c r="R114" s="21">
        <f t="shared" ca="1" si="31"/>
        <v>14150</v>
      </c>
      <c r="S114" s="307">
        <f t="shared" ca="1" si="22"/>
        <v>70</v>
      </c>
      <c r="T114" s="3190">
        <f>面积表!A109</f>
        <v>0</v>
      </c>
    </row>
    <row r="115" spans="1:20">
      <c r="A115" s="3169" t="str">
        <f>面积表!D110</f>
        <v>503</v>
      </c>
      <c r="B115" s="52">
        <f>面积表!E110</f>
        <v>49.62</v>
      </c>
      <c r="C115" s="21">
        <f t="shared" si="23"/>
        <v>1</v>
      </c>
      <c r="D115" s="2559" t="s">
        <v>4016</v>
      </c>
      <c r="E115" s="21">
        <f t="shared" si="24"/>
        <v>1</v>
      </c>
      <c r="F115" s="2559" t="s">
        <v>21</v>
      </c>
      <c r="G115" s="21">
        <f t="shared" si="25"/>
        <v>1</v>
      </c>
      <c r="H115" s="631">
        <v>3</v>
      </c>
      <c r="I115" s="21">
        <f t="shared" si="26"/>
        <v>1</v>
      </c>
      <c r="J115" s="631"/>
      <c r="K115" s="21">
        <f t="shared" si="27"/>
        <v>1</v>
      </c>
      <c r="L115" s="631"/>
      <c r="M115" s="21">
        <f t="shared" si="28"/>
        <v>1</v>
      </c>
      <c r="N115" s="631"/>
      <c r="O115" s="21">
        <f t="shared" si="29"/>
        <v>1</v>
      </c>
      <c r="P115" s="2559" t="s">
        <v>3409</v>
      </c>
      <c r="Q115" s="21">
        <f t="shared" si="30"/>
        <v>1</v>
      </c>
      <c r="R115" s="21">
        <f t="shared" ca="1" si="31"/>
        <v>14150</v>
      </c>
      <c r="S115" s="307">
        <f t="shared" ca="1" si="22"/>
        <v>70</v>
      </c>
      <c r="T115" s="3190">
        <f>面积表!A110</f>
        <v>0</v>
      </c>
    </row>
    <row r="116" spans="1:20">
      <c r="A116" s="3169" t="str">
        <f>面积表!D111</f>
        <v>504</v>
      </c>
      <c r="B116" s="52">
        <f>面积表!E111</f>
        <v>49.62</v>
      </c>
      <c r="C116" s="21">
        <f t="shared" si="23"/>
        <v>1</v>
      </c>
      <c r="D116" s="2559" t="s">
        <v>4016</v>
      </c>
      <c r="E116" s="21">
        <f t="shared" si="24"/>
        <v>1</v>
      </c>
      <c r="F116" s="2559" t="s">
        <v>21</v>
      </c>
      <c r="G116" s="21">
        <f t="shared" si="25"/>
        <v>1</v>
      </c>
      <c r="H116" s="631">
        <v>3</v>
      </c>
      <c r="I116" s="21">
        <f t="shared" si="26"/>
        <v>1</v>
      </c>
      <c r="J116" s="631"/>
      <c r="K116" s="21">
        <f t="shared" si="27"/>
        <v>1</v>
      </c>
      <c r="L116" s="631"/>
      <c r="M116" s="21">
        <f t="shared" si="28"/>
        <v>1</v>
      </c>
      <c r="N116" s="631"/>
      <c r="O116" s="21">
        <f t="shared" si="29"/>
        <v>1</v>
      </c>
      <c r="P116" s="2559" t="s">
        <v>3409</v>
      </c>
      <c r="Q116" s="21">
        <f t="shared" si="30"/>
        <v>1</v>
      </c>
      <c r="R116" s="21">
        <f t="shared" ca="1" si="31"/>
        <v>14150</v>
      </c>
      <c r="S116" s="307">
        <f t="shared" ca="1" si="22"/>
        <v>70</v>
      </c>
      <c r="T116" s="3190">
        <f>面积表!A111</f>
        <v>0</v>
      </c>
    </row>
    <row r="117" spans="1:20">
      <c r="A117" s="3169" t="str">
        <f>面积表!D112</f>
        <v>505</v>
      </c>
      <c r="B117" s="52">
        <f>面积表!E112</f>
        <v>49.62</v>
      </c>
      <c r="C117" s="21">
        <f t="shared" si="23"/>
        <v>1</v>
      </c>
      <c r="D117" s="2559" t="s">
        <v>4016</v>
      </c>
      <c r="E117" s="21">
        <f t="shared" si="24"/>
        <v>1</v>
      </c>
      <c r="F117" s="2559" t="s">
        <v>21</v>
      </c>
      <c r="G117" s="21">
        <f t="shared" si="25"/>
        <v>1</v>
      </c>
      <c r="H117" s="631">
        <v>3</v>
      </c>
      <c r="I117" s="21">
        <f t="shared" si="26"/>
        <v>1</v>
      </c>
      <c r="J117" s="631"/>
      <c r="K117" s="21">
        <f t="shared" si="27"/>
        <v>1</v>
      </c>
      <c r="L117" s="631"/>
      <c r="M117" s="21">
        <f t="shared" si="28"/>
        <v>1</v>
      </c>
      <c r="N117" s="631"/>
      <c r="O117" s="21">
        <f t="shared" si="29"/>
        <v>1</v>
      </c>
      <c r="P117" s="2559" t="s">
        <v>3409</v>
      </c>
      <c r="Q117" s="21">
        <f t="shared" si="30"/>
        <v>1</v>
      </c>
      <c r="R117" s="21">
        <f t="shared" ca="1" si="31"/>
        <v>14150</v>
      </c>
      <c r="S117" s="307">
        <f t="shared" ca="1" si="22"/>
        <v>70</v>
      </c>
      <c r="T117" s="3190">
        <f>面积表!A112</f>
        <v>0</v>
      </c>
    </row>
    <row r="118" spans="1:20">
      <c r="A118" s="3169" t="str">
        <f>面积表!D113</f>
        <v>506</v>
      </c>
      <c r="B118" s="52">
        <f>面积表!E113</f>
        <v>49.62</v>
      </c>
      <c r="C118" s="21">
        <f t="shared" si="23"/>
        <v>1</v>
      </c>
      <c r="D118" s="2559" t="s">
        <v>4016</v>
      </c>
      <c r="E118" s="21">
        <f t="shared" si="24"/>
        <v>1</v>
      </c>
      <c r="F118" s="2559" t="s">
        <v>21</v>
      </c>
      <c r="G118" s="21">
        <f t="shared" si="25"/>
        <v>1</v>
      </c>
      <c r="H118" s="631">
        <v>3</v>
      </c>
      <c r="I118" s="21">
        <f t="shared" si="26"/>
        <v>1</v>
      </c>
      <c r="J118" s="631"/>
      <c r="K118" s="21">
        <f t="shared" si="27"/>
        <v>1</v>
      </c>
      <c r="L118" s="631"/>
      <c r="M118" s="21">
        <f t="shared" si="28"/>
        <v>1</v>
      </c>
      <c r="N118" s="631"/>
      <c r="O118" s="21">
        <f t="shared" si="29"/>
        <v>1</v>
      </c>
      <c r="P118" s="2559" t="s">
        <v>3409</v>
      </c>
      <c r="Q118" s="21">
        <f t="shared" si="30"/>
        <v>1</v>
      </c>
      <c r="R118" s="21">
        <f t="shared" ca="1" si="31"/>
        <v>14150</v>
      </c>
      <c r="S118" s="307">
        <f t="shared" ca="1" si="22"/>
        <v>70</v>
      </c>
      <c r="T118" s="3190">
        <f>面积表!A113</f>
        <v>0</v>
      </c>
    </row>
    <row r="119" spans="1:20">
      <c r="A119" s="3169" t="str">
        <f>面积表!D114</f>
        <v>507</v>
      </c>
      <c r="B119" s="52">
        <f>面积表!E114</f>
        <v>49.62</v>
      </c>
      <c r="C119" s="21">
        <f t="shared" si="23"/>
        <v>1</v>
      </c>
      <c r="D119" s="2559" t="s">
        <v>4016</v>
      </c>
      <c r="E119" s="21">
        <f t="shared" si="24"/>
        <v>1</v>
      </c>
      <c r="F119" s="2559" t="s">
        <v>21</v>
      </c>
      <c r="G119" s="21">
        <f t="shared" si="25"/>
        <v>1</v>
      </c>
      <c r="H119" s="631">
        <v>3</v>
      </c>
      <c r="I119" s="21">
        <f t="shared" si="26"/>
        <v>1</v>
      </c>
      <c r="J119" s="631"/>
      <c r="K119" s="21">
        <f t="shared" si="27"/>
        <v>1</v>
      </c>
      <c r="L119" s="631"/>
      <c r="M119" s="21">
        <f t="shared" si="28"/>
        <v>1</v>
      </c>
      <c r="N119" s="631"/>
      <c r="O119" s="21">
        <f t="shared" si="29"/>
        <v>1</v>
      </c>
      <c r="P119" s="2559" t="s">
        <v>3409</v>
      </c>
      <c r="Q119" s="21">
        <f t="shared" si="30"/>
        <v>1</v>
      </c>
      <c r="R119" s="21">
        <f t="shared" ca="1" si="31"/>
        <v>14150</v>
      </c>
      <c r="S119" s="307">
        <f t="shared" ca="1" si="22"/>
        <v>70</v>
      </c>
      <c r="T119" s="3190">
        <f>面积表!A114</f>
        <v>0</v>
      </c>
    </row>
    <row r="120" spans="1:20">
      <c r="A120" s="3169" t="str">
        <f>面积表!D115</f>
        <v>508</v>
      </c>
      <c r="B120" s="52">
        <f>面积表!E115</f>
        <v>49.62</v>
      </c>
      <c r="C120" s="21">
        <f t="shared" si="23"/>
        <v>1</v>
      </c>
      <c r="D120" s="2559" t="s">
        <v>4016</v>
      </c>
      <c r="E120" s="21">
        <f t="shared" si="24"/>
        <v>1</v>
      </c>
      <c r="F120" s="2559" t="s">
        <v>21</v>
      </c>
      <c r="G120" s="21">
        <f t="shared" si="25"/>
        <v>1</v>
      </c>
      <c r="H120" s="631">
        <v>3</v>
      </c>
      <c r="I120" s="21">
        <f t="shared" si="26"/>
        <v>1</v>
      </c>
      <c r="J120" s="631"/>
      <c r="K120" s="21">
        <f t="shared" si="27"/>
        <v>1</v>
      </c>
      <c r="L120" s="631"/>
      <c r="M120" s="21">
        <f t="shared" si="28"/>
        <v>1</v>
      </c>
      <c r="N120" s="631"/>
      <c r="O120" s="21">
        <f t="shared" si="29"/>
        <v>1</v>
      </c>
      <c r="P120" s="2559" t="s">
        <v>3409</v>
      </c>
      <c r="Q120" s="21">
        <f t="shared" si="30"/>
        <v>1</v>
      </c>
      <c r="R120" s="21">
        <f t="shared" ca="1" si="31"/>
        <v>14150</v>
      </c>
      <c r="S120" s="307">
        <f t="shared" ca="1" si="22"/>
        <v>70</v>
      </c>
      <c r="T120" s="3190">
        <f>面积表!A115</f>
        <v>0</v>
      </c>
    </row>
    <row r="121" spans="1:20">
      <c r="A121" s="3169" t="str">
        <f>面积表!D116</f>
        <v>509</v>
      </c>
      <c r="B121" s="52">
        <f>面积表!E116</f>
        <v>49.62</v>
      </c>
      <c r="C121" s="21">
        <f t="shared" si="23"/>
        <v>1</v>
      </c>
      <c r="D121" s="2559" t="s">
        <v>4016</v>
      </c>
      <c r="E121" s="21">
        <f t="shared" si="24"/>
        <v>1</v>
      </c>
      <c r="F121" s="2559" t="s">
        <v>21</v>
      </c>
      <c r="G121" s="21">
        <f t="shared" si="25"/>
        <v>1</v>
      </c>
      <c r="H121" s="631">
        <v>3</v>
      </c>
      <c r="I121" s="21">
        <f t="shared" si="26"/>
        <v>1</v>
      </c>
      <c r="J121" s="631"/>
      <c r="K121" s="21">
        <f t="shared" si="27"/>
        <v>1</v>
      </c>
      <c r="L121" s="631"/>
      <c r="M121" s="21">
        <f t="shared" si="28"/>
        <v>1</v>
      </c>
      <c r="N121" s="631"/>
      <c r="O121" s="21">
        <f t="shared" si="29"/>
        <v>1</v>
      </c>
      <c r="P121" s="2559" t="s">
        <v>3409</v>
      </c>
      <c r="Q121" s="21">
        <f t="shared" si="30"/>
        <v>1</v>
      </c>
      <c r="R121" s="21">
        <f t="shared" ca="1" si="31"/>
        <v>14150</v>
      </c>
      <c r="S121" s="307">
        <f t="shared" ca="1" si="22"/>
        <v>70</v>
      </c>
      <c r="T121" s="3190">
        <f>面积表!A116</f>
        <v>0</v>
      </c>
    </row>
    <row r="122" spans="1:20">
      <c r="A122" s="3169" t="str">
        <f>面积表!D117</f>
        <v>510</v>
      </c>
      <c r="B122" s="52">
        <f>面积表!E117</f>
        <v>49.62</v>
      </c>
      <c r="C122" s="21">
        <f t="shared" si="23"/>
        <v>1</v>
      </c>
      <c r="D122" s="2559" t="s">
        <v>4016</v>
      </c>
      <c r="E122" s="21">
        <f t="shared" si="24"/>
        <v>1</v>
      </c>
      <c r="F122" s="2559" t="s">
        <v>21</v>
      </c>
      <c r="G122" s="21">
        <f t="shared" si="25"/>
        <v>1</v>
      </c>
      <c r="H122" s="631">
        <v>3</v>
      </c>
      <c r="I122" s="21">
        <f t="shared" si="26"/>
        <v>1</v>
      </c>
      <c r="J122" s="631"/>
      <c r="K122" s="21">
        <f t="shared" si="27"/>
        <v>1</v>
      </c>
      <c r="L122" s="631"/>
      <c r="M122" s="21">
        <f t="shared" si="28"/>
        <v>1</v>
      </c>
      <c r="N122" s="631"/>
      <c r="O122" s="21">
        <f t="shared" si="29"/>
        <v>1</v>
      </c>
      <c r="P122" s="2559" t="s">
        <v>3409</v>
      </c>
      <c r="Q122" s="21">
        <f t="shared" si="30"/>
        <v>1</v>
      </c>
      <c r="R122" s="21">
        <f t="shared" ca="1" si="31"/>
        <v>14150</v>
      </c>
      <c r="S122" s="307">
        <f t="shared" ca="1" si="22"/>
        <v>70</v>
      </c>
      <c r="T122" s="3190">
        <f>面积表!A117</f>
        <v>0</v>
      </c>
    </row>
    <row r="123" spans="1:20">
      <c r="A123" s="3169" t="str">
        <f>面积表!D118</f>
        <v>511</v>
      </c>
      <c r="B123" s="52">
        <f>面积表!E118</f>
        <v>49.62</v>
      </c>
      <c r="C123" s="21">
        <f t="shared" si="23"/>
        <v>1</v>
      </c>
      <c r="D123" s="2559" t="s">
        <v>4016</v>
      </c>
      <c r="E123" s="21">
        <f t="shared" si="24"/>
        <v>1</v>
      </c>
      <c r="F123" s="2559" t="s">
        <v>21</v>
      </c>
      <c r="G123" s="21">
        <f t="shared" si="25"/>
        <v>1</v>
      </c>
      <c r="H123" s="631">
        <v>3</v>
      </c>
      <c r="I123" s="21">
        <f t="shared" si="26"/>
        <v>1</v>
      </c>
      <c r="J123" s="631"/>
      <c r="K123" s="21">
        <f t="shared" si="27"/>
        <v>1</v>
      </c>
      <c r="L123" s="631"/>
      <c r="M123" s="21">
        <f t="shared" si="28"/>
        <v>1</v>
      </c>
      <c r="N123" s="631"/>
      <c r="O123" s="21">
        <f t="shared" si="29"/>
        <v>1</v>
      </c>
      <c r="P123" s="2559" t="s">
        <v>3409</v>
      </c>
      <c r="Q123" s="21">
        <f t="shared" si="30"/>
        <v>1</v>
      </c>
      <c r="R123" s="21">
        <f t="shared" ca="1" si="31"/>
        <v>14150</v>
      </c>
      <c r="S123" s="307">
        <f t="shared" ref="S123:S186" ca="1" si="32">ROUND(R123*B123/10000,0)</f>
        <v>70</v>
      </c>
      <c r="T123" s="3190">
        <f>面积表!A118</f>
        <v>0</v>
      </c>
    </row>
    <row r="124" spans="1:20">
      <c r="A124" s="3169" t="str">
        <f>面积表!D119</f>
        <v>512</v>
      </c>
      <c r="B124" s="52">
        <f>面积表!E119</f>
        <v>49.62</v>
      </c>
      <c r="C124" s="21">
        <f t="shared" si="23"/>
        <v>1</v>
      </c>
      <c r="D124" s="2559" t="s">
        <v>4016</v>
      </c>
      <c r="E124" s="21">
        <f t="shared" si="24"/>
        <v>1</v>
      </c>
      <c r="F124" s="2559" t="s">
        <v>21</v>
      </c>
      <c r="G124" s="21">
        <f t="shared" si="25"/>
        <v>1</v>
      </c>
      <c r="H124" s="631">
        <v>3</v>
      </c>
      <c r="I124" s="21">
        <f t="shared" si="26"/>
        <v>1</v>
      </c>
      <c r="J124" s="631"/>
      <c r="K124" s="21">
        <f t="shared" si="27"/>
        <v>1</v>
      </c>
      <c r="L124" s="631"/>
      <c r="M124" s="21">
        <f t="shared" si="28"/>
        <v>1</v>
      </c>
      <c r="N124" s="631"/>
      <c r="O124" s="21">
        <f t="shared" si="29"/>
        <v>1</v>
      </c>
      <c r="P124" s="2559" t="s">
        <v>3409</v>
      </c>
      <c r="Q124" s="21">
        <f t="shared" si="30"/>
        <v>1</v>
      </c>
      <c r="R124" s="21">
        <f t="shared" ca="1" si="31"/>
        <v>14150</v>
      </c>
      <c r="S124" s="307">
        <f t="shared" ca="1" si="32"/>
        <v>70</v>
      </c>
      <c r="T124" s="3190">
        <f>面积表!A119</f>
        <v>0</v>
      </c>
    </row>
    <row r="125" spans="1:20">
      <c r="A125" s="3169" t="str">
        <f>面积表!D120</f>
        <v>513</v>
      </c>
      <c r="B125" s="52">
        <f>面积表!E120</f>
        <v>49.62</v>
      </c>
      <c r="C125" s="21">
        <f t="shared" si="23"/>
        <v>1</v>
      </c>
      <c r="D125" s="2559" t="s">
        <v>4016</v>
      </c>
      <c r="E125" s="21">
        <f t="shared" si="24"/>
        <v>1</v>
      </c>
      <c r="F125" s="2559" t="s">
        <v>21</v>
      </c>
      <c r="G125" s="21">
        <f t="shared" si="25"/>
        <v>1</v>
      </c>
      <c r="H125" s="631">
        <v>3</v>
      </c>
      <c r="I125" s="21">
        <f t="shared" si="26"/>
        <v>1</v>
      </c>
      <c r="J125" s="631"/>
      <c r="K125" s="21">
        <f t="shared" si="27"/>
        <v>1</v>
      </c>
      <c r="L125" s="631"/>
      <c r="M125" s="21">
        <f t="shared" si="28"/>
        <v>1</v>
      </c>
      <c r="N125" s="631"/>
      <c r="O125" s="21">
        <f t="shared" si="29"/>
        <v>1</v>
      </c>
      <c r="P125" s="2559" t="s">
        <v>3409</v>
      </c>
      <c r="Q125" s="21">
        <f t="shared" si="30"/>
        <v>1</v>
      </c>
      <c r="R125" s="21">
        <f t="shared" ca="1" si="31"/>
        <v>14150</v>
      </c>
      <c r="S125" s="307">
        <f t="shared" ca="1" si="32"/>
        <v>70</v>
      </c>
      <c r="T125" s="3190">
        <f>面积表!A120</f>
        <v>0</v>
      </c>
    </row>
    <row r="126" spans="1:20">
      <c r="A126" s="3169" t="str">
        <f>面积表!D121</f>
        <v>514</v>
      </c>
      <c r="B126" s="52">
        <f>面积表!E121</f>
        <v>49.62</v>
      </c>
      <c r="C126" s="21">
        <f t="shared" si="23"/>
        <v>1</v>
      </c>
      <c r="D126" s="2559" t="s">
        <v>4016</v>
      </c>
      <c r="E126" s="21">
        <f t="shared" si="24"/>
        <v>1</v>
      </c>
      <c r="F126" s="2559" t="s">
        <v>21</v>
      </c>
      <c r="G126" s="21">
        <f t="shared" si="25"/>
        <v>1</v>
      </c>
      <c r="H126" s="631">
        <v>3</v>
      </c>
      <c r="I126" s="21">
        <f t="shared" si="26"/>
        <v>1</v>
      </c>
      <c r="J126" s="631"/>
      <c r="K126" s="21">
        <f t="shared" si="27"/>
        <v>1</v>
      </c>
      <c r="L126" s="631"/>
      <c r="M126" s="21">
        <f t="shared" si="28"/>
        <v>1</v>
      </c>
      <c r="N126" s="631"/>
      <c r="O126" s="21">
        <f t="shared" si="29"/>
        <v>1</v>
      </c>
      <c r="P126" s="2559" t="s">
        <v>3409</v>
      </c>
      <c r="Q126" s="21">
        <f t="shared" si="30"/>
        <v>1</v>
      </c>
      <c r="R126" s="21">
        <f t="shared" ca="1" si="31"/>
        <v>14150</v>
      </c>
      <c r="S126" s="307">
        <f t="shared" ca="1" si="32"/>
        <v>70</v>
      </c>
      <c r="T126" s="3190">
        <f>面积表!A121</f>
        <v>0</v>
      </c>
    </row>
    <row r="127" spans="1:20">
      <c r="A127" s="3169" t="str">
        <f>面积表!D122</f>
        <v>515</v>
      </c>
      <c r="B127" s="52">
        <f>面积表!E122</f>
        <v>49.62</v>
      </c>
      <c r="C127" s="21">
        <f t="shared" si="23"/>
        <v>1</v>
      </c>
      <c r="D127" s="2559" t="s">
        <v>4016</v>
      </c>
      <c r="E127" s="21">
        <f t="shared" si="24"/>
        <v>1</v>
      </c>
      <c r="F127" s="2559" t="s">
        <v>21</v>
      </c>
      <c r="G127" s="21">
        <f t="shared" si="25"/>
        <v>1</v>
      </c>
      <c r="H127" s="631">
        <v>3</v>
      </c>
      <c r="I127" s="21">
        <f t="shared" si="26"/>
        <v>1</v>
      </c>
      <c r="J127" s="631"/>
      <c r="K127" s="21">
        <f t="shared" si="27"/>
        <v>1</v>
      </c>
      <c r="L127" s="631"/>
      <c r="M127" s="21">
        <f t="shared" si="28"/>
        <v>1</v>
      </c>
      <c r="N127" s="631"/>
      <c r="O127" s="21">
        <f t="shared" si="29"/>
        <v>1</v>
      </c>
      <c r="P127" s="2559" t="s">
        <v>3409</v>
      </c>
      <c r="Q127" s="21">
        <f t="shared" si="30"/>
        <v>1</v>
      </c>
      <c r="R127" s="21">
        <f t="shared" ca="1" si="31"/>
        <v>14150</v>
      </c>
      <c r="S127" s="307">
        <f t="shared" ca="1" si="32"/>
        <v>70</v>
      </c>
      <c r="T127" s="3190">
        <f>面积表!A122</f>
        <v>0</v>
      </c>
    </row>
    <row r="128" spans="1:20">
      <c r="A128" s="3169" t="str">
        <f>面积表!D123</f>
        <v>516</v>
      </c>
      <c r="B128" s="52">
        <f>面积表!E123</f>
        <v>68.78</v>
      </c>
      <c r="C128" s="21">
        <f t="shared" si="23"/>
        <v>1.01</v>
      </c>
      <c r="D128" s="2559" t="s">
        <v>4016</v>
      </c>
      <c r="E128" s="21">
        <f t="shared" si="24"/>
        <v>1</v>
      </c>
      <c r="F128" s="2559" t="s">
        <v>21</v>
      </c>
      <c r="G128" s="21">
        <f t="shared" si="25"/>
        <v>1</v>
      </c>
      <c r="H128" s="631">
        <v>3</v>
      </c>
      <c r="I128" s="21">
        <f t="shared" si="26"/>
        <v>1</v>
      </c>
      <c r="J128" s="631"/>
      <c r="K128" s="21">
        <f t="shared" si="27"/>
        <v>1</v>
      </c>
      <c r="L128" s="631"/>
      <c r="M128" s="21">
        <f t="shared" si="28"/>
        <v>1</v>
      </c>
      <c r="N128" s="631"/>
      <c r="O128" s="21">
        <f t="shared" si="29"/>
        <v>1</v>
      </c>
      <c r="P128" s="2559" t="s">
        <v>3409</v>
      </c>
      <c r="Q128" s="21">
        <f t="shared" si="30"/>
        <v>1</v>
      </c>
      <c r="R128" s="21">
        <f t="shared" ca="1" si="31"/>
        <v>14292</v>
      </c>
      <c r="S128" s="307">
        <f t="shared" ca="1" si="32"/>
        <v>98</v>
      </c>
      <c r="T128" s="3190">
        <f>面积表!A123</f>
        <v>0</v>
      </c>
    </row>
    <row r="129" spans="1:20">
      <c r="A129" s="3169" t="str">
        <f>面积表!D124</f>
        <v>517</v>
      </c>
      <c r="B129" s="52">
        <f>面积表!E124</f>
        <v>38.1</v>
      </c>
      <c r="C129" s="21">
        <f t="shared" si="23"/>
        <v>1</v>
      </c>
      <c r="D129" s="2559" t="s">
        <v>4016</v>
      </c>
      <c r="E129" s="21">
        <f t="shared" si="24"/>
        <v>1</v>
      </c>
      <c r="F129" s="2559" t="s">
        <v>21</v>
      </c>
      <c r="G129" s="21">
        <f t="shared" si="25"/>
        <v>1</v>
      </c>
      <c r="H129" s="631">
        <v>3</v>
      </c>
      <c r="I129" s="21">
        <f t="shared" si="26"/>
        <v>1</v>
      </c>
      <c r="J129" s="631"/>
      <c r="K129" s="21">
        <f t="shared" si="27"/>
        <v>1</v>
      </c>
      <c r="L129" s="631"/>
      <c r="M129" s="21">
        <f t="shared" si="28"/>
        <v>1</v>
      </c>
      <c r="N129" s="631"/>
      <c r="O129" s="21">
        <f t="shared" si="29"/>
        <v>1</v>
      </c>
      <c r="P129" s="2559" t="s">
        <v>3409</v>
      </c>
      <c r="Q129" s="21">
        <f t="shared" si="30"/>
        <v>1</v>
      </c>
      <c r="R129" s="21">
        <f t="shared" ca="1" si="31"/>
        <v>14150</v>
      </c>
      <c r="S129" s="307">
        <f t="shared" ca="1" si="32"/>
        <v>54</v>
      </c>
      <c r="T129" s="3190">
        <f>面积表!A124</f>
        <v>0</v>
      </c>
    </row>
    <row r="130" spans="1:20">
      <c r="A130" s="3169" t="str">
        <f>面积表!D125</f>
        <v>518</v>
      </c>
      <c r="B130" s="52">
        <f>面积表!E125</f>
        <v>41.4</v>
      </c>
      <c r="C130" s="21">
        <f t="shared" si="23"/>
        <v>1</v>
      </c>
      <c r="D130" s="2559" t="s">
        <v>4016</v>
      </c>
      <c r="E130" s="21">
        <f t="shared" si="24"/>
        <v>1</v>
      </c>
      <c r="F130" s="2559" t="s">
        <v>21</v>
      </c>
      <c r="G130" s="21">
        <f t="shared" si="25"/>
        <v>1</v>
      </c>
      <c r="H130" s="631">
        <v>3</v>
      </c>
      <c r="I130" s="21">
        <f t="shared" si="26"/>
        <v>1</v>
      </c>
      <c r="J130" s="631"/>
      <c r="K130" s="21">
        <f t="shared" si="27"/>
        <v>1</v>
      </c>
      <c r="L130" s="631"/>
      <c r="M130" s="21">
        <f t="shared" si="28"/>
        <v>1</v>
      </c>
      <c r="N130" s="631"/>
      <c r="O130" s="21">
        <f t="shared" si="29"/>
        <v>1</v>
      </c>
      <c r="P130" s="2559" t="s">
        <v>3409</v>
      </c>
      <c r="Q130" s="21">
        <f t="shared" si="30"/>
        <v>1</v>
      </c>
      <c r="R130" s="21">
        <f t="shared" ca="1" si="31"/>
        <v>14150</v>
      </c>
      <c r="S130" s="307">
        <f t="shared" ca="1" si="32"/>
        <v>59</v>
      </c>
      <c r="T130" s="3190">
        <f>面积表!A125</f>
        <v>0</v>
      </c>
    </row>
    <row r="131" spans="1:20">
      <c r="A131" s="3169" t="str">
        <f>面积表!D126</f>
        <v>519</v>
      </c>
      <c r="B131" s="52">
        <f>面积表!E126</f>
        <v>44.09</v>
      </c>
      <c r="C131" s="21">
        <f t="shared" si="23"/>
        <v>1</v>
      </c>
      <c r="D131" s="2559" t="s">
        <v>4016</v>
      </c>
      <c r="E131" s="21">
        <f t="shared" si="24"/>
        <v>1</v>
      </c>
      <c r="F131" s="2559" t="s">
        <v>21</v>
      </c>
      <c r="G131" s="21">
        <f t="shared" si="25"/>
        <v>1</v>
      </c>
      <c r="H131" s="631">
        <v>3</v>
      </c>
      <c r="I131" s="21">
        <f t="shared" si="26"/>
        <v>1</v>
      </c>
      <c r="J131" s="631"/>
      <c r="K131" s="21">
        <f t="shared" si="27"/>
        <v>1</v>
      </c>
      <c r="L131" s="631"/>
      <c r="M131" s="21">
        <f t="shared" si="28"/>
        <v>1</v>
      </c>
      <c r="N131" s="631"/>
      <c r="O131" s="21">
        <f t="shared" si="29"/>
        <v>1</v>
      </c>
      <c r="P131" s="2559" t="s">
        <v>3409</v>
      </c>
      <c r="Q131" s="21">
        <f t="shared" si="30"/>
        <v>1</v>
      </c>
      <c r="R131" s="21">
        <f t="shared" ca="1" si="31"/>
        <v>14150</v>
      </c>
      <c r="S131" s="307">
        <f t="shared" ca="1" si="32"/>
        <v>62</v>
      </c>
      <c r="T131" s="3190">
        <f>面积表!A126</f>
        <v>0</v>
      </c>
    </row>
    <row r="132" spans="1:20">
      <c r="A132" s="3169" t="str">
        <f>面积表!D127</f>
        <v>520</v>
      </c>
      <c r="B132" s="52">
        <f>面积表!E127</f>
        <v>46.17</v>
      </c>
      <c r="C132" s="21">
        <f t="shared" si="23"/>
        <v>1</v>
      </c>
      <c r="D132" s="2559" t="s">
        <v>4016</v>
      </c>
      <c r="E132" s="21">
        <f t="shared" si="24"/>
        <v>1</v>
      </c>
      <c r="F132" s="2559" t="s">
        <v>21</v>
      </c>
      <c r="G132" s="21">
        <f t="shared" si="25"/>
        <v>1</v>
      </c>
      <c r="H132" s="631">
        <v>3</v>
      </c>
      <c r="I132" s="21">
        <f t="shared" si="26"/>
        <v>1</v>
      </c>
      <c r="J132" s="631"/>
      <c r="K132" s="21">
        <f t="shared" si="27"/>
        <v>1</v>
      </c>
      <c r="L132" s="631"/>
      <c r="M132" s="21">
        <f t="shared" si="28"/>
        <v>1</v>
      </c>
      <c r="N132" s="631"/>
      <c r="O132" s="21">
        <f t="shared" si="29"/>
        <v>1</v>
      </c>
      <c r="P132" s="2559" t="s">
        <v>3409</v>
      </c>
      <c r="Q132" s="21">
        <f t="shared" si="30"/>
        <v>1</v>
      </c>
      <c r="R132" s="21">
        <f t="shared" ca="1" si="31"/>
        <v>14150</v>
      </c>
      <c r="S132" s="307">
        <f t="shared" ca="1" si="32"/>
        <v>65</v>
      </c>
      <c r="T132" s="3190">
        <f>面积表!A127</f>
        <v>0</v>
      </c>
    </row>
    <row r="133" spans="1:20">
      <c r="A133" s="3169" t="str">
        <f>面积表!D128</f>
        <v>521</v>
      </c>
      <c r="B133" s="52">
        <f>面积表!E128</f>
        <v>47.65</v>
      </c>
      <c r="C133" s="21">
        <f t="shared" si="23"/>
        <v>1</v>
      </c>
      <c r="D133" s="2559" t="s">
        <v>4016</v>
      </c>
      <c r="E133" s="21">
        <f t="shared" si="24"/>
        <v>1</v>
      </c>
      <c r="F133" s="2559" t="s">
        <v>21</v>
      </c>
      <c r="G133" s="21">
        <f t="shared" si="25"/>
        <v>1</v>
      </c>
      <c r="H133" s="631">
        <v>3</v>
      </c>
      <c r="I133" s="21">
        <f t="shared" si="26"/>
        <v>1</v>
      </c>
      <c r="J133" s="631"/>
      <c r="K133" s="21">
        <f t="shared" si="27"/>
        <v>1</v>
      </c>
      <c r="L133" s="631"/>
      <c r="M133" s="21">
        <f t="shared" si="28"/>
        <v>1</v>
      </c>
      <c r="N133" s="631"/>
      <c r="O133" s="21">
        <f t="shared" si="29"/>
        <v>1</v>
      </c>
      <c r="P133" s="2559" t="s">
        <v>3409</v>
      </c>
      <c r="Q133" s="21">
        <f t="shared" si="30"/>
        <v>1</v>
      </c>
      <c r="R133" s="21">
        <f t="shared" ca="1" si="31"/>
        <v>14150</v>
      </c>
      <c r="S133" s="307">
        <f t="shared" ca="1" si="32"/>
        <v>67</v>
      </c>
      <c r="T133" s="3190">
        <f>面积表!A128</f>
        <v>0</v>
      </c>
    </row>
    <row r="134" spans="1:20">
      <c r="A134" s="3169" t="str">
        <f>面积表!D129</f>
        <v>522</v>
      </c>
      <c r="B134" s="52">
        <f>面积表!E129</f>
        <v>48.6</v>
      </c>
      <c r="C134" s="21">
        <f t="shared" si="23"/>
        <v>1</v>
      </c>
      <c r="D134" s="2559" t="s">
        <v>4016</v>
      </c>
      <c r="E134" s="21">
        <f t="shared" si="24"/>
        <v>1</v>
      </c>
      <c r="F134" s="2559" t="s">
        <v>21</v>
      </c>
      <c r="G134" s="21">
        <f t="shared" si="25"/>
        <v>1</v>
      </c>
      <c r="H134" s="631">
        <v>3</v>
      </c>
      <c r="I134" s="21">
        <f t="shared" si="26"/>
        <v>1</v>
      </c>
      <c r="J134" s="631"/>
      <c r="K134" s="21">
        <f t="shared" si="27"/>
        <v>1</v>
      </c>
      <c r="L134" s="631"/>
      <c r="M134" s="21">
        <f t="shared" si="28"/>
        <v>1</v>
      </c>
      <c r="N134" s="631"/>
      <c r="O134" s="21">
        <f t="shared" si="29"/>
        <v>1</v>
      </c>
      <c r="P134" s="2559" t="s">
        <v>3409</v>
      </c>
      <c r="Q134" s="21">
        <f t="shared" si="30"/>
        <v>1</v>
      </c>
      <c r="R134" s="21">
        <f t="shared" ca="1" si="31"/>
        <v>14150</v>
      </c>
      <c r="S134" s="307">
        <f t="shared" ca="1" si="32"/>
        <v>69</v>
      </c>
      <c r="T134" s="3190">
        <f>面积表!A129</f>
        <v>0</v>
      </c>
    </row>
    <row r="135" spans="1:20">
      <c r="A135" s="3169" t="str">
        <f>面积表!D130</f>
        <v>523</v>
      </c>
      <c r="B135" s="52">
        <f>面积表!E130</f>
        <v>48.89</v>
      </c>
      <c r="C135" s="21">
        <f t="shared" si="23"/>
        <v>1</v>
      </c>
      <c r="D135" s="2559" t="s">
        <v>4016</v>
      </c>
      <c r="E135" s="21">
        <f t="shared" si="24"/>
        <v>1</v>
      </c>
      <c r="F135" s="2559" t="s">
        <v>21</v>
      </c>
      <c r="G135" s="21">
        <f t="shared" si="25"/>
        <v>1</v>
      </c>
      <c r="H135" s="631">
        <v>3</v>
      </c>
      <c r="I135" s="21">
        <f t="shared" si="26"/>
        <v>1</v>
      </c>
      <c r="J135" s="631"/>
      <c r="K135" s="21">
        <f t="shared" si="27"/>
        <v>1</v>
      </c>
      <c r="L135" s="631"/>
      <c r="M135" s="21">
        <f t="shared" si="28"/>
        <v>1</v>
      </c>
      <c r="N135" s="631"/>
      <c r="O135" s="21">
        <f t="shared" si="29"/>
        <v>1</v>
      </c>
      <c r="P135" s="2559" t="s">
        <v>3409</v>
      </c>
      <c r="Q135" s="21">
        <f t="shared" si="30"/>
        <v>1</v>
      </c>
      <c r="R135" s="21">
        <f t="shared" ca="1" si="31"/>
        <v>14150</v>
      </c>
      <c r="S135" s="307">
        <f t="shared" ca="1" si="32"/>
        <v>69</v>
      </c>
      <c r="T135" s="3190">
        <f>面积表!A130</f>
        <v>0</v>
      </c>
    </row>
    <row r="136" spans="1:20">
      <c r="A136" s="3169" t="str">
        <f>面积表!D131</f>
        <v>524</v>
      </c>
      <c r="B136" s="52">
        <f>面积表!E131</f>
        <v>48.59</v>
      </c>
      <c r="C136" s="21">
        <f t="shared" si="23"/>
        <v>1</v>
      </c>
      <c r="D136" s="2559" t="s">
        <v>4016</v>
      </c>
      <c r="E136" s="21">
        <f t="shared" si="24"/>
        <v>1</v>
      </c>
      <c r="F136" s="2559" t="s">
        <v>21</v>
      </c>
      <c r="G136" s="21">
        <f t="shared" si="25"/>
        <v>1</v>
      </c>
      <c r="H136" s="631">
        <v>3</v>
      </c>
      <c r="I136" s="21">
        <f t="shared" si="26"/>
        <v>1</v>
      </c>
      <c r="J136" s="631"/>
      <c r="K136" s="21">
        <f t="shared" si="27"/>
        <v>1</v>
      </c>
      <c r="L136" s="631"/>
      <c r="M136" s="21">
        <f t="shared" si="28"/>
        <v>1</v>
      </c>
      <c r="N136" s="631"/>
      <c r="O136" s="21">
        <f t="shared" si="29"/>
        <v>1</v>
      </c>
      <c r="P136" s="2559" t="s">
        <v>3409</v>
      </c>
      <c r="Q136" s="21">
        <f t="shared" si="30"/>
        <v>1</v>
      </c>
      <c r="R136" s="21">
        <f t="shared" ca="1" si="31"/>
        <v>14150</v>
      </c>
      <c r="S136" s="307">
        <f t="shared" ca="1" si="32"/>
        <v>69</v>
      </c>
      <c r="T136" s="3190">
        <f>面积表!A131</f>
        <v>0</v>
      </c>
    </row>
    <row r="137" spans="1:20">
      <c r="A137" s="3169" t="str">
        <f>面积表!D132</f>
        <v>525</v>
      </c>
      <c r="B137" s="52">
        <f>面积表!E132</f>
        <v>47.73</v>
      </c>
      <c r="C137" s="21">
        <f t="shared" si="23"/>
        <v>1</v>
      </c>
      <c r="D137" s="2559" t="s">
        <v>4016</v>
      </c>
      <c r="E137" s="21">
        <f t="shared" si="24"/>
        <v>1</v>
      </c>
      <c r="F137" s="2559" t="s">
        <v>21</v>
      </c>
      <c r="G137" s="21">
        <f t="shared" si="25"/>
        <v>1</v>
      </c>
      <c r="H137" s="631">
        <v>3</v>
      </c>
      <c r="I137" s="21">
        <f t="shared" si="26"/>
        <v>1</v>
      </c>
      <c r="J137" s="631"/>
      <c r="K137" s="21">
        <f t="shared" si="27"/>
        <v>1</v>
      </c>
      <c r="L137" s="631"/>
      <c r="M137" s="21">
        <f t="shared" si="28"/>
        <v>1</v>
      </c>
      <c r="N137" s="631"/>
      <c r="O137" s="21">
        <f t="shared" si="29"/>
        <v>1</v>
      </c>
      <c r="P137" s="2559" t="s">
        <v>3409</v>
      </c>
      <c r="Q137" s="21">
        <f t="shared" si="30"/>
        <v>1</v>
      </c>
      <c r="R137" s="21">
        <f t="shared" ca="1" si="31"/>
        <v>14150</v>
      </c>
      <c r="S137" s="307">
        <f t="shared" ca="1" si="32"/>
        <v>68</v>
      </c>
      <c r="T137" s="3190">
        <f>面积表!A132</f>
        <v>0</v>
      </c>
    </row>
    <row r="138" spans="1:20">
      <c r="A138" s="3169" t="str">
        <f>面积表!D133</f>
        <v>526</v>
      </c>
      <c r="B138" s="52">
        <f>面积表!E133</f>
        <v>70.2</v>
      </c>
      <c r="C138" s="21">
        <f t="shared" si="23"/>
        <v>1.01</v>
      </c>
      <c r="D138" s="2559" t="s">
        <v>4016</v>
      </c>
      <c r="E138" s="21">
        <f t="shared" si="24"/>
        <v>1</v>
      </c>
      <c r="F138" s="2559" t="s">
        <v>21</v>
      </c>
      <c r="G138" s="21">
        <f t="shared" si="25"/>
        <v>1</v>
      </c>
      <c r="H138" s="631">
        <v>3</v>
      </c>
      <c r="I138" s="21">
        <f t="shared" si="26"/>
        <v>1</v>
      </c>
      <c r="J138" s="631"/>
      <c r="K138" s="21">
        <f t="shared" si="27"/>
        <v>1</v>
      </c>
      <c r="L138" s="631"/>
      <c r="M138" s="21">
        <f t="shared" si="28"/>
        <v>1</v>
      </c>
      <c r="N138" s="631"/>
      <c r="O138" s="21">
        <f t="shared" si="29"/>
        <v>1</v>
      </c>
      <c r="P138" s="2559" t="s">
        <v>3409</v>
      </c>
      <c r="Q138" s="21">
        <f t="shared" si="30"/>
        <v>1</v>
      </c>
      <c r="R138" s="21">
        <f t="shared" ca="1" si="31"/>
        <v>14292</v>
      </c>
      <c r="S138" s="307">
        <f t="shared" ca="1" si="32"/>
        <v>100</v>
      </c>
      <c r="T138" s="3190">
        <f>面积表!A133</f>
        <v>0</v>
      </c>
    </row>
    <row r="139" spans="1:20">
      <c r="A139" s="3169" t="str">
        <f>面积表!D134</f>
        <v>601</v>
      </c>
      <c r="B139" s="52">
        <f>面积表!E134</f>
        <v>51.46</v>
      </c>
      <c r="C139" s="21">
        <f t="shared" si="23"/>
        <v>1</v>
      </c>
      <c r="D139" s="2559" t="s">
        <v>4016</v>
      </c>
      <c r="E139" s="21">
        <f t="shared" si="24"/>
        <v>1</v>
      </c>
      <c r="F139" s="2559" t="s">
        <v>21</v>
      </c>
      <c r="G139" s="21">
        <f t="shared" si="25"/>
        <v>1</v>
      </c>
      <c r="H139" s="631">
        <v>3</v>
      </c>
      <c r="I139" s="21">
        <f t="shared" si="26"/>
        <v>1</v>
      </c>
      <c r="J139" s="631"/>
      <c r="K139" s="21">
        <f t="shared" si="27"/>
        <v>1</v>
      </c>
      <c r="L139" s="631"/>
      <c r="M139" s="21">
        <f t="shared" si="28"/>
        <v>1</v>
      </c>
      <c r="N139" s="631"/>
      <c r="O139" s="21">
        <f t="shared" si="29"/>
        <v>1</v>
      </c>
      <c r="P139" s="2559" t="s">
        <v>3409</v>
      </c>
      <c r="Q139" s="21">
        <f t="shared" si="30"/>
        <v>1</v>
      </c>
      <c r="R139" s="21">
        <f t="shared" ca="1" si="31"/>
        <v>14150</v>
      </c>
      <c r="S139" s="307">
        <f t="shared" ca="1" si="32"/>
        <v>73</v>
      </c>
      <c r="T139" s="3190">
        <f>面积表!A134</f>
        <v>0</v>
      </c>
    </row>
    <row r="140" spans="1:20">
      <c r="A140" s="3169" t="str">
        <f>面积表!D135</f>
        <v>602</v>
      </c>
      <c r="B140" s="52">
        <f>面积表!E135</f>
        <v>49.62</v>
      </c>
      <c r="C140" s="21">
        <f t="shared" si="23"/>
        <v>1</v>
      </c>
      <c r="D140" s="2559" t="s">
        <v>4016</v>
      </c>
      <c r="E140" s="21">
        <f t="shared" si="24"/>
        <v>1</v>
      </c>
      <c r="F140" s="2559" t="s">
        <v>21</v>
      </c>
      <c r="G140" s="21">
        <f t="shared" si="25"/>
        <v>1</v>
      </c>
      <c r="H140" s="631">
        <v>3</v>
      </c>
      <c r="I140" s="21">
        <f t="shared" si="26"/>
        <v>1</v>
      </c>
      <c r="J140" s="631"/>
      <c r="K140" s="21">
        <f t="shared" si="27"/>
        <v>1</v>
      </c>
      <c r="L140" s="631"/>
      <c r="M140" s="21">
        <f t="shared" si="28"/>
        <v>1</v>
      </c>
      <c r="N140" s="631"/>
      <c r="O140" s="21">
        <f t="shared" si="29"/>
        <v>1</v>
      </c>
      <c r="P140" s="2559" t="s">
        <v>3409</v>
      </c>
      <c r="Q140" s="21">
        <f t="shared" si="30"/>
        <v>1</v>
      </c>
      <c r="R140" s="21">
        <f t="shared" ca="1" si="31"/>
        <v>14150</v>
      </c>
      <c r="S140" s="307">
        <f t="shared" ca="1" si="32"/>
        <v>70</v>
      </c>
      <c r="T140" s="3190">
        <f>面积表!A135</f>
        <v>0</v>
      </c>
    </row>
    <row r="141" spans="1:20">
      <c r="A141" s="3169" t="str">
        <f>面积表!D136</f>
        <v>603</v>
      </c>
      <c r="B141" s="52">
        <f>面积表!E136</f>
        <v>49.62</v>
      </c>
      <c r="C141" s="21">
        <f t="shared" si="23"/>
        <v>1</v>
      </c>
      <c r="D141" s="2559" t="s">
        <v>4016</v>
      </c>
      <c r="E141" s="21">
        <f t="shared" si="24"/>
        <v>1</v>
      </c>
      <c r="F141" s="2559" t="s">
        <v>21</v>
      </c>
      <c r="G141" s="21">
        <f t="shared" si="25"/>
        <v>1</v>
      </c>
      <c r="H141" s="631">
        <v>3</v>
      </c>
      <c r="I141" s="21">
        <f t="shared" si="26"/>
        <v>1</v>
      </c>
      <c r="J141" s="631"/>
      <c r="K141" s="21">
        <f t="shared" si="27"/>
        <v>1</v>
      </c>
      <c r="L141" s="631"/>
      <c r="M141" s="21">
        <f t="shared" si="28"/>
        <v>1</v>
      </c>
      <c r="N141" s="631"/>
      <c r="O141" s="21">
        <f t="shared" si="29"/>
        <v>1</v>
      </c>
      <c r="P141" s="2559" t="s">
        <v>3409</v>
      </c>
      <c r="Q141" s="21">
        <f t="shared" si="30"/>
        <v>1</v>
      </c>
      <c r="R141" s="21">
        <f t="shared" ca="1" si="31"/>
        <v>14150</v>
      </c>
      <c r="S141" s="307">
        <f t="shared" ca="1" si="32"/>
        <v>70</v>
      </c>
      <c r="T141" s="3190">
        <f>面积表!A136</f>
        <v>0</v>
      </c>
    </row>
    <row r="142" spans="1:20">
      <c r="A142" s="3169" t="str">
        <f>面积表!D137</f>
        <v>604</v>
      </c>
      <c r="B142" s="52">
        <f>面积表!E137</f>
        <v>49.62</v>
      </c>
      <c r="C142" s="21">
        <f t="shared" si="23"/>
        <v>1</v>
      </c>
      <c r="D142" s="2559" t="s">
        <v>4016</v>
      </c>
      <c r="E142" s="21">
        <f t="shared" si="24"/>
        <v>1</v>
      </c>
      <c r="F142" s="2559" t="s">
        <v>21</v>
      </c>
      <c r="G142" s="21">
        <f t="shared" si="25"/>
        <v>1</v>
      </c>
      <c r="H142" s="631">
        <v>3</v>
      </c>
      <c r="I142" s="21">
        <f t="shared" si="26"/>
        <v>1</v>
      </c>
      <c r="J142" s="631"/>
      <c r="K142" s="21">
        <f t="shared" si="27"/>
        <v>1</v>
      </c>
      <c r="L142" s="631"/>
      <c r="M142" s="21">
        <f t="shared" si="28"/>
        <v>1</v>
      </c>
      <c r="N142" s="631"/>
      <c r="O142" s="21">
        <f t="shared" si="29"/>
        <v>1</v>
      </c>
      <c r="P142" s="2559" t="s">
        <v>3409</v>
      </c>
      <c r="Q142" s="21">
        <f t="shared" si="30"/>
        <v>1</v>
      </c>
      <c r="R142" s="21">
        <f t="shared" ca="1" si="31"/>
        <v>14150</v>
      </c>
      <c r="S142" s="307">
        <f t="shared" ca="1" si="32"/>
        <v>70</v>
      </c>
      <c r="T142" s="3190">
        <f>面积表!A137</f>
        <v>0</v>
      </c>
    </row>
    <row r="143" spans="1:20">
      <c r="A143" s="3169" t="str">
        <f>面积表!D138</f>
        <v>605</v>
      </c>
      <c r="B143" s="52">
        <f>面积表!E138</f>
        <v>49.62</v>
      </c>
      <c r="C143" s="21">
        <f t="shared" si="23"/>
        <v>1</v>
      </c>
      <c r="D143" s="2559" t="s">
        <v>4016</v>
      </c>
      <c r="E143" s="21">
        <f t="shared" si="24"/>
        <v>1</v>
      </c>
      <c r="F143" s="2559" t="s">
        <v>21</v>
      </c>
      <c r="G143" s="21">
        <f t="shared" si="25"/>
        <v>1</v>
      </c>
      <c r="H143" s="631">
        <v>3</v>
      </c>
      <c r="I143" s="21">
        <f t="shared" si="26"/>
        <v>1</v>
      </c>
      <c r="J143" s="631"/>
      <c r="K143" s="21">
        <f t="shared" si="27"/>
        <v>1</v>
      </c>
      <c r="L143" s="631"/>
      <c r="M143" s="21">
        <f t="shared" si="28"/>
        <v>1</v>
      </c>
      <c r="N143" s="631"/>
      <c r="O143" s="21">
        <f t="shared" si="29"/>
        <v>1</v>
      </c>
      <c r="P143" s="2559" t="s">
        <v>3409</v>
      </c>
      <c r="Q143" s="21">
        <f t="shared" si="30"/>
        <v>1</v>
      </c>
      <c r="R143" s="21">
        <f t="shared" ca="1" si="31"/>
        <v>14150</v>
      </c>
      <c r="S143" s="307">
        <f t="shared" ca="1" si="32"/>
        <v>70</v>
      </c>
      <c r="T143" s="3190">
        <f>面积表!A138</f>
        <v>0</v>
      </c>
    </row>
    <row r="144" spans="1:20">
      <c r="A144" s="3169" t="str">
        <f>面积表!D139</f>
        <v>606</v>
      </c>
      <c r="B144" s="52">
        <f>面积表!E139</f>
        <v>49.62</v>
      </c>
      <c r="C144" s="21">
        <f t="shared" si="23"/>
        <v>1</v>
      </c>
      <c r="D144" s="2559" t="s">
        <v>4016</v>
      </c>
      <c r="E144" s="21">
        <f t="shared" si="24"/>
        <v>1</v>
      </c>
      <c r="F144" s="2559" t="s">
        <v>21</v>
      </c>
      <c r="G144" s="21">
        <f t="shared" si="25"/>
        <v>1</v>
      </c>
      <c r="H144" s="631">
        <v>3</v>
      </c>
      <c r="I144" s="21">
        <f t="shared" si="26"/>
        <v>1</v>
      </c>
      <c r="J144" s="631"/>
      <c r="K144" s="21">
        <f t="shared" si="27"/>
        <v>1</v>
      </c>
      <c r="L144" s="631"/>
      <c r="M144" s="21">
        <f t="shared" si="28"/>
        <v>1</v>
      </c>
      <c r="N144" s="631"/>
      <c r="O144" s="21">
        <f t="shared" si="29"/>
        <v>1</v>
      </c>
      <c r="P144" s="2559" t="s">
        <v>3409</v>
      </c>
      <c r="Q144" s="21">
        <f t="shared" si="30"/>
        <v>1</v>
      </c>
      <c r="R144" s="21">
        <f t="shared" ca="1" si="31"/>
        <v>14150</v>
      </c>
      <c r="S144" s="307">
        <f t="shared" ca="1" si="32"/>
        <v>70</v>
      </c>
      <c r="T144" s="3190">
        <f>面积表!A139</f>
        <v>0</v>
      </c>
    </row>
    <row r="145" spans="1:20">
      <c r="A145" s="3169" t="str">
        <f>面积表!D140</f>
        <v>607</v>
      </c>
      <c r="B145" s="52">
        <f>面积表!E140</f>
        <v>49.62</v>
      </c>
      <c r="C145" s="21">
        <f t="shared" si="23"/>
        <v>1</v>
      </c>
      <c r="D145" s="2559" t="s">
        <v>4016</v>
      </c>
      <c r="E145" s="21">
        <f t="shared" si="24"/>
        <v>1</v>
      </c>
      <c r="F145" s="2559" t="s">
        <v>21</v>
      </c>
      <c r="G145" s="21">
        <f t="shared" si="25"/>
        <v>1</v>
      </c>
      <c r="H145" s="631">
        <v>3</v>
      </c>
      <c r="I145" s="21">
        <f t="shared" si="26"/>
        <v>1</v>
      </c>
      <c r="J145" s="631"/>
      <c r="K145" s="21">
        <f t="shared" si="27"/>
        <v>1</v>
      </c>
      <c r="L145" s="631"/>
      <c r="M145" s="21">
        <f t="shared" si="28"/>
        <v>1</v>
      </c>
      <c r="N145" s="631"/>
      <c r="O145" s="21">
        <f t="shared" si="29"/>
        <v>1</v>
      </c>
      <c r="P145" s="2559" t="s">
        <v>3409</v>
      </c>
      <c r="Q145" s="21">
        <f t="shared" si="30"/>
        <v>1</v>
      </c>
      <c r="R145" s="21">
        <f t="shared" ca="1" si="31"/>
        <v>14150</v>
      </c>
      <c r="S145" s="307">
        <f t="shared" ca="1" si="32"/>
        <v>70</v>
      </c>
      <c r="T145" s="3190">
        <f>面积表!A140</f>
        <v>0</v>
      </c>
    </row>
    <row r="146" spans="1:20">
      <c r="A146" s="3169" t="str">
        <f>面积表!D141</f>
        <v>608</v>
      </c>
      <c r="B146" s="52">
        <f>面积表!E141</f>
        <v>49.62</v>
      </c>
      <c r="C146" s="21">
        <f t="shared" si="23"/>
        <v>1</v>
      </c>
      <c r="D146" s="2559" t="s">
        <v>4016</v>
      </c>
      <c r="E146" s="21">
        <f t="shared" si="24"/>
        <v>1</v>
      </c>
      <c r="F146" s="2559" t="s">
        <v>21</v>
      </c>
      <c r="G146" s="21">
        <f t="shared" si="25"/>
        <v>1</v>
      </c>
      <c r="H146" s="631">
        <v>3</v>
      </c>
      <c r="I146" s="21">
        <f t="shared" si="26"/>
        <v>1</v>
      </c>
      <c r="J146" s="631"/>
      <c r="K146" s="21">
        <f t="shared" si="27"/>
        <v>1</v>
      </c>
      <c r="L146" s="631"/>
      <c r="M146" s="21">
        <f t="shared" si="28"/>
        <v>1</v>
      </c>
      <c r="N146" s="631"/>
      <c r="O146" s="21">
        <f t="shared" si="29"/>
        <v>1</v>
      </c>
      <c r="P146" s="2559" t="s">
        <v>3409</v>
      </c>
      <c r="Q146" s="21">
        <f t="shared" si="30"/>
        <v>1</v>
      </c>
      <c r="R146" s="21">
        <f t="shared" ca="1" si="31"/>
        <v>14150</v>
      </c>
      <c r="S146" s="307">
        <f t="shared" ca="1" si="32"/>
        <v>70</v>
      </c>
      <c r="T146" s="3190">
        <f>面积表!A141</f>
        <v>0</v>
      </c>
    </row>
    <row r="147" spans="1:20">
      <c r="A147" s="3169" t="str">
        <f>面积表!D142</f>
        <v>609</v>
      </c>
      <c r="B147" s="52">
        <f>面积表!E142</f>
        <v>49.62</v>
      </c>
      <c r="C147" s="21">
        <f t="shared" si="23"/>
        <v>1</v>
      </c>
      <c r="D147" s="2559" t="s">
        <v>4016</v>
      </c>
      <c r="E147" s="21">
        <f t="shared" si="24"/>
        <v>1</v>
      </c>
      <c r="F147" s="2559" t="s">
        <v>21</v>
      </c>
      <c r="G147" s="21">
        <f t="shared" si="25"/>
        <v>1</v>
      </c>
      <c r="H147" s="631">
        <v>3</v>
      </c>
      <c r="I147" s="21">
        <f t="shared" si="26"/>
        <v>1</v>
      </c>
      <c r="J147" s="631"/>
      <c r="K147" s="21">
        <f t="shared" si="27"/>
        <v>1</v>
      </c>
      <c r="L147" s="631"/>
      <c r="M147" s="21">
        <f t="shared" si="28"/>
        <v>1</v>
      </c>
      <c r="N147" s="631"/>
      <c r="O147" s="21">
        <f t="shared" si="29"/>
        <v>1</v>
      </c>
      <c r="P147" s="2559" t="s">
        <v>3409</v>
      </c>
      <c r="Q147" s="21">
        <f t="shared" si="30"/>
        <v>1</v>
      </c>
      <c r="R147" s="21">
        <f t="shared" ca="1" si="31"/>
        <v>14150</v>
      </c>
      <c r="S147" s="307">
        <f t="shared" ca="1" si="32"/>
        <v>70</v>
      </c>
      <c r="T147" s="3190">
        <f>面积表!A142</f>
        <v>0</v>
      </c>
    </row>
    <row r="148" spans="1:20">
      <c r="A148" s="3169" t="str">
        <f>面积表!D143</f>
        <v>610</v>
      </c>
      <c r="B148" s="52">
        <f>面积表!E143</f>
        <v>49.62</v>
      </c>
      <c r="C148" s="21">
        <f t="shared" si="23"/>
        <v>1</v>
      </c>
      <c r="D148" s="2559" t="s">
        <v>4016</v>
      </c>
      <c r="E148" s="21">
        <f t="shared" si="24"/>
        <v>1</v>
      </c>
      <c r="F148" s="2559" t="s">
        <v>21</v>
      </c>
      <c r="G148" s="21">
        <f t="shared" si="25"/>
        <v>1</v>
      </c>
      <c r="H148" s="631">
        <v>3</v>
      </c>
      <c r="I148" s="21">
        <f t="shared" si="26"/>
        <v>1</v>
      </c>
      <c r="J148" s="631"/>
      <c r="K148" s="21">
        <f t="shared" si="27"/>
        <v>1</v>
      </c>
      <c r="L148" s="631"/>
      <c r="M148" s="21">
        <f t="shared" si="28"/>
        <v>1</v>
      </c>
      <c r="N148" s="631"/>
      <c r="O148" s="21">
        <f t="shared" si="29"/>
        <v>1</v>
      </c>
      <c r="P148" s="2559" t="s">
        <v>3409</v>
      </c>
      <c r="Q148" s="21">
        <f t="shared" si="30"/>
        <v>1</v>
      </c>
      <c r="R148" s="21">
        <f t="shared" ca="1" si="31"/>
        <v>14150</v>
      </c>
      <c r="S148" s="307">
        <f t="shared" ca="1" si="32"/>
        <v>70</v>
      </c>
      <c r="T148" s="3190">
        <f>面积表!A143</f>
        <v>0</v>
      </c>
    </row>
    <row r="149" spans="1:20">
      <c r="A149" s="3169" t="str">
        <f>面积表!D144</f>
        <v>611</v>
      </c>
      <c r="B149" s="52">
        <f>面积表!E144</f>
        <v>49.62</v>
      </c>
      <c r="C149" s="21">
        <f t="shared" si="23"/>
        <v>1</v>
      </c>
      <c r="D149" s="2559" t="s">
        <v>4016</v>
      </c>
      <c r="E149" s="21">
        <f t="shared" si="24"/>
        <v>1</v>
      </c>
      <c r="F149" s="2559" t="s">
        <v>21</v>
      </c>
      <c r="G149" s="21">
        <f t="shared" si="25"/>
        <v>1</v>
      </c>
      <c r="H149" s="631">
        <v>3</v>
      </c>
      <c r="I149" s="21">
        <f t="shared" si="26"/>
        <v>1</v>
      </c>
      <c r="J149" s="631"/>
      <c r="K149" s="21">
        <f t="shared" si="27"/>
        <v>1</v>
      </c>
      <c r="L149" s="631"/>
      <c r="M149" s="21">
        <f t="shared" si="28"/>
        <v>1</v>
      </c>
      <c r="N149" s="631"/>
      <c r="O149" s="21">
        <f t="shared" si="29"/>
        <v>1</v>
      </c>
      <c r="P149" s="2559" t="s">
        <v>3409</v>
      </c>
      <c r="Q149" s="21">
        <f t="shared" si="30"/>
        <v>1</v>
      </c>
      <c r="R149" s="21">
        <f t="shared" ca="1" si="31"/>
        <v>14150</v>
      </c>
      <c r="S149" s="307">
        <f t="shared" ca="1" si="32"/>
        <v>70</v>
      </c>
      <c r="T149" s="3190">
        <f>面积表!A144</f>
        <v>0</v>
      </c>
    </row>
    <row r="150" spans="1:20">
      <c r="A150" s="3169" t="str">
        <f>面积表!D145</f>
        <v>612</v>
      </c>
      <c r="B150" s="52">
        <f>面积表!E145</f>
        <v>49.62</v>
      </c>
      <c r="C150" s="21">
        <f t="shared" si="23"/>
        <v>1</v>
      </c>
      <c r="D150" s="2559" t="s">
        <v>4016</v>
      </c>
      <c r="E150" s="21">
        <f t="shared" si="24"/>
        <v>1</v>
      </c>
      <c r="F150" s="2559" t="s">
        <v>21</v>
      </c>
      <c r="G150" s="21">
        <f t="shared" si="25"/>
        <v>1</v>
      </c>
      <c r="H150" s="631">
        <v>3</v>
      </c>
      <c r="I150" s="21">
        <f t="shared" si="26"/>
        <v>1</v>
      </c>
      <c r="J150" s="631"/>
      <c r="K150" s="21">
        <f t="shared" si="27"/>
        <v>1</v>
      </c>
      <c r="L150" s="631"/>
      <c r="M150" s="21">
        <f t="shared" si="28"/>
        <v>1</v>
      </c>
      <c r="N150" s="631"/>
      <c r="O150" s="21">
        <f t="shared" si="29"/>
        <v>1</v>
      </c>
      <c r="P150" s="2559" t="s">
        <v>3409</v>
      </c>
      <c r="Q150" s="21">
        <f t="shared" si="30"/>
        <v>1</v>
      </c>
      <c r="R150" s="21">
        <f t="shared" ca="1" si="31"/>
        <v>14150</v>
      </c>
      <c r="S150" s="307">
        <f t="shared" ca="1" si="32"/>
        <v>70</v>
      </c>
      <c r="T150" s="3190">
        <f>面积表!A145</f>
        <v>0</v>
      </c>
    </row>
    <row r="151" spans="1:20">
      <c r="A151" s="3169" t="str">
        <f>面积表!D146</f>
        <v>613</v>
      </c>
      <c r="B151" s="52">
        <f>面积表!E146</f>
        <v>49.62</v>
      </c>
      <c r="C151" s="21">
        <f t="shared" si="23"/>
        <v>1</v>
      </c>
      <c r="D151" s="2559" t="s">
        <v>4016</v>
      </c>
      <c r="E151" s="21">
        <f t="shared" si="24"/>
        <v>1</v>
      </c>
      <c r="F151" s="2559" t="s">
        <v>21</v>
      </c>
      <c r="G151" s="21">
        <f t="shared" si="25"/>
        <v>1</v>
      </c>
      <c r="H151" s="631">
        <v>3</v>
      </c>
      <c r="I151" s="21">
        <f t="shared" si="26"/>
        <v>1</v>
      </c>
      <c r="J151" s="631"/>
      <c r="K151" s="21">
        <f t="shared" si="27"/>
        <v>1</v>
      </c>
      <c r="L151" s="631"/>
      <c r="M151" s="21">
        <f t="shared" si="28"/>
        <v>1</v>
      </c>
      <c r="N151" s="631"/>
      <c r="O151" s="21">
        <f t="shared" si="29"/>
        <v>1</v>
      </c>
      <c r="P151" s="2559" t="s">
        <v>3409</v>
      </c>
      <c r="Q151" s="21">
        <f t="shared" si="30"/>
        <v>1</v>
      </c>
      <c r="R151" s="21">
        <f t="shared" ca="1" si="31"/>
        <v>14150</v>
      </c>
      <c r="S151" s="307">
        <f t="shared" ca="1" si="32"/>
        <v>70</v>
      </c>
      <c r="T151" s="3190">
        <f>面积表!A146</f>
        <v>0</v>
      </c>
    </row>
    <row r="152" spans="1:20">
      <c r="A152" s="3169" t="str">
        <f>面积表!D147</f>
        <v>614</v>
      </c>
      <c r="B152" s="52">
        <f>面积表!E147</f>
        <v>49.62</v>
      </c>
      <c r="C152" s="21">
        <f t="shared" si="23"/>
        <v>1</v>
      </c>
      <c r="D152" s="2559" t="s">
        <v>4016</v>
      </c>
      <c r="E152" s="21">
        <f t="shared" si="24"/>
        <v>1</v>
      </c>
      <c r="F152" s="2559" t="s">
        <v>21</v>
      </c>
      <c r="G152" s="21">
        <f t="shared" si="25"/>
        <v>1</v>
      </c>
      <c r="H152" s="631">
        <v>3</v>
      </c>
      <c r="I152" s="21">
        <f t="shared" si="26"/>
        <v>1</v>
      </c>
      <c r="J152" s="631"/>
      <c r="K152" s="21">
        <f t="shared" si="27"/>
        <v>1</v>
      </c>
      <c r="L152" s="631"/>
      <c r="M152" s="21">
        <f t="shared" si="28"/>
        <v>1</v>
      </c>
      <c r="N152" s="631"/>
      <c r="O152" s="21">
        <f t="shared" si="29"/>
        <v>1</v>
      </c>
      <c r="P152" s="2559" t="s">
        <v>3409</v>
      </c>
      <c r="Q152" s="21">
        <f t="shared" si="30"/>
        <v>1</v>
      </c>
      <c r="R152" s="21">
        <f t="shared" ca="1" si="31"/>
        <v>14150</v>
      </c>
      <c r="S152" s="307">
        <f t="shared" ca="1" si="32"/>
        <v>70</v>
      </c>
      <c r="T152" s="3190">
        <f>面积表!A147</f>
        <v>0</v>
      </c>
    </row>
    <row r="153" spans="1:20">
      <c r="A153" s="3169" t="str">
        <f>面积表!D148</f>
        <v>615</v>
      </c>
      <c r="B153" s="52">
        <f>面积表!E148</f>
        <v>49.62</v>
      </c>
      <c r="C153" s="21">
        <f t="shared" si="23"/>
        <v>1</v>
      </c>
      <c r="D153" s="2559" t="s">
        <v>4016</v>
      </c>
      <c r="E153" s="21">
        <f t="shared" si="24"/>
        <v>1</v>
      </c>
      <c r="F153" s="2559" t="s">
        <v>21</v>
      </c>
      <c r="G153" s="21">
        <f t="shared" si="25"/>
        <v>1</v>
      </c>
      <c r="H153" s="631">
        <v>3</v>
      </c>
      <c r="I153" s="21">
        <f t="shared" si="26"/>
        <v>1</v>
      </c>
      <c r="J153" s="631"/>
      <c r="K153" s="21">
        <f t="shared" si="27"/>
        <v>1</v>
      </c>
      <c r="L153" s="631"/>
      <c r="M153" s="21">
        <f t="shared" si="28"/>
        <v>1</v>
      </c>
      <c r="N153" s="631"/>
      <c r="O153" s="21">
        <f t="shared" si="29"/>
        <v>1</v>
      </c>
      <c r="P153" s="2559" t="s">
        <v>3409</v>
      </c>
      <c r="Q153" s="21">
        <f t="shared" si="30"/>
        <v>1</v>
      </c>
      <c r="R153" s="21">
        <f t="shared" ca="1" si="31"/>
        <v>14150</v>
      </c>
      <c r="S153" s="307">
        <f t="shared" ca="1" si="32"/>
        <v>70</v>
      </c>
      <c r="T153" s="3190">
        <f>面积表!A148</f>
        <v>0</v>
      </c>
    </row>
    <row r="154" spans="1:20">
      <c r="A154" s="3169" t="str">
        <f>面积表!D149</f>
        <v>616</v>
      </c>
      <c r="B154" s="52">
        <f>面积表!E149</f>
        <v>68.78</v>
      </c>
      <c r="C154" s="21">
        <f t="shared" ref="C154:C217" si="33">IF(B154="",1,(LOOKUP(B154,$3:$3,$4:$4)-LOOKUP($B$24,$3:$3,$4:$4)+100)/100)</f>
        <v>1.01</v>
      </c>
      <c r="D154" s="2559" t="s">
        <v>4016</v>
      </c>
      <c r="E154" s="21">
        <f t="shared" ref="E154:E217" si="34">(SUMIF($5:$5,D154,$6:$6)-SUMIF($5:$5,$D$24,$6:$6)+100)/100</f>
        <v>1</v>
      </c>
      <c r="F154" s="2559" t="s">
        <v>21</v>
      </c>
      <c r="G154" s="21">
        <f t="shared" ref="G154:G217" si="35">(SUMIF($7:$7,F154,$8:$8)-SUMIF($7:$7,$F$24,$8:$8)+100)/100</f>
        <v>1</v>
      </c>
      <c r="H154" s="631">
        <v>3</v>
      </c>
      <c r="I154" s="21">
        <f t="shared" ref="I154:I217" si="36">(SUMIF($9:$9,H154,$10:$10)-SUMIF($9:$9,$H$24,$10:$10)+100)/100</f>
        <v>1</v>
      </c>
      <c r="J154" s="631"/>
      <c r="K154" s="21">
        <f t="shared" ref="K154:K217" si="37">(SUMIF($11:$11,J154,$12:$12)-SUMIF($11:$11,$J$24,$12:$12)+100)/100</f>
        <v>1</v>
      </c>
      <c r="L154" s="631"/>
      <c r="M154" s="21">
        <f t="shared" ref="M154:M217" si="38">(SUMIF($13:$13,L154,$14:$14)-SUMIF($13:$13,$L$24,$14:$14)+100)/100</f>
        <v>1</v>
      </c>
      <c r="N154" s="631"/>
      <c r="O154" s="21">
        <f t="shared" ref="O154:O217" si="39">(SUMIF($15:$15,N154,$16:$16)-SUMIF($15:$15,$N$24,$16:$16)+100)/100</f>
        <v>1</v>
      </c>
      <c r="P154" s="2559" t="s">
        <v>3409</v>
      </c>
      <c r="Q154" s="21">
        <f t="shared" ref="Q154:Q217" si="40">(SUMIF($17:$17,P154,$18:$18)-SUMIF($17:$17,$P$24,$18:$18)+100)/100</f>
        <v>1</v>
      </c>
      <c r="R154" s="21">
        <f t="shared" ref="R154:R217" ca="1" si="41">IF(B154="",0,ROUND($R$24*C154*E154*G154*I154*K154*M154*O154*Q154,0))</f>
        <v>14292</v>
      </c>
      <c r="S154" s="307">
        <f t="shared" ca="1" si="32"/>
        <v>98</v>
      </c>
      <c r="T154" s="3190">
        <f>面积表!A149</f>
        <v>0</v>
      </c>
    </row>
    <row r="155" spans="1:20">
      <c r="A155" s="3169" t="str">
        <f>面积表!D150</f>
        <v>617</v>
      </c>
      <c r="B155" s="52">
        <f>面积表!E150</f>
        <v>38.1</v>
      </c>
      <c r="C155" s="21">
        <f t="shared" si="33"/>
        <v>1</v>
      </c>
      <c r="D155" s="2559" t="s">
        <v>4016</v>
      </c>
      <c r="E155" s="21">
        <f t="shared" si="34"/>
        <v>1</v>
      </c>
      <c r="F155" s="2559" t="s">
        <v>21</v>
      </c>
      <c r="G155" s="21">
        <f t="shared" si="35"/>
        <v>1</v>
      </c>
      <c r="H155" s="631">
        <v>3</v>
      </c>
      <c r="I155" s="21">
        <f t="shared" si="36"/>
        <v>1</v>
      </c>
      <c r="J155" s="631"/>
      <c r="K155" s="21">
        <f t="shared" si="37"/>
        <v>1</v>
      </c>
      <c r="L155" s="631"/>
      <c r="M155" s="21">
        <f t="shared" si="38"/>
        <v>1</v>
      </c>
      <c r="N155" s="631"/>
      <c r="O155" s="21">
        <f t="shared" si="39"/>
        <v>1</v>
      </c>
      <c r="P155" s="2559" t="s">
        <v>3409</v>
      </c>
      <c r="Q155" s="21">
        <f t="shared" si="40"/>
        <v>1</v>
      </c>
      <c r="R155" s="21">
        <f t="shared" ca="1" si="41"/>
        <v>14150</v>
      </c>
      <c r="S155" s="307">
        <f t="shared" ca="1" si="32"/>
        <v>54</v>
      </c>
      <c r="T155" s="3190">
        <f>面积表!A150</f>
        <v>0</v>
      </c>
    </row>
    <row r="156" spans="1:20">
      <c r="A156" s="3169" t="str">
        <f>面积表!D151</f>
        <v>618</v>
      </c>
      <c r="B156" s="52">
        <f>面积表!E151</f>
        <v>41.4</v>
      </c>
      <c r="C156" s="21">
        <f t="shared" si="33"/>
        <v>1</v>
      </c>
      <c r="D156" s="2559" t="s">
        <v>4016</v>
      </c>
      <c r="E156" s="21">
        <f t="shared" si="34"/>
        <v>1</v>
      </c>
      <c r="F156" s="2559" t="s">
        <v>21</v>
      </c>
      <c r="G156" s="21">
        <f t="shared" si="35"/>
        <v>1</v>
      </c>
      <c r="H156" s="631">
        <v>3</v>
      </c>
      <c r="I156" s="21">
        <f t="shared" si="36"/>
        <v>1</v>
      </c>
      <c r="J156" s="631"/>
      <c r="K156" s="21">
        <f t="shared" si="37"/>
        <v>1</v>
      </c>
      <c r="L156" s="631"/>
      <c r="M156" s="21">
        <f t="shared" si="38"/>
        <v>1</v>
      </c>
      <c r="N156" s="631"/>
      <c r="O156" s="21">
        <f t="shared" si="39"/>
        <v>1</v>
      </c>
      <c r="P156" s="2559" t="s">
        <v>3409</v>
      </c>
      <c r="Q156" s="21">
        <f t="shared" si="40"/>
        <v>1</v>
      </c>
      <c r="R156" s="21">
        <f t="shared" ca="1" si="41"/>
        <v>14150</v>
      </c>
      <c r="S156" s="307">
        <f t="shared" ca="1" si="32"/>
        <v>59</v>
      </c>
      <c r="T156" s="3190">
        <f>面积表!A151</f>
        <v>0</v>
      </c>
    </row>
    <row r="157" spans="1:20">
      <c r="A157" s="3169" t="str">
        <f>面积表!D152</f>
        <v>619</v>
      </c>
      <c r="B157" s="52">
        <f>面积表!E152</f>
        <v>44.09</v>
      </c>
      <c r="C157" s="21">
        <f t="shared" si="33"/>
        <v>1</v>
      </c>
      <c r="D157" s="2559" t="s">
        <v>4016</v>
      </c>
      <c r="E157" s="21">
        <f t="shared" si="34"/>
        <v>1</v>
      </c>
      <c r="F157" s="2559" t="s">
        <v>21</v>
      </c>
      <c r="G157" s="21">
        <f t="shared" si="35"/>
        <v>1</v>
      </c>
      <c r="H157" s="631">
        <v>3</v>
      </c>
      <c r="I157" s="21">
        <f t="shared" si="36"/>
        <v>1</v>
      </c>
      <c r="J157" s="631"/>
      <c r="K157" s="21">
        <f t="shared" si="37"/>
        <v>1</v>
      </c>
      <c r="L157" s="631"/>
      <c r="M157" s="21">
        <f t="shared" si="38"/>
        <v>1</v>
      </c>
      <c r="N157" s="631"/>
      <c r="O157" s="21">
        <f t="shared" si="39"/>
        <v>1</v>
      </c>
      <c r="P157" s="2559" t="s">
        <v>3409</v>
      </c>
      <c r="Q157" s="21">
        <f t="shared" si="40"/>
        <v>1</v>
      </c>
      <c r="R157" s="21">
        <f t="shared" ca="1" si="41"/>
        <v>14150</v>
      </c>
      <c r="S157" s="307">
        <f t="shared" ca="1" si="32"/>
        <v>62</v>
      </c>
      <c r="T157" s="3190">
        <f>面积表!A152</f>
        <v>0</v>
      </c>
    </row>
    <row r="158" spans="1:20">
      <c r="A158" s="3169" t="str">
        <f>面积表!D153</f>
        <v>620</v>
      </c>
      <c r="B158" s="52">
        <f>面积表!E153</f>
        <v>46.17</v>
      </c>
      <c r="C158" s="21">
        <f t="shared" si="33"/>
        <v>1</v>
      </c>
      <c r="D158" s="2559" t="s">
        <v>4016</v>
      </c>
      <c r="E158" s="21">
        <f t="shared" si="34"/>
        <v>1</v>
      </c>
      <c r="F158" s="2559" t="s">
        <v>21</v>
      </c>
      <c r="G158" s="21">
        <f t="shared" si="35"/>
        <v>1</v>
      </c>
      <c r="H158" s="631">
        <v>3</v>
      </c>
      <c r="I158" s="21">
        <f t="shared" si="36"/>
        <v>1</v>
      </c>
      <c r="J158" s="631"/>
      <c r="K158" s="21">
        <f t="shared" si="37"/>
        <v>1</v>
      </c>
      <c r="L158" s="631"/>
      <c r="M158" s="21">
        <f t="shared" si="38"/>
        <v>1</v>
      </c>
      <c r="N158" s="631"/>
      <c r="O158" s="21">
        <f t="shared" si="39"/>
        <v>1</v>
      </c>
      <c r="P158" s="2559" t="s">
        <v>3409</v>
      </c>
      <c r="Q158" s="21">
        <f t="shared" si="40"/>
        <v>1</v>
      </c>
      <c r="R158" s="21">
        <f t="shared" ca="1" si="41"/>
        <v>14150</v>
      </c>
      <c r="S158" s="307">
        <f t="shared" ca="1" si="32"/>
        <v>65</v>
      </c>
      <c r="T158" s="3190">
        <f>面积表!A153</f>
        <v>0</v>
      </c>
    </row>
    <row r="159" spans="1:20">
      <c r="A159" s="3169" t="str">
        <f>面积表!D154</f>
        <v>621</v>
      </c>
      <c r="B159" s="52">
        <f>面积表!E154</f>
        <v>47.65</v>
      </c>
      <c r="C159" s="21">
        <f t="shared" si="33"/>
        <v>1</v>
      </c>
      <c r="D159" s="2559" t="s">
        <v>4016</v>
      </c>
      <c r="E159" s="21">
        <f t="shared" si="34"/>
        <v>1</v>
      </c>
      <c r="F159" s="2559" t="s">
        <v>21</v>
      </c>
      <c r="G159" s="21">
        <f t="shared" si="35"/>
        <v>1</v>
      </c>
      <c r="H159" s="631">
        <v>3</v>
      </c>
      <c r="I159" s="21">
        <f t="shared" si="36"/>
        <v>1</v>
      </c>
      <c r="J159" s="631"/>
      <c r="K159" s="21">
        <f t="shared" si="37"/>
        <v>1</v>
      </c>
      <c r="L159" s="631"/>
      <c r="M159" s="21">
        <f t="shared" si="38"/>
        <v>1</v>
      </c>
      <c r="N159" s="631"/>
      <c r="O159" s="21">
        <f t="shared" si="39"/>
        <v>1</v>
      </c>
      <c r="P159" s="2559" t="s">
        <v>3409</v>
      </c>
      <c r="Q159" s="21">
        <f t="shared" si="40"/>
        <v>1</v>
      </c>
      <c r="R159" s="21">
        <f t="shared" ca="1" si="41"/>
        <v>14150</v>
      </c>
      <c r="S159" s="307">
        <f t="shared" ca="1" si="32"/>
        <v>67</v>
      </c>
      <c r="T159" s="3190">
        <f>面积表!A154</f>
        <v>0</v>
      </c>
    </row>
    <row r="160" spans="1:20">
      <c r="A160" s="3169" t="str">
        <f>面积表!D155</f>
        <v>622</v>
      </c>
      <c r="B160" s="52">
        <f>面积表!E155</f>
        <v>48.6</v>
      </c>
      <c r="C160" s="21">
        <f t="shared" si="33"/>
        <v>1</v>
      </c>
      <c r="D160" s="2559" t="s">
        <v>4016</v>
      </c>
      <c r="E160" s="21">
        <f t="shared" si="34"/>
        <v>1</v>
      </c>
      <c r="F160" s="2559" t="s">
        <v>21</v>
      </c>
      <c r="G160" s="21">
        <f t="shared" si="35"/>
        <v>1</v>
      </c>
      <c r="H160" s="631">
        <v>3</v>
      </c>
      <c r="I160" s="21">
        <f t="shared" si="36"/>
        <v>1</v>
      </c>
      <c r="J160" s="631"/>
      <c r="K160" s="21">
        <f t="shared" si="37"/>
        <v>1</v>
      </c>
      <c r="L160" s="631"/>
      <c r="M160" s="21">
        <f t="shared" si="38"/>
        <v>1</v>
      </c>
      <c r="N160" s="631"/>
      <c r="O160" s="21">
        <f t="shared" si="39"/>
        <v>1</v>
      </c>
      <c r="P160" s="2559" t="s">
        <v>3409</v>
      </c>
      <c r="Q160" s="21">
        <f t="shared" si="40"/>
        <v>1</v>
      </c>
      <c r="R160" s="21">
        <f t="shared" ca="1" si="41"/>
        <v>14150</v>
      </c>
      <c r="S160" s="307">
        <f t="shared" ca="1" si="32"/>
        <v>69</v>
      </c>
      <c r="T160" s="3190">
        <f>面积表!A155</f>
        <v>0</v>
      </c>
    </row>
    <row r="161" spans="1:20">
      <c r="A161" s="3169" t="str">
        <f>面积表!D156</f>
        <v>623</v>
      </c>
      <c r="B161" s="52">
        <f>面积表!E156</f>
        <v>48.89</v>
      </c>
      <c r="C161" s="21">
        <f t="shared" si="33"/>
        <v>1</v>
      </c>
      <c r="D161" s="2559" t="s">
        <v>4016</v>
      </c>
      <c r="E161" s="21">
        <f t="shared" si="34"/>
        <v>1</v>
      </c>
      <c r="F161" s="2559" t="s">
        <v>21</v>
      </c>
      <c r="G161" s="21">
        <f t="shared" si="35"/>
        <v>1</v>
      </c>
      <c r="H161" s="631">
        <v>3</v>
      </c>
      <c r="I161" s="21">
        <f t="shared" si="36"/>
        <v>1</v>
      </c>
      <c r="J161" s="631"/>
      <c r="K161" s="21">
        <f t="shared" si="37"/>
        <v>1</v>
      </c>
      <c r="L161" s="631"/>
      <c r="M161" s="21">
        <f t="shared" si="38"/>
        <v>1</v>
      </c>
      <c r="N161" s="631"/>
      <c r="O161" s="21">
        <f t="shared" si="39"/>
        <v>1</v>
      </c>
      <c r="P161" s="2559" t="s">
        <v>3409</v>
      </c>
      <c r="Q161" s="21">
        <f t="shared" si="40"/>
        <v>1</v>
      </c>
      <c r="R161" s="21">
        <f t="shared" ca="1" si="41"/>
        <v>14150</v>
      </c>
      <c r="S161" s="307">
        <f t="shared" ca="1" si="32"/>
        <v>69</v>
      </c>
      <c r="T161" s="3190">
        <f>面积表!A156</f>
        <v>0</v>
      </c>
    </row>
    <row r="162" spans="1:20">
      <c r="A162" s="3169" t="str">
        <f>面积表!D157</f>
        <v>624</v>
      </c>
      <c r="B162" s="52">
        <f>面积表!E157</f>
        <v>48.59</v>
      </c>
      <c r="C162" s="21">
        <f t="shared" si="33"/>
        <v>1</v>
      </c>
      <c r="D162" s="2559" t="s">
        <v>4016</v>
      </c>
      <c r="E162" s="21">
        <f t="shared" si="34"/>
        <v>1</v>
      </c>
      <c r="F162" s="2559" t="s">
        <v>21</v>
      </c>
      <c r="G162" s="21">
        <f t="shared" si="35"/>
        <v>1</v>
      </c>
      <c r="H162" s="631">
        <v>3</v>
      </c>
      <c r="I162" s="21">
        <f t="shared" si="36"/>
        <v>1</v>
      </c>
      <c r="J162" s="631"/>
      <c r="K162" s="21">
        <f t="shared" si="37"/>
        <v>1</v>
      </c>
      <c r="L162" s="631"/>
      <c r="M162" s="21">
        <f t="shared" si="38"/>
        <v>1</v>
      </c>
      <c r="N162" s="631"/>
      <c r="O162" s="21">
        <f t="shared" si="39"/>
        <v>1</v>
      </c>
      <c r="P162" s="2559" t="s">
        <v>3409</v>
      </c>
      <c r="Q162" s="21">
        <f t="shared" si="40"/>
        <v>1</v>
      </c>
      <c r="R162" s="21">
        <f t="shared" ca="1" si="41"/>
        <v>14150</v>
      </c>
      <c r="S162" s="307">
        <f t="shared" ca="1" si="32"/>
        <v>69</v>
      </c>
      <c r="T162" s="3190">
        <f>面积表!A157</f>
        <v>0</v>
      </c>
    </row>
    <row r="163" spans="1:20">
      <c r="A163" s="3169" t="str">
        <f>面积表!D158</f>
        <v>625</v>
      </c>
      <c r="B163" s="52">
        <f>面积表!E158</f>
        <v>47.73</v>
      </c>
      <c r="C163" s="21">
        <f t="shared" si="33"/>
        <v>1</v>
      </c>
      <c r="D163" s="2559" t="s">
        <v>4016</v>
      </c>
      <c r="E163" s="21">
        <f t="shared" si="34"/>
        <v>1</v>
      </c>
      <c r="F163" s="2559" t="s">
        <v>21</v>
      </c>
      <c r="G163" s="21">
        <f t="shared" si="35"/>
        <v>1</v>
      </c>
      <c r="H163" s="631">
        <v>3</v>
      </c>
      <c r="I163" s="21">
        <f t="shared" si="36"/>
        <v>1</v>
      </c>
      <c r="J163" s="631"/>
      <c r="K163" s="21">
        <f t="shared" si="37"/>
        <v>1</v>
      </c>
      <c r="L163" s="631"/>
      <c r="M163" s="21">
        <f t="shared" si="38"/>
        <v>1</v>
      </c>
      <c r="N163" s="631"/>
      <c r="O163" s="21">
        <f t="shared" si="39"/>
        <v>1</v>
      </c>
      <c r="P163" s="2559" t="s">
        <v>3409</v>
      </c>
      <c r="Q163" s="21">
        <f t="shared" si="40"/>
        <v>1</v>
      </c>
      <c r="R163" s="21">
        <f t="shared" ca="1" si="41"/>
        <v>14150</v>
      </c>
      <c r="S163" s="307">
        <f t="shared" ca="1" si="32"/>
        <v>68</v>
      </c>
      <c r="T163" s="3190">
        <f>面积表!A158</f>
        <v>0</v>
      </c>
    </row>
    <row r="164" spans="1:20">
      <c r="A164" s="3169" t="str">
        <f>面积表!D159</f>
        <v>626</v>
      </c>
      <c r="B164" s="52">
        <f>面积表!E159</f>
        <v>70.2</v>
      </c>
      <c r="C164" s="21">
        <f t="shared" si="33"/>
        <v>1.01</v>
      </c>
      <c r="D164" s="2559" t="s">
        <v>4016</v>
      </c>
      <c r="E164" s="21">
        <f t="shared" si="34"/>
        <v>1</v>
      </c>
      <c r="F164" s="2559" t="s">
        <v>21</v>
      </c>
      <c r="G164" s="21">
        <f t="shared" si="35"/>
        <v>1</v>
      </c>
      <c r="H164" s="631">
        <v>3</v>
      </c>
      <c r="I164" s="21">
        <f t="shared" si="36"/>
        <v>1</v>
      </c>
      <c r="J164" s="631"/>
      <c r="K164" s="21">
        <f t="shared" si="37"/>
        <v>1</v>
      </c>
      <c r="L164" s="631"/>
      <c r="M164" s="21">
        <f t="shared" si="38"/>
        <v>1</v>
      </c>
      <c r="N164" s="631"/>
      <c r="O164" s="21">
        <f t="shared" si="39"/>
        <v>1</v>
      </c>
      <c r="P164" s="2559" t="s">
        <v>3409</v>
      </c>
      <c r="Q164" s="21">
        <f t="shared" si="40"/>
        <v>1</v>
      </c>
      <c r="R164" s="21">
        <f t="shared" ca="1" si="41"/>
        <v>14292</v>
      </c>
      <c r="S164" s="307">
        <f t="shared" ca="1" si="32"/>
        <v>100</v>
      </c>
      <c r="T164" s="3190">
        <f>面积表!A159</f>
        <v>0</v>
      </c>
    </row>
    <row r="165" spans="1:20">
      <c r="A165" s="3169" t="str">
        <f>面积表!D160</f>
        <v>701</v>
      </c>
      <c r="B165" s="52">
        <f>面积表!E160</f>
        <v>51.46</v>
      </c>
      <c r="C165" s="21">
        <f t="shared" si="33"/>
        <v>1</v>
      </c>
      <c r="D165" s="2559" t="s">
        <v>4016</v>
      </c>
      <c r="E165" s="21">
        <f t="shared" si="34"/>
        <v>1</v>
      </c>
      <c r="F165" s="2559" t="s">
        <v>21</v>
      </c>
      <c r="G165" s="21">
        <f t="shared" si="35"/>
        <v>1</v>
      </c>
      <c r="H165" s="631">
        <v>3</v>
      </c>
      <c r="I165" s="21">
        <f t="shared" si="36"/>
        <v>1</v>
      </c>
      <c r="J165" s="631"/>
      <c r="K165" s="21">
        <f t="shared" si="37"/>
        <v>1</v>
      </c>
      <c r="L165" s="631"/>
      <c r="M165" s="21">
        <f t="shared" si="38"/>
        <v>1</v>
      </c>
      <c r="N165" s="631"/>
      <c r="O165" s="21">
        <f t="shared" si="39"/>
        <v>1</v>
      </c>
      <c r="P165" s="2559" t="s">
        <v>3409</v>
      </c>
      <c r="Q165" s="21">
        <f t="shared" si="40"/>
        <v>1</v>
      </c>
      <c r="R165" s="21">
        <f t="shared" ca="1" si="41"/>
        <v>14150</v>
      </c>
      <c r="S165" s="307">
        <f t="shared" ca="1" si="32"/>
        <v>73</v>
      </c>
      <c r="T165" s="3190">
        <f>面积表!A160</f>
        <v>0</v>
      </c>
    </row>
    <row r="166" spans="1:20">
      <c r="A166" s="3169" t="str">
        <f>面积表!D161</f>
        <v>702</v>
      </c>
      <c r="B166" s="52">
        <f>面积表!E161</f>
        <v>49.62</v>
      </c>
      <c r="C166" s="21">
        <f t="shared" si="33"/>
        <v>1</v>
      </c>
      <c r="D166" s="2559" t="s">
        <v>4016</v>
      </c>
      <c r="E166" s="21">
        <f t="shared" si="34"/>
        <v>1</v>
      </c>
      <c r="F166" s="2559" t="s">
        <v>21</v>
      </c>
      <c r="G166" s="21">
        <f t="shared" si="35"/>
        <v>1</v>
      </c>
      <c r="H166" s="631">
        <v>3</v>
      </c>
      <c r="I166" s="21">
        <f t="shared" si="36"/>
        <v>1</v>
      </c>
      <c r="J166" s="631"/>
      <c r="K166" s="21">
        <f t="shared" si="37"/>
        <v>1</v>
      </c>
      <c r="L166" s="631"/>
      <c r="M166" s="21">
        <f t="shared" si="38"/>
        <v>1</v>
      </c>
      <c r="N166" s="631"/>
      <c r="O166" s="21">
        <f t="shared" si="39"/>
        <v>1</v>
      </c>
      <c r="P166" s="2559" t="s">
        <v>3409</v>
      </c>
      <c r="Q166" s="21">
        <f t="shared" si="40"/>
        <v>1</v>
      </c>
      <c r="R166" s="21">
        <f t="shared" ca="1" si="41"/>
        <v>14150</v>
      </c>
      <c r="S166" s="307">
        <f t="shared" ca="1" si="32"/>
        <v>70</v>
      </c>
      <c r="T166" s="3190">
        <f>面积表!A161</f>
        <v>0</v>
      </c>
    </row>
    <row r="167" spans="1:20">
      <c r="A167" s="3169" t="str">
        <f>面积表!D162</f>
        <v>703</v>
      </c>
      <c r="B167" s="52">
        <f>面积表!E162</f>
        <v>49.62</v>
      </c>
      <c r="C167" s="21">
        <f t="shared" si="33"/>
        <v>1</v>
      </c>
      <c r="D167" s="2559" t="s">
        <v>4016</v>
      </c>
      <c r="E167" s="21">
        <f t="shared" si="34"/>
        <v>1</v>
      </c>
      <c r="F167" s="2559" t="s">
        <v>21</v>
      </c>
      <c r="G167" s="21">
        <f t="shared" si="35"/>
        <v>1</v>
      </c>
      <c r="H167" s="631">
        <v>3</v>
      </c>
      <c r="I167" s="21">
        <f t="shared" si="36"/>
        <v>1</v>
      </c>
      <c r="J167" s="631"/>
      <c r="K167" s="21">
        <f t="shared" si="37"/>
        <v>1</v>
      </c>
      <c r="L167" s="631"/>
      <c r="M167" s="21">
        <f t="shared" si="38"/>
        <v>1</v>
      </c>
      <c r="N167" s="631"/>
      <c r="O167" s="21">
        <f t="shared" si="39"/>
        <v>1</v>
      </c>
      <c r="P167" s="2559" t="s">
        <v>3409</v>
      </c>
      <c r="Q167" s="21">
        <f t="shared" si="40"/>
        <v>1</v>
      </c>
      <c r="R167" s="21">
        <f t="shared" ca="1" si="41"/>
        <v>14150</v>
      </c>
      <c r="S167" s="307">
        <f t="shared" ca="1" si="32"/>
        <v>70</v>
      </c>
      <c r="T167" s="3190">
        <f>面积表!A162</f>
        <v>0</v>
      </c>
    </row>
    <row r="168" spans="1:20">
      <c r="A168" s="3169" t="str">
        <f>面积表!D163</f>
        <v>704</v>
      </c>
      <c r="B168" s="52">
        <f>面积表!E163</f>
        <v>49.62</v>
      </c>
      <c r="C168" s="21">
        <f t="shared" si="33"/>
        <v>1</v>
      </c>
      <c r="D168" s="2559" t="s">
        <v>4016</v>
      </c>
      <c r="E168" s="21">
        <f t="shared" si="34"/>
        <v>1</v>
      </c>
      <c r="F168" s="2559" t="s">
        <v>21</v>
      </c>
      <c r="G168" s="21">
        <f t="shared" si="35"/>
        <v>1</v>
      </c>
      <c r="H168" s="631">
        <v>3</v>
      </c>
      <c r="I168" s="21">
        <f t="shared" si="36"/>
        <v>1</v>
      </c>
      <c r="J168" s="631"/>
      <c r="K168" s="21">
        <f t="shared" si="37"/>
        <v>1</v>
      </c>
      <c r="L168" s="631"/>
      <c r="M168" s="21">
        <f t="shared" si="38"/>
        <v>1</v>
      </c>
      <c r="N168" s="631"/>
      <c r="O168" s="21">
        <f t="shared" si="39"/>
        <v>1</v>
      </c>
      <c r="P168" s="2559" t="s">
        <v>3409</v>
      </c>
      <c r="Q168" s="21">
        <f t="shared" si="40"/>
        <v>1</v>
      </c>
      <c r="R168" s="21">
        <f t="shared" ca="1" si="41"/>
        <v>14150</v>
      </c>
      <c r="S168" s="307">
        <f t="shared" ca="1" si="32"/>
        <v>70</v>
      </c>
      <c r="T168" s="3190">
        <f>面积表!A163</f>
        <v>0</v>
      </c>
    </row>
    <row r="169" spans="1:20">
      <c r="A169" s="3169" t="str">
        <f>面积表!D164</f>
        <v>705</v>
      </c>
      <c r="B169" s="52">
        <f>面积表!E164</f>
        <v>49.62</v>
      </c>
      <c r="C169" s="21">
        <f t="shared" si="33"/>
        <v>1</v>
      </c>
      <c r="D169" s="2559" t="s">
        <v>4016</v>
      </c>
      <c r="E169" s="21">
        <f t="shared" si="34"/>
        <v>1</v>
      </c>
      <c r="F169" s="2559" t="s">
        <v>21</v>
      </c>
      <c r="G169" s="21">
        <f t="shared" si="35"/>
        <v>1</v>
      </c>
      <c r="H169" s="631">
        <v>3</v>
      </c>
      <c r="I169" s="21">
        <f t="shared" si="36"/>
        <v>1</v>
      </c>
      <c r="J169" s="631"/>
      <c r="K169" s="21">
        <f t="shared" si="37"/>
        <v>1</v>
      </c>
      <c r="L169" s="631"/>
      <c r="M169" s="21">
        <f t="shared" si="38"/>
        <v>1</v>
      </c>
      <c r="N169" s="631"/>
      <c r="O169" s="21">
        <f t="shared" si="39"/>
        <v>1</v>
      </c>
      <c r="P169" s="2559" t="s">
        <v>3409</v>
      </c>
      <c r="Q169" s="21">
        <f t="shared" si="40"/>
        <v>1</v>
      </c>
      <c r="R169" s="21">
        <f t="shared" ca="1" si="41"/>
        <v>14150</v>
      </c>
      <c r="S169" s="307">
        <f t="shared" ca="1" si="32"/>
        <v>70</v>
      </c>
      <c r="T169" s="3190">
        <f>面积表!A164</f>
        <v>0</v>
      </c>
    </row>
    <row r="170" spans="1:20">
      <c r="A170" s="3169" t="str">
        <f>面积表!D165</f>
        <v>706</v>
      </c>
      <c r="B170" s="52">
        <f>面积表!E165</f>
        <v>49.62</v>
      </c>
      <c r="C170" s="21">
        <f t="shared" si="33"/>
        <v>1</v>
      </c>
      <c r="D170" s="2559" t="s">
        <v>4016</v>
      </c>
      <c r="E170" s="21">
        <f t="shared" si="34"/>
        <v>1</v>
      </c>
      <c r="F170" s="2559" t="s">
        <v>21</v>
      </c>
      <c r="G170" s="21">
        <f t="shared" si="35"/>
        <v>1</v>
      </c>
      <c r="H170" s="631">
        <v>3</v>
      </c>
      <c r="I170" s="21">
        <f t="shared" si="36"/>
        <v>1</v>
      </c>
      <c r="J170" s="631"/>
      <c r="K170" s="21">
        <f t="shared" si="37"/>
        <v>1</v>
      </c>
      <c r="L170" s="631"/>
      <c r="M170" s="21">
        <f t="shared" si="38"/>
        <v>1</v>
      </c>
      <c r="N170" s="631"/>
      <c r="O170" s="21">
        <f t="shared" si="39"/>
        <v>1</v>
      </c>
      <c r="P170" s="2559" t="s">
        <v>3409</v>
      </c>
      <c r="Q170" s="21">
        <f t="shared" si="40"/>
        <v>1</v>
      </c>
      <c r="R170" s="21">
        <f t="shared" ca="1" si="41"/>
        <v>14150</v>
      </c>
      <c r="S170" s="307">
        <f t="shared" ca="1" si="32"/>
        <v>70</v>
      </c>
      <c r="T170" s="3190">
        <f>面积表!A165</f>
        <v>0</v>
      </c>
    </row>
    <row r="171" spans="1:20">
      <c r="A171" s="3169" t="str">
        <f>面积表!D166</f>
        <v>707</v>
      </c>
      <c r="B171" s="52">
        <f>面积表!E166</f>
        <v>49.62</v>
      </c>
      <c r="C171" s="21">
        <f t="shared" si="33"/>
        <v>1</v>
      </c>
      <c r="D171" s="2559" t="s">
        <v>4016</v>
      </c>
      <c r="E171" s="21">
        <f t="shared" si="34"/>
        <v>1</v>
      </c>
      <c r="F171" s="2559" t="s">
        <v>21</v>
      </c>
      <c r="G171" s="21">
        <f t="shared" si="35"/>
        <v>1</v>
      </c>
      <c r="H171" s="631">
        <v>3</v>
      </c>
      <c r="I171" s="21">
        <f t="shared" si="36"/>
        <v>1</v>
      </c>
      <c r="J171" s="631"/>
      <c r="K171" s="21">
        <f t="shared" si="37"/>
        <v>1</v>
      </c>
      <c r="L171" s="631"/>
      <c r="M171" s="21">
        <f t="shared" si="38"/>
        <v>1</v>
      </c>
      <c r="N171" s="631"/>
      <c r="O171" s="21">
        <f t="shared" si="39"/>
        <v>1</v>
      </c>
      <c r="P171" s="2559" t="s">
        <v>3409</v>
      </c>
      <c r="Q171" s="21">
        <f t="shared" si="40"/>
        <v>1</v>
      </c>
      <c r="R171" s="21">
        <f t="shared" ca="1" si="41"/>
        <v>14150</v>
      </c>
      <c r="S171" s="307">
        <f t="shared" ca="1" si="32"/>
        <v>70</v>
      </c>
      <c r="T171" s="3190">
        <f>面积表!A166</f>
        <v>0</v>
      </c>
    </row>
    <row r="172" spans="1:20">
      <c r="A172" s="3169" t="str">
        <f>面积表!D167</f>
        <v>708</v>
      </c>
      <c r="B172" s="52">
        <f>面积表!E167</f>
        <v>49.62</v>
      </c>
      <c r="C172" s="21">
        <f t="shared" si="33"/>
        <v>1</v>
      </c>
      <c r="D172" s="2559" t="s">
        <v>4016</v>
      </c>
      <c r="E172" s="21">
        <f t="shared" si="34"/>
        <v>1</v>
      </c>
      <c r="F172" s="2559" t="s">
        <v>21</v>
      </c>
      <c r="G172" s="21">
        <f t="shared" si="35"/>
        <v>1</v>
      </c>
      <c r="H172" s="631">
        <v>3</v>
      </c>
      <c r="I172" s="21">
        <f t="shared" si="36"/>
        <v>1</v>
      </c>
      <c r="J172" s="631"/>
      <c r="K172" s="21">
        <f t="shared" si="37"/>
        <v>1</v>
      </c>
      <c r="L172" s="631"/>
      <c r="M172" s="21">
        <f t="shared" si="38"/>
        <v>1</v>
      </c>
      <c r="N172" s="631"/>
      <c r="O172" s="21">
        <f t="shared" si="39"/>
        <v>1</v>
      </c>
      <c r="P172" s="2559" t="s">
        <v>3409</v>
      </c>
      <c r="Q172" s="21">
        <f t="shared" si="40"/>
        <v>1</v>
      </c>
      <c r="R172" s="21">
        <f t="shared" ca="1" si="41"/>
        <v>14150</v>
      </c>
      <c r="S172" s="307">
        <f t="shared" ca="1" si="32"/>
        <v>70</v>
      </c>
      <c r="T172" s="3190">
        <f>面积表!A167</f>
        <v>0</v>
      </c>
    </row>
    <row r="173" spans="1:20">
      <c r="A173" s="3169" t="str">
        <f>面积表!D168</f>
        <v>709</v>
      </c>
      <c r="B173" s="52">
        <f>面积表!E168</f>
        <v>49.62</v>
      </c>
      <c r="C173" s="21">
        <f t="shared" si="33"/>
        <v>1</v>
      </c>
      <c r="D173" s="2559" t="s">
        <v>4016</v>
      </c>
      <c r="E173" s="21">
        <f t="shared" si="34"/>
        <v>1</v>
      </c>
      <c r="F173" s="2559" t="s">
        <v>21</v>
      </c>
      <c r="G173" s="21">
        <f t="shared" si="35"/>
        <v>1</v>
      </c>
      <c r="H173" s="631">
        <v>3</v>
      </c>
      <c r="I173" s="21">
        <f t="shared" si="36"/>
        <v>1</v>
      </c>
      <c r="J173" s="631"/>
      <c r="K173" s="21">
        <f t="shared" si="37"/>
        <v>1</v>
      </c>
      <c r="L173" s="631"/>
      <c r="M173" s="21">
        <f t="shared" si="38"/>
        <v>1</v>
      </c>
      <c r="N173" s="631"/>
      <c r="O173" s="21">
        <f t="shared" si="39"/>
        <v>1</v>
      </c>
      <c r="P173" s="2559" t="s">
        <v>3409</v>
      </c>
      <c r="Q173" s="21">
        <f t="shared" si="40"/>
        <v>1</v>
      </c>
      <c r="R173" s="21">
        <f t="shared" ca="1" si="41"/>
        <v>14150</v>
      </c>
      <c r="S173" s="307">
        <f t="shared" ca="1" si="32"/>
        <v>70</v>
      </c>
      <c r="T173" s="3190">
        <f>面积表!A168</f>
        <v>0</v>
      </c>
    </row>
    <row r="174" spans="1:20">
      <c r="A174" s="3169" t="str">
        <f>面积表!D169</f>
        <v>710</v>
      </c>
      <c r="B174" s="52">
        <f>面积表!E169</f>
        <v>49.62</v>
      </c>
      <c r="C174" s="21">
        <f t="shared" si="33"/>
        <v>1</v>
      </c>
      <c r="D174" s="2559" t="s">
        <v>4016</v>
      </c>
      <c r="E174" s="21">
        <f t="shared" si="34"/>
        <v>1</v>
      </c>
      <c r="F174" s="2559" t="s">
        <v>21</v>
      </c>
      <c r="G174" s="21">
        <f t="shared" si="35"/>
        <v>1</v>
      </c>
      <c r="H174" s="631">
        <v>3</v>
      </c>
      <c r="I174" s="21">
        <f t="shared" si="36"/>
        <v>1</v>
      </c>
      <c r="J174" s="631"/>
      <c r="K174" s="21">
        <f t="shared" si="37"/>
        <v>1</v>
      </c>
      <c r="L174" s="631"/>
      <c r="M174" s="21">
        <f t="shared" si="38"/>
        <v>1</v>
      </c>
      <c r="N174" s="631"/>
      <c r="O174" s="21">
        <f t="shared" si="39"/>
        <v>1</v>
      </c>
      <c r="P174" s="2559" t="s">
        <v>3409</v>
      </c>
      <c r="Q174" s="21">
        <f t="shared" si="40"/>
        <v>1</v>
      </c>
      <c r="R174" s="21">
        <f t="shared" ca="1" si="41"/>
        <v>14150</v>
      </c>
      <c r="S174" s="307">
        <f t="shared" ca="1" si="32"/>
        <v>70</v>
      </c>
      <c r="T174" s="3190">
        <f>面积表!A169</f>
        <v>0</v>
      </c>
    </row>
    <row r="175" spans="1:20">
      <c r="A175" s="3169" t="str">
        <f>面积表!D170</f>
        <v>711</v>
      </c>
      <c r="B175" s="52">
        <f>面积表!E170</f>
        <v>49.62</v>
      </c>
      <c r="C175" s="21">
        <f t="shared" si="33"/>
        <v>1</v>
      </c>
      <c r="D175" s="2559" t="s">
        <v>4016</v>
      </c>
      <c r="E175" s="21">
        <f t="shared" si="34"/>
        <v>1</v>
      </c>
      <c r="F175" s="2559" t="s">
        <v>21</v>
      </c>
      <c r="G175" s="21">
        <f t="shared" si="35"/>
        <v>1</v>
      </c>
      <c r="H175" s="631">
        <v>3</v>
      </c>
      <c r="I175" s="21">
        <f t="shared" si="36"/>
        <v>1</v>
      </c>
      <c r="J175" s="631"/>
      <c r="K175" s="21">
        <f t="shared" si="37"/>
        <v>1</v>
      </c>
      <c r="L175" s="631"/>
      <c r="M175" s="21">
        <f t="shared" si="38"/>
        <v>1</v>
      </c>
      <c r="N175" s="631"/>
      <c r="O175" s="21">
        <f t="shared" si="39"/>
        <v>1</v>
      </c>
      <c r="P175" s="2559" t="s">
        <v>3409</v>
      </c>
      <c r="Q175" s="21">
        <f t="shared" si="40"/>
        <v>1</v>
      </c>
      <c r="R175" s="21">
        <f t="shared" ca="1" si="41"/>
        <v>14150</v>
      </c>
      <c r="S175" s="307">
        <f t="shared" ca="1" si="32"/>
        <v>70</v>
      </c>
      <c r="T175" s="3190">
        <f>面积表!A170</f>
        <v>0</v>
      </c>
    </row>
    <row r="176" spans="1:20">
      <c r="A176" s="3169" t="str">
        <f>面积表!D171</f>
        <v>712</v>
      </c>
      <c r="B176" s="52">
        <f>面积表!E171</f>
        <v>49.62</v>
      </c>
      <c r="C176" s="21">
        <f t="shared" si="33"/>
        <v>1</v>
      </c>
      <c r="D176" s="2559" t="s">
        <v>4016</v>
      </c>
      <c r="E176" s="21">
        <f t="shared" si="34"/>
        <v>1</v>
      </c>
      <c r="F176" s="2559" t="s">
        <v>21</v>
      </c>
      <c r="G176" s="21">
        <f t="shared" si="35"/>
        <v>1</v>
      </c>
      <c r="H176" s="631">
        <v>3</v>
      </c>
      <c r="I176" s="21">
        <f t="shared" si="36"/>
        <v>1</v>
      </c>
      <c r="J176" s="631"/>
      <c r="K176" s="21">
        <f t="shared" si="37"/>
        <v>1</v>
      </c>
      <c r="L176" s="631"/>
      <c r="M176" s="21">
        <f t="shared" si="38"/>
        <v>1</v>
      </c>
      <c r="N176" s="631"/>
      <c r="O176" s="21">
        <f t="shared" si="39"/>
        <v>1</v>
      </c>
      <c r="P176" s="2559" t="s">
        <v>3409</v>
      </c>
      <c r="Q176" s="21">
        <f t="shared" si="40"/>
        <v>1</v>
      </c>
      <c r="R176" s="21">
        <f t="shared" ca="1" si="41"/>
        <v>14150</v>
      </c>
      <c r="S176" s="307">
        <f t="shared" ca="1" si="32"/>
        <v>70</v>
      </c>
      <c r="T176" s="3190">
        <f>面积表!A171</f>
        <v>0</v>
      </c>
    </row>
    <row r="177" spans="1:20">
      <c r="A177" s="3169" t="str">
        <f>面积表!D172</f>
        <v>713</v>
      </c>
      <c r="B177" s="52">
        <f>面积表!E172</f>
        <v>49.62</v>
      </c>
      <c r="C177" s="21">
        <f t="shared" si="33"/>
        <v>1</v>
      </c>
      <c r="D177" s="2559" t="s">
        <v>4016</v>
      </c>
      <c r="E177" s="21">
        <f t="shared" si="34"/>
        <v>1</v>
      </c>
      <c r="F177" s="2559" t="s">
        <v>21</v>
      </c>
      <c r="G177" s="21">
        <f t="shared" si="35"/>
        <v>1</v>
      </c>
      <c r="H177" s="631">
        <v>3</v>
      </c>
      <c r="I177" s="21">
        <f t="shared" si="36"/>
        <v>1</v>
      </c>
      <c r="J177" s="631"/>
      <c r="K177" s="21">
        <f t="shared" si="37"/>
        <v>1</v>
      </c>
      <c r="L177" s="631"/>
      <c r="M177" s="21">
        <f t="shared" si="38"/>
        <v>1</v>
      </c>
      <c r="N177" s="631"/>
      <c r="O177" s="21">
        <f t="shared" si="39"/>
        <v>1</v>
      </c>
      <c r="P177" s="2559" t="s">
        <v>3409</v>
      </c>
      <c r="Q177" s="21">
        <f t="shared" si="40"/>
        <v>1</v>
      </c>
      <c r="R177" s="21">
        <f t="shared" ca="1" si="41"/>
        <v>14150</v>
      </c>
      <c r="S177" s="307">
        <f t="shared" ca="1" si="32"/>
        <v>70</v>
      </c>
      <c r="T177" s="3190">
        <f>面积表!A172</f>
        <v>0</v>
      </c>
    </row>
    <row r="178" spans="1:20">
      <c r="A178" s="3169" t="str">
        <f>面积表!D173</f>
        <v>714</v>
      </c>
      <c r="B178" s="52">
        <f>面积表!E173</f>
        <v>49.62</v>
      </c>
      <c r="C178" s="21">
        <f t="shared" si="33"/>
        <v>1</v>
      </c>
      <c r="D178" s="2559" t="s">
        <v>4016</v>
      </c>
      <c r="E178" s="21">
        <f t="shared" si="34"/>
        <v>1</v>
      </c>
      <c r="F178" s="2559" t="s">
        <v>21</v>
      </c>
      <c r="G178" s="21">
        <f t="shared" si="35"/>
        <v>1</v>
      </c>
      <c r="H178" s="631">
        <v>3</v>
      </c>
      <c r="I178" s="21">
        <f t="shared" si="36"/>
        <v>1</v>
      </c>
      <c r="J178" s="631"/>
      <c r="K178" s="21">
        <f t="shared" si="37"/>
        <v>1</v>
      </c>
      <c r="L178" s="631"/>
      <c r="M178" s="21">
        <f t="shared" si="38"/>
        <v>1</v>
      </c>
      <c r="N178" s="631"/>
      <c r="O178" s="21">
        <f t="shared" si="39"/>
        <v>1</v>
      </c>
      <c r="P178" s="2559" t="s">
        <v>3409</v>
      </c>
      <c r="Q178" s="21">
        <f t="shared" si="40"/>
        <v>1</v>
      </c>
      <c r="R178" s="21">
        <f t="shared" ca="1" si="41"/>
        <v>14150</v>
      </c>
      <c r="S178" s="307">
        <f t="shared" ca="1" si="32"/>
        <v>70</v>
      </c>
      <c r="T178" s="3190">
        <f>面积表!A173</f>
        <v>0</v>
      </c>
    </row>
    <row r="179" spans="1:20">
      <c r="A179" s="3169" t="str">
        <f>面积表!D174</f>
        <v>715</v>
      </c>
      <c r="B179" s="52">
        <f>面积表!E174</f>
        <v>49.62</v>
      </c>
      <c r="C179" s="21">
        <f t="shared" si="33"/>
        <v>1</v>
      </c>
      <c r="D179" s="2559" t="s">
        <v>4016</v>
      </c>
      <c r="E179" s="21">
        <f t="shared" si="34"/>
        <v>1</v>
      </c>
      <c r="F179" s="2559" t="s">
        <v>21</v>
      </c>
      <c r="G179" s="21">
        <f t="shared" si="35"/>
        <v>1</v>
      </c>
      <c r="H179" s="631">
        <v>3</v>
      </c>
      <c r="I179" s="21">
        <f t="shared" si="36"/>
        <v>1</v>
      </c>
      <c r="J179" s="631"/>
      <c r="K179" s="21">
        <f t="shared" si="37"/>
        <v>1</v>
      </c>
      <c r="L179" s="631"/>
      <c r="M179" s="21">
        <f t="shared" si="38"/>
        <v>1</v>
      </c>
      <c r="N179" s="631"/>
      <c r="O179" s="21">
        <f t="shared" si="39"/>
        <v>1</v>
      </c>
      <c r="P179" s="2559" t="s">
        <v>3409</v>
      </c>
      <c r="Q179" s="21">
        <f t="shared" si="40"/>
        <v>1</v>
      </c>
      <c r="R179" s="21">
        <f t="shared" ca="1" si="41"/>
        <v>14150</v>
      </c>
      <c r="S179" s="307">
        <f t="shared" ca="1" si="32"/>
        <v>70</v>
      </c>
      <c r="T179" s="3190">
        <f>面积表!A174</f>
        <v>0</v>
      </c>
    </row>
    <row r="180" spans="1:20">
      <c r="A180" s="3169" t="str">
        <f>面积表!D175</f>
        <v>716</v>
      </c>
      <c r="B180" s="52">
        <f>面积表!E175</f>
        <v>68.78</v>
      </c>
      <c r="C180" s="21">
        <f t="shared" si="33"/>
        <v>1.01</v>
      </c>
      <c r="D180" s="2559" t="s">
        <v>4016</v>
      </c>
      <c r="E180" s="21">
        <f t="shared" si="34"/>
        <v>1</v>
      </c>
      <c r="F180" s="2559" t="s">
        <v>21</v>
      </c>
      <c r="G180" s="21">
        <f t="shared" si="35"/>
        <v>1</v>
      </c>
      <c r="H180" s="631">
        <v>3</v>
      </c>
      <c r="I180" s="21">
        <f t="shared" si="36"/>
        <v>1</v>
      </c>
      <c r="J180" s="631"/>
      <c r="K180" s="21">
        <f t="shared" si="37"/>
        <v>1</v>
      </c>
      <c r="L180" s="631"/>
      <c r="M180" s="21">
        <f t="shared" si="38"/>
        <v>1</v>
      </c>
      <c r="N180" s="631"/>
      <c r="O180" s="21">
        <f t="shared" si="39"/>
        <v>1</v>
      </c>
      <c r="P180" s="2559" t="s">
        <v>3409</v>
      </c>
      <c r="Q180" s="21">
        <f t="shared" si="40"/>
        <v>1</v>
      </c>
      <c r="R180" s="21">
        <f t="shared" ca="1" si="41"/>
        <v>14292</v>
      </c>
      <c r="S180" s="307">
        <f t="shared" ca="1" si="32"/>
        <v>98</v>
      </c>
      <c r="T180" s="3190">
        <f>面积表!A175</f>
        <v>0</v>
      </c>
    </row>
    <row r="181" spans="1:20">
      <c r="A181" s="3169" t="str">
        <f>面积表!D176</f>
        <v>717</v>
      </c>
      <c r="B181" s="52">
        <f>面积表!E176</f>
        <v>38.1</v>
      </c>
      <c r="C181" s="21">
        <f t="shared" si="33"/>
        <v>1</v>
      </c>
      <c r="D181" s="2559" t="s">
        <v>4016</v>
      </c>
      <c r="E181" s="21">
        <f t="shared" si="34"/>
        <v>1</v>
      </c>
      <c r="F181" s="2559" t="s">
        <v>21</v>
      </c>
      <c r="G181" s="21">
        <f t="shared" si="35"/>
        <v>1</v>
      </c>
      <c r="H181" s="631">
        <v>3</v>
      </c>
      <c r="I181" s="21">
        <f t="shared" si="36"/>
        <v>1</v>
      </c>
      <c r="J181" s="631"/>
      <c r="K181" s="21">
        <f t="shared" si="37"/>
        <v>1</v>
      </c>
      <c r="L181" s="631"/>
      <c r="M181" s="21">
        <f t="shared" si="38"/>
        <v>1</v>
      </c>
      <c r="N181" s="631"/>
      <c r="O181" s="21">
        <f t="shared" si="39"/>
        <v>1</v>
      </c>
      <c r="P181" s="2559" t="s">
        <v>3409</v>
      </c>
      <c r="Q181" s="21">
        <f t="shared" si="40"/>
        <v>1</v>
      </c>
      <c r="R181" s="21">
        <f t="shared" ca="1" si="41"/>
        <v>14150</v>
      </c>
      <c r="S181" s="307">
        <f t="shared" ca="1" si="32"/>
        <v>54</v>
      </c>
      <c r="T181" s="3190">
        <f>面积表!A176</f>
        <v>0</v>
      </c>
    </row>
    <row r="182" spans="1:20">
      <c r="A182" s="3169" t="str">
        <f>面积表!D177</f>
        <v>718</v>
      </c>
      <c r="B182" s="52">
        <f>面积表!E177</f>
        <v>41.4</v>
      </c>
      <c r="C182" s="21">
        <f t="shared" si="33"/>
        <v>1</v>
      </c>
      <c r="D182" s="2559" t="s">
        <v>4016</v>
      </c>
      <c r="E182" s="21">
        <f t="shared" si="34"/>
        <v>1</v>
      </c>
      <c r="F182" s="2559" t="s">
        <v>21</v>
      </c>
      <c r="G182" s="21">
        <f t="shared" si="35"/>
        <v>1</v>
      </c>
      <c r="H182" s="631">
        <v>3</v>
      </c>
      <c r="I182" s="21">
        <f t="shared" si="36"/>
        <v>1</v>
      </c>
      <c r="J182" s="631"/>
      <c r="K182" s="21">
        <f t="shared" si="37"/>
        <v>1</v>
      </c>
      <c r="L182" s="631"/>
      <c r="M182" s="21">
        <f t="shared" si="38"/>
        <v>1</v>
      </c>
      <c r="N182" s="631"/>
      <c r="O182" s="21">
        <f t="shared" si="39"/>
        <v>1</v>
      </c>
      <c r="P182" s="2559" t="s">
        <v>3409</v>
      </c>
      <c r="Q182" s="21">
        <f t="shared" si="40"/>
        <v>1</v>
      </c>
      <c r="R182" s="21">
        <f t="shared" ca="1" si="41"/>
        <v>14150</v>
      </c>
      <c r="S182" s="307">
        <f t="shared" ca="1" si="32"/>
        <v>59</v>
      </c>
      <c r="T182" s="3190">
        <f>面积表!A177</f>
        <v>0</v>
      </c>
    </row>
    <row r="183" spans="1:20">
      <c r="A183" s="3169" t="str">
        <f>面积表!D178</f>
        <v>719</v>
      </c>
      <c r="B183" s="52">
        <f>面积表!E178</f>
        <v>44.09</v>
      </c>
      <c r="C183" s="21">
        <f t="shared" si="33"/>
        <v>1</v>
      </c>
      <c r="D183" s="2559" t="s">
        <v>4016</v>
      </c>
      <c r="E183" s="21">
        <f t="shared" si="34"/>
        <v>1</v>
      </c>
      <c r="F183" s="2559" t="s">
        <v>21</v>
      </c>
      <c r="G183" s="21">
        <f t="shared" si="35"/>
        <v>1</v>
      </c>
      <c r="H183" s="631">
        <v>3</v>
      </c>
      <c r="I183" s="21">
        <f t="shared" si="36"/>
        <v>1</v>
      </c>
      <c r="J183" s="631"/>
      <c r="K183" s="21">
        <f t="shared" si="37"/>
        <v>1</v>
      </c>
      <c r="L183" s="631"/>
      <c r="M183" s="21">
        <f t="shared" si="38"/>
        <v>1</v>
      </c>
      <c r="N183" s="631"/>
      <c r="O183" s="21">
        <f t="shared" si="39"/>
        <v>1</v>
      </c>
      <c r="P183" s="2559" t="s">
        <v>3409</v>
      </c>
      <c r="Q183" s="21">
        <f t="shared" si="40"/>
        <v>1</v>
      </c>
      <c r="R183" s="21">
        <f t="shared" ca="1" si="41"/>
        <v>14150</v>
      </c>
      <c r="S183" s="307">
        <f t="shared" ca="1" si="32"/>
        <v>62</v>
      </c>
      <c r="T183" s="3190">
        <f>面积表!A178</f>
        <v>0</v>
      </c>
    </row>
    <row r="184" spans="1:20">
      <c r="A184" s="3169" t="str">
        <f>面积表!D179</f>
        <v>720</v>
      </c>
      <c r="B184" s="52">
        <f>面积表!E179</f>
        <v>46.17</v>
      </c>
      <c r="C184" s="21">
        <f t="shared" si="33"/>
        <v>1</v>
      </c>
      <c r="D184" s="2559" t="s">
        <v>4016</v>
      </c>
      <c r="E184" s="21">
        <f t="shared" si="34"/>
        <v>1</v>
      </c>
      <c r="F184" s="2559" t="s">
        <v>21</v>
      </c>
      <c r="G184" s="21">
        <f t="shared" si="35"/>
        <v>1</v>
      </c>
      <c r="H184" s="631">
        <v>3</v>
      </c>
      <c r="I184" s="21">
        <f t="shared" si="36"/>
        <v>1</v>
      </c>
      <c r="J184" s="631"/>
      <c r="K184" s="21">
        <f t="shared" si="37"/>
        <v>1</v>
      </c>
      <c r="L184" s="631"/>
      <c r="M184" s="21">
        <f t="shared" si="38"/>
        <v>1</v>
      </c>
      <c r="N184" s="631"/>
      <c r="O184" s="21">
        <f t="shared" si="39"/>
        <v>1</v>
      </c>
      <c r="P184" s="2559" t="s">
        <v>3409</v>
      </c>
      <c r="Q184" s="21">
        <f t="shared" si="40"/>
        <v>1</v>
      </c>
      <c r="R184" s="21">
        <f t="shared" ca="1" si="41"/>
        <v>14150</v>
      </c>
      <c r="S184" s="307">
        <f t="shared" ca="1" si="32"/>
        <v>65</v>
      </c>
      <c r="T184" s="3190">
        <f>面积表!A179</f>
        <v>0</v>
      </c>
    </row>
    <row r="185" spans="1:20">
      <c r="A185" s="3169" t="str">
        <f>面积表!D180</f>
        <v>721</v>
      </c>
      <c r="B185" s="52">
        <f>面积表!E180</f>
        <v>47.65</v>
      </c>
      <c r="C185" s="21">
        <f t="shared" si="33"/>
        <v>1</v>
      </c>
      <c r="D185" s="2559" t="s">
        <v>4016</v>
      </c>
      <c r="E185" s="21">
        <f t="shared" si="34"/>
        <v>1</v>
      </c>
      <c r="F185" s="2559" t="s">
        <v>21</v>
      </c>
      <c r="G185" s="21">
        <f t="shared" si="35"/>
        <v>1</v>
      </c>
      <c r="H185" s="631">
        <v>3</v>
      </c>
      <c r="I185" s="21">
        <f t="shared" si="36"/>
        <v>1</v>
      </c>
      <c r="J185" s="631"/>
      <c r="K185" s="21">
        <f t="shared" si="37"/>
        <v>1</v>
      </c>
      <c r="L185" s="631"/>
      <c r="M185" s="21">
        <f t="shared" si="38"/>
        <v>1</v>
      </c>
      <c r="N185" s="631"/>
      <c r="O185" s="21">
        <f t="shared" si="39"/>
        <v>1</v>
      </c>
      <c r="P185" s="2559" t="s">
        <v>3409</v>
      </c>
      <c r="Q185" s="21">
        <f t="shared" si="40"/>
        <v>1</v>
      </c>
      <c r="R185" s="21">
        <f t="shared" ca="1" si="41"/>
        <v>14150</v>
      </c>
      <c r="S185" s="307">
        <f t="shared" ca="1" si="32"/>
        <v>67</v>
      </c>
      <c r="T185" s="3190">
        <f>面积表!A180</f>
        <v>0</v>
      </c>
    </row>
    <row r="186" spans="1:20">
      <c r="A186" s="3169" t="str">
        <f>面积表!D181</f>
        <v>722</v>
      </c>
      <c r="B186" s="52">
        <f>面积表!E181</f>
        <v>48.6</v>
      </c>
      <c r="C186" s="21">
        <f t="shared" si="33"/>
        <v>1</v>
      </c>
      <c r="D186" s="2559" t="s">
        <v>4016</v>
      </c>
      <c r="E186" s="21">
        <f t="shared" si="34"/>
        <v>1</v>
      </c>
      <c r="F186" s="2559" t="s">
        <v>21</v>
      </c>
      <c r="G186" s="21">
        <f t="shared" si="35"/>
        <v>1</v>
      </c>
      <c r="H186" s="631">
        <v>3</v>
      </c>
      <c r="I186" s="21">
        <f t="shared" si="36"/>
        <v>1</v>
      </c>
      <c r="J186" s="631"/>
      <c r="K186" s="21">
        <f t="shared" si="37"/>
        <v>1</v>
      </c>
      <c r="L186" s="631"/>
      <c r="M186" s="21">
        <f t="shared" si="38"/>
        <v>1</v>
      </c>
      <c r="N186" s="631"/>
      <c r="O186" s="21">
        <f t="shared" si="39"/>
        <v>1</v>
      </c>
      <c r="P186" s="2559" t="s">
        <v>3409</v>
      </c>
      <c r="Q186" s="21">
        <f t="shared" si="40"/>
        <v>1</v>
      </c>
      <c r="R186" s="21">
        <f t="shared" ca="1" si="41"/>
        <v>14150</v>
      </c>
      <c r="S186" s="307">
        <f t="shared" ca="1" si="32"/>
        <v>69</v>
      </c>
      <c r="T186" s="3190">
        <f>面积表!A181</f>
        <v>0</v>
      </c>
    </row>
    <row r="187" spans="1:20">
      <c r="A187" s="3169" t="str">
        <f>面积表!D182</f>
        <v>723</v>
      </c>
      <c r="B187" s="52">
        <f>面积表!E182</f>
        <v>48.89</v>
      </c>
      <c r="C187" s="21">
        <f t="shared" si="33"/>
        <v>1</v>
      </c>
      <c r="D187" s="2559" t="s">
        <v>4016</v>
      </c>
      <c r="E187" s="21">
        <f t="shared" si="34"/>
        <v>1</v>
      </c>
      <c r="F187" s="2559" t="s">
        <v>21</v>
      </c>
      <c r="G187" s="21">
        <f t="shared" si="35"/>
        <v>1</v>
      </c>
      <c r="H187" s="631">
        <v>3</v>
      </c>
      <c r="I187" s="21">
        <f t="shared" si="36"/>
        <v>1</v>
      </c>
      <c r="J187" s="631"/>
      <c r="K187" s="21">
        <f t="shared" si="37"/>
        <v>1</v>
      </c>
      <c r="L187" s="631"/>
      <c r="M187" s="21">
        <f t="shared" si="38"/>
        <v>1</v>
      </c>
      <c r="N187" s="631"/>
      <c r="O187" s="21">
        <f t="shared" si="39"/>
        <v>1</v>
      </c>
      <c r="P187" s="2559" t="s">
        <v>3409</v>
      </c>
      <c r="Q187" s="21">
        <f t="shared" si="40"/>
        <v>1</v>
      </c>
      <c r="R187" s="21">
        <f t="shared" ca="1" si="41"/>
        <v>14150</v>
      </c>
      <c r="S187" s="307">
        <f t="shared" ref="S187:S222" ca="1" si="42">ROUND(R187*B187/10000,0)</f>
        <v>69</v>
      </c>
      <c r="T187" s="3190">
        <f>面积表!A182</f>
        <v>0</v>
      </c>
    </row>
    <row r="188" spans="1:20">
      <c r="A188" s="3169" t="str">
        <f>面积表!D183</f>
        <v>724</v>
      </c>
      <c r="B188" s="52">
        <f>面积表!E183</f>
        <v>48.59</v>
      </c>
      <c r="C188" s="21">
        <f t="shared" si="33"/>
        <v>1</v>
      </c>
      <c r="D188" s="2559" t="s">
        <v>4016</v>
      </c>
      <c r="E188" s="21">
        <f t="shared" si="34"/>
        <v>1</v>
      </c>
      <c r="F188" s="2559" t="s">
        <v>21</v>
      </c>
      <c r="G188" s="21">
        <f t="shared" si="35"/>
        <v>1</v>
      </c>
      <c r="H188" s="631">
        <v>3</v>
      </c>
      <c r="I188" s="21">
        <f t="shared" si="36"/>
        <v>1</v>
      </c>
      <c r="J188" s="631"/>
      <c r="K188" s="21">
        <f t="shared" si="37"/>
        <v>1</v>
      </c>
      <c r="L188" s="631"/>
      <c r="M188" s="21">
        <f t="shared" si="38"/>
        <v>1</v>
      </c>
      <c r="N188" s="631"/>
      <c r="O188" s="21">
        <f t="shared" si="39"/>
        <v>1</v>
      </c>
      <c r="P188" s="2559" t="s">
        <v>3409</v>
      </c>
      <c r="Q188" s="21">
        <f t="shared" si="40"/>
        <v>1</v>
      </c>
      <c r="R188" s="21">
        <f t="shared" ca="1" si="41"/>
        <v>14150</v>
      </c>
      <c r="S188" s="307">
        <f t="shared" ca="1" si="42"/>
        <v>69</v>
      </c>
      <c r="T188" s="3190">
        <f>面积表!A183</f>
        <v>0</v>
      </c>
    </row>
    <row r="189" spans="1:20">
      <c r="A189" s="3169" t="str">
        <f>面积表!D184</f>
        <v>725</v>
      </c>
      <c r="B189" s="52">
        <f>面积表!E184</f>
        <v>47.73</v>
      </c>
      <c r="C189" s="21">
        <f t="shared" si="33"/>
        <v>1</v>
      </c>
      <c r="D189" s="2559" t="s">
        <v>4016</v>
      </c>
      <c r="E189" s="21">
        <f t="shared" si="34"/>
        <v>1</v>
      </c>
      <c r="F189" s="2559" t="s">
        <v>21</v>
      </c>
      <c r="G189" s="21">
        <f t="shared" si="35"/>
        <v>1</v>
      </c>
      <c r="H189" s="631">
        <v>3</v>
      </c>
      <c r="I189" s="21">
        <f t="shared" si="36"/>
        <v>1</v>
      </c>
      <c r="J189" s="631"/>
      <c r="K189" s="21">
        <f t="shared" si="37"/>
        <v>1</v>
      </c>
      <c r="L189" s="631"/>
      <c r="M189" s="21">
        <f t="shared" si="38"/>
        <v>1</v>
      </c>
      <c r="N189" s="631"/>
      <c r="O189" s="21">
        <f t="shared" si="39"/>
        <v>1</v>
      </c>
      <c r="P189" s="2559" t="s">
        <v>3409</v>
      </c>
      <c r="Q189" s="21">
        <f t="shared" si="40"/>
        <v>1</v>
      </c>
      <c r="R189" s="21">
        <f t="shared" ca="1" si="41"/>
        <v>14150</v>
      </c>
      <c r="S189" s="307">
        <f t="shared" ca="1" si="42"/>
        <v>68</v>
      </c>
      <c r="T189" s="3190">
        <f>面积表!A184</f>
        <v>0</v>
      </c>
    </row>
    <row r="190" spans="1:20">
      <c r="A190" s="3169" t="str">
        <f>面积表!D185</f>
        <v>726</v>
      </c>
      <c r="B190" s="52">
        <f>面积表!E185</f>
        <v>70.2</v>
      </c>
      <c r="C190" s="21">
        <f t="shared" si="33"/>
        <v>1.01</v>
      </c>
      <c r="D190" s="2559" t="s">
        <v>4016</v>
      </c>
      <c r="E190" s="21">
        <f t="shared" si="34"/>
        <v>1</v>
      </c>
      <c r="F190" s="2559" t="s">
        <v>21</v>
      </c>
      <c r="G190" s="21">
        <f t="shared" si="35"/>
        <v>1</v>
      </c>
      <c r="H190" s="631">
        <v>3</v>
      </c>
      <c r="I190" s="21">
        <f t="shared" si="36"/>
        <v>1</v>
      </c>
      <c r="J190" s="631"/>
      <c r="K190" s="21">
        <f t="shared" si="37"/>
        <v>1</v>
      </c>
      <c r="L190" s="631"/>
      <c r="M190" s="21">
        <f t="shared" si="38"/>
        <v>1</v>
      </c>
      <c r="N190" s="631"/>
      <c r="O190" s="21">
        <f t="shared" si="39"/>
        <v>1</v>
      </c>
      <c r="P190" s="2559" t="s">
        <v>3409</v>
      </c>
      <c r="Q190" s="21">
        <f t="shared" si="40"/>
        <v>1</v>
      </c>
      <c r="R190" s="21">
        <f t="shared" ca="1" si="41"/>
        <v>14292</v>
      </c>
      <c r="S190" s="307">
        <f t="shared" ca="1" si="42"/>
        <v>100</v>
      </c>
      <c r="T190" s="3190">
        <f>面积表!A185</f>
        <v>0</v>
      </c>
    </row>
    <row r="191" spans="1:20">
      <c r="A191" s="3169" t="str">
        <f>面积表!D186</f>
        <v>801</v>
      </c>
      <c r="B191" s="52">
        <f>面积表!E186</f>
        <v>51.46</v>
      </c>
      <c r="C191" s="21">
        <f t="shared" si="33"/>
        <v>1</v>
      </c>
      <c r="D191" s="2559" t="s">
        <v>4016</v>
      </c>
      <c r="E191" s="21">
        <f t="shared" si="34"/>
        <v>1</v>
      </c>
      <c r="F191" s="2559" t="s">
        <v>21</v>
      </c>
      <c r="G191" s="21">
        <f t="shared" si="35"/>
        <v>1</v>
      </c>
      <c r="H191" s="631">
        <v>3</v>
      </c>
      <c r="I191" s="21">
        <f t="shared" si="36"/>
        <v>1</v>
      </c>
      <c r="J191" s="631"/>
      <c r="K191" s="21">
        <f t="shared" si="37"/>
        <v>1</v>
      </c>
      <c r="L191" s="631"/>
      <c r="M191" s="21">
        <f t="shared" si="38"/>
        <v>1</v>
      </c>
      <c r="N191" s="631"/>
      <c r="O191" s="21">
        <f t="shared" si="39"/>
        <v>1</v>
      </c>
      <c r="P191" s="2559" t="s">
        <v>3409</v>
      </c>
      <c r="Q191" s="21">
        <f t="shared" si="40"/>
        <v>1</v>
      </c>
      <c r="R191" s="21">
        <f t="shared" ca="1" si="41"/>
        <v>14150</v>
      </c>
      <c r="S191" s="307">
        <f t="shared" ca="1" si="42"/>
        <v>73</v>
      </c>
      <c r="T191" s="3190">
        <f>面积表!A186</f>
        <v>0</v>
      </c>
    </row>
    <row r="192" spans="1:20">
      <c r="A192" s="3169" t="str">
        <f>面积表!D187</f>
        <v>802</v>
      </c>
      <c r="B192" s="52">
        <f>面积表!E187</f>
        <v>49.62</v>
      </c>
      <c r="C192" s="21">
        <f t="shared" si="33"/>
        <v>1</v>
      </c>
      <c r="D192" s="2559" t="s">
        <v>4016</v>
      </c>
      <c r="E192" s="21">
        <f t="shared" si="34"/>
        <v>1</v>
      </c>
      <c r="F192" s="2559" t="s">
        <v>21</v>
      </c>
      <c r="G192" s="21">
        <f t="shared" si="35"/>
        <v>1</v>
      </c>
      <c r="H192" s="631">
        <v>3</v>
      </c>
      <c r="I192" s="21">
        <f t="shared" si="36"/>
        <v>1</v>
      </c>
      <c r="J192" s="631"/>
      <c r="K192" s="21">
        <f t="shared" si="37"/>
        <v>1</v>
      </c>
      <c r="L192" s="631"/>
      <c r="M192" s="21">
        <f t="shared" si="38"/>
        <v>1</v>
      </c>
      <c r="N192" s="631"/>
      <c r="O192" s="21">
        <f t="shared" si="39"/>
        <v>1</v>
      </c>
      <c r="P192" s="2559" t="s">
        <v>3409</v>
      </c>
      <c r="Q192" s="21">
        <f t="shared" si="40"/>
        <v>1</v>
      </c>
      <c r="R192" s="21">
        <f t="shared" ca="1" si="41"/>
        <v>14150</v>
      </c>
      <c r="S192" s="307">
        <f t="shared" ca="1" si="42"/>
        <v>70</v>
      </c>
      <c r="T192" s="3190">
        <f>面积表!A187</f>
        <v>0</v>
      </c>
    </row>
    <row r="193" spans="1:20">
      <c r="A193" s="3169" t="str">
        <f>面积表!D188</f>
        <v>803</v>
      </c>
      <c r="B193" s="52">
        <f>面积表!E188</f>
        <v>49.62</v>
      </c>
      <c r="C193" s="21">
        <f t="shared" si="33"/>
        <v>1</v>
      </c>
      <c r="D193" s="2559" t="s">
        <v>4016</v>
      </c>
      <c r="E193" s="21">
        <f t="shared" si="34"/>
        <v>1</v>
      </c>
      <c r="F193" s="2559" t="s">
        <v>21</v>
      </c>
      <c r="G193" s="21">
        <f t="shared" si="35"/>
        <v>1</v>
      </c>
      <c r="H193" s="631">
        <v>3</v>
      </c>
      <c r="I193" s="21">
        <f t="shared" si="36"/>
        <v>1</v>
      </c>
      <c r="J193" s="631"/>
      <c r="K193" s="21">
        <f t="shared" si="37"/>
        <v>1</v>
      </c>
      <c r="L193" s="631"/>
      <c r="M193" s="21">
        <f t="shared" si="38"/>
        <v>1</v>
      </c>
      <c r="N193" s="631"/>
      <c r="O193" s="21">
        <f t="shared" si="39"/>
        <v>1</v>
      </c>
      <c r="P193" s="2559" t="s">
        <v>3409</v>
      </c>
      <c r="Q193" s="21">
        <f t="shared" si="40"/>
        <v>1</v>
      </c>
      <c r="R193" s="21">
        <f t="shared" ca="1" si="41"/>
        <v>14150</v>
      </c>
      <c r="S193" s="307">
        <f t="shared" ca="1" si="42"/>
        <v>70</v>
      </c>
      <c r="T193" s="3190">
        <f>面积表!A188</f>
        <v>0</v>
      </c>
    </row>
    <row r="194" spans="1:20">
      <c r="A194" s="3169" t="str">
        <f>面积表!D189</f>
        <v>804</v>
      </c>
      <c r="B194" s="52">
        <f>面积表!E189</f>
        <v>49.62</v>
      </c>
      <c r="C194" s="21">
        <f t="shared" si="33"/>
        <v>1</v>
      </c>
      <c r="D194" s="2559" t="s">
        <v>4016</v>
      </c>
      <c r="E194" s="21">
        <f t="shared" si="34"/>
        <v>1</v>
      </c>
      <c r="F194" s="2559" t="s">
        <v>21</v>
      </c>
      <c r="G194" s="21">
        <f t="shared" si="35"/>
        <v>1</v>
      </c>
      <c r="H194" s="631">
        <v>3</v>
      </c>
      <c r="I194" s="21">
        <f t="shared" si="36"/>
        <v>1</v>
      </c>
      <c r="J194" s="631"/>
      <c r="K194" s="21">
        <f t="shared" si="37"/>
        <v>1</v>
      </c>
      <c r="L194" s="631"/>
      <c r="M194" s="21">
        <f t="shared" si="38"/>
        <v>1</v>
      </c>
      <c r="N194" s="631"/>
      <c r="O194" s="21">
        <f t="shared" si="39"/>
        <v>1</v>
      </c>
      <c r="P194" s="2559" t="s">
        <v>3409</v>
      </c>
      <c r="Q194" s="21">
        <f t="shared" si="40"/>
        <v>1</v>
      </c>
      <c r="R194" s="21">
        <f t="shared" ca="1" si="41"/>
        <v>14150</v>
      </c>
      <c r="S194" s="307">
        <f t="shared" ca="1" si="42"/>
        <v>70</v>
      </c>
      <c r="T194" s="3190">
        <f>面积表!A189</f>
        <v>0</v>
      </c>
    </row>
    <row r="195" spans="1:20">
      <c r="A195" s="3169" t="str">
        <f>面积表!D190</f>
        <v>805</v>
      </c>
      <c r="B195" s="52">
        <f>面积表!E190</f>
        <v>49.62</v>
      </c>
      <c r="C195" s="21">
        <f t="shared" si="33"/>
        <v>1</v>
      </c>
      <c r="D195" s="2559" t="s">
        <v>4016</v>
      </c>
      <c r="E195" s="21">
        <f t="shared" si="34"/>
        <v>1</v>
      </c>
      <c r="F195" s="2559" t="s">
        <v>21</v>
      </c>
      <c r="G195" s="21">
        <f t="shared" si="35"/>
        <v>1</v>
      </c>
      <c r="H195" s="631">
        <v>3</v>
      </c>
      <c r="I195" s="21">
        <f t="shared" si="36"/>
        <v>1</v>
      </c>
      <c r="J195" s="631"/>
      <c r="K195" s="21">
        <f t="shared" si="37"/>
        <v>1</v>
      </c>
      <c r="L195" s="631"/>
      <c r="M195" s="21">
        <f t="shared" si="38"/>
        <v>1</v>
      </c>
      <c r="N195" s="631"/>
      <c r="O195" s="21">
        <f t="shared" si="39"/>
        <v>1</v>
      </c>
      <c r="P195" s="2559" t="s">
        <v>3409</v>
      </c>
      <c r="Q195" s="21">
        <f t="shared" si="40"/>
        <v>1</v>
      </c>
      <c r="R195" s="21">
        <f t="shared" ca="1" si="41"/>
        <v>14150</v>
      </c>
      <c r="S195" s="307">
        <f t="shared" ca="1" si="42"/>
        <v>70</v>
      </c>
      <c r="T195" s="3190">
        <f>面积表!A190</f>
        <v>0</v>
      </c>
    </row>
    <row r="196" spans="1:20">
      <c r="A196" s="3169" t="str">
        <f>面积表!D191</f>
        <v>806</v>
      </c>
      <c r="B196" s="52">
        <f>面积表!E191</f>
        <v>49.62</v>
      </c>
      <c r="C196" s="21">
        <f t="shared" si="33"/>
        <v>1</v>
      </c>
      <c r="D196" s="2559" t="s">
        <v>4016</v>
      </c>
      <c r="E196" s="21">
        <f t="shared" si="34"/>
        <v>1</v>
      </c>
      <c r="F196" s="2559" t="s">
        <v>21</v>
      </c>
      <c r="G196" s="21">
        <f t="shared" si="35"/>
        <v>1</v>
      </c>
      <c r="H196" s="631">
        <v>3</v>
      </c>
      <c r="I196" s="21">
        <f t="shared" si="36"/>
        <v>1</v>
      </c>
      <c r="J196" s="631"/>
      <c r="K196" s="21">
        <f t="shared" si="37"/>
        <v>1</v>
      </c>
      <c r="L196" s="631"/>
      <c r="M196" s="21">
        <f t="shared" si="38"/>
        <v>1</v>
      </c>
      <c r="N196" s="631"/>
      <c r="O196" s="21">
        <f t="shared" si="39"/>
        <v>1</v>
      </c>
      <c r="P196" s="2559" t="s">
        <v>3409</v>
      </c>
      <c r="Q196" s="21">
        <f t="shared" si="40"/>
        <v>1</v>
      </c>
      <c r="R196" s="21">
        <f t="shared" ca="1" si="41"/>
        <v>14150</v>
      </c>
      <c r="S196" s="307">
        <f t="shared" ca="1" si="42"/>
        <v>70</v>
      </c>
      <c r="T196" s="3190">
        <f>面积表!A191</f>
        <v>0</v>
      </c>
    </row>
    <row r="197" spans="1:20">
      <c r="A197" s="3169" t="str">
        <f>面积表!D192</f>
        <v>807</v>
      </c>
      <c r="B197" s="52">
        <f>面积表!E192</f>
        <v>49.62</v>
      </c>
      <c r="C197" s="21">
        <f t="shared" si="33"/>
        <v>1</v>
      </c>
      <c r="D197" s="2559" t="s">
        <v>4016</v>
      </c>
      <c r="E197" s="21">
        <f t="shared" si="34"/>
        <v>1</v>
      </c>
      <c r="F197" s="2559" t="s">
        <v>21</v>
      </c>
      <c r="G197" s="21">
        <f t="shared" si="35"/>
        <v>1</v>
      </c>
      <c r="H197" s="631">
        <v>3</v>
      </c>
      <c r="I197" s="21">
        <f t="shared" si="36"/>
        <v>1</v>
      </c>
      <c r="J197" s="631"/>
      <c r="K197" s="21">
        <f t="shared" si="37"/>
        <v>1</v>
      </c>
      <c r="L197" s="631"/>
      <c r="M197" s="21">
        <f t="shared" si="38"/>
        <v>1</v>
      </c>
      <c r="N197" s="631"/>
      <c r="O197" s="21">
        <f t="shared" si="39"/>
        <v>1</v>
      </c>
      <c r="P197" s="2559" t="s">
        <v>3409</v>
      </c>
      <c r="Q197" s="21">
        <f t="shared" si="40"/>
        <v>1</v>
      </c>
      <c r="R197" s="21">
        <f t="shared" ca="1" si="41"/>
        <v>14150</v>
      </c>
      <c r="S197" s="307">
        <f t="shared" ca="1" si="42"/>
        <v>70</v>
      </c>
      <c r="T197" s="3190">
        <f>面积表!A192</f>
        <v>0</v>
      </c>
    </row>
    <row r="198" spans="1:20">
      <c r="A198" s="3169" t="str">
        <f>面积表!D193</f>
        <v>808</v>
      </c>
      <c r="B198" s="52">
        <f>面积表!E193</f>
        <v>49.62</v>
      </c>
      <c r="C198" s="21">
        <f t="shared" si="33"/>
        <v>1</v>
      </c>
      <c r="D198" s="2559" t="s">
        <v>4016</v>
      </c>
      <c r="E198" s="21">
        <f t="shared" si="34"/>
        <v>1</v>
      </c>
      <c r="F198" s="2559" t="s">
        <v>21</v>
      </c>
      <c r="G198" s="21">
        <f t="shared" si="35"/>
        <v>1</v>
      </c>
      <c r="H198" s="631">
        <v>3</v>
      </c>
      <c r="I198" s="21">
        <f t="shared" si="36"/>
        <v>1</v>
      </c>
      <c r="J198" s="631"/>
      <c r="K198" s="21">
        <f t="shared" si="37"/>
        <v>1</v>
      </c>
      <c r="L198" s="631"/>
      <c r="M198" s="21">
        <f t="shared" si="38"/>
        <v>1</v>
      </c>
      <c r="N198" s="631"/>
      <c r="O198" s="21">
        <f t="shared" si="39"/>
        <v>1</v>
      </c>
      <c r="P198" s="2559" t="s">
        <v>3409</v>
      </c>
      <c r="Q198" s="21">
        <f t="shared" si="40"/>
        <v>1</v>
      </c>
      <c r="R198" s="21">
        <f t="shared" ca="1" si="41"/>
        <v>14150</v>
      </c>
      <c r="S198" s="307">
        <f t="shared" ca="1" si="42"/>
        <v>70</v>
      </c>
      <c r="T198" s="3190">
        <f>面积表!A193</f>
        <v>0</v>
      </c>
    </row>
    <row r="199" spans="1:20">
      <c r="A199" s="3169" t="str">
        <f>面积表!D194</f>
        <v>809</v>
      </c>
      <c r="B199" s="52">
        <f>面积表!E194</f>
        <v>49.62</v>
      </c>
      <c r="C199" s="21">
        <f t="shared" si="33"/>
        <v>1</v>
      </c>
      <c r="D199" s="2559" t="s">
        <v>4016</v>
      </c>
      <c r="E199" s="21">
        <f t="shared" si="34"/>
        <v>1</v>
      </c>
      <c r="F199" s="2559" t="s">
        <v>21</v>
      </c>
      <c r="G199" s="21">
        <f t="shared" si="35"/>
        <v>1</v>
      </c>
      <c r="H199" s="631">
        <v>3</v>
      </c>
      <c r="I199" s="21">
        <f t="shared" si="36"/>
        <v>1</v>
      </c>
      <c r="J199" s="631"/>
      <c r="K199" s="21">
        <f t="shared" si="37"/>
        <v>1</v>
      </c>
      <c r="L199" s="631"/>
      <c r="M199" s="21">
        <f t="shared" si="38"/>
        <v>1</v>
      </c>
      <c r="N199" s="631"/>
      <c r="O199" s="21">
        <f t="shared" si="39"/>
        <v>1</v>
      </c>
      <c r="P199" s="2559" t="s">
        <v>3409</v>
      </c>
      <c r="Q199" s="21">
        <f t="shared" si="40"/>
        <v>1</v>
      </c>
      <c r="R199" s="21">
        <f t="shared" ca="1" si="41"/>
        <v>14150</v>
      </c>
      <c r="S199" s="307">
        <f t="shared" ca="1" si="42"/>
        <v>70</v>
      </c>
      <c r="T199" s="3190">
        <f>面积表!A194</f>
        <v>0</v>
      </c>
    </row>
    <row r="200" spans="1:20">
      <c r="A200" s="3169" t="str">
        <f>面积表!D195</f>
        <v>810</v>
      </c>
      <c r="B200" s="52">
        <f>面积表!E195</f>
        <v>49.62</v>
      </c>
      <c r="C200" s="21">
        <f t="shared" si="33"/>
        <v>1</v>
      </c>
      <c r="D200" s="2559" t="s">
        <v>4016</v>
      </c>
      <c r="E200" s="21">
        <f t="shared" si="34"/>
        <v>1</v>
      </c>
      <c r="F200" s="2559" t="s">
        <v>21</v>
      </c>
      <c r="G200" s="21">
        <f t="shared" si="35"/>
        <v>1</v>
      </c>
      <c r="H200" s="631">
        <v>3</v>
      </c>
      <c r="I200" s="21">
        <f t="shared" si="36"/>
        <v>1</v>
      </c>
      <c r="J200" s="631"/>
      <c r="K200" s="21">
        <f t="shared" si="37"/>
        <v>1</v>
      </c>
      <c r="L200" s="631"/>
      <c r="M200" s="21">
        <f t="shared" si="38"/>
        <v>1</v>
      </c>
      <c r="N200" s="631"/>
      <c r="O200" s="21">
        <f t="shared" si="39"/>
        <v>1</v>
      </c>
      <c r="P200" s="2559" t="s">
        <v>3409</v>
      </c>
      <c r="Q200" s="21">
        <f t="shared" si="40"/>
        <v>1</v>
      </c>
      <c r="R200" s="21">
        <f t="shared" ca="1" si="41"/>
        <v>14150</v>
      </c>
      <c r="S200" s="307">
        <f t="shared" ca="1" si="42"/>
        <v>70</v>
      </c>
      <c r="T200" s="3190">
        <f>面积表!A195</f>
        <v>0</v>
      </c>
    </row>
    <row r="201" spans="1:20">
      <c r="A201" s="3169" t="str">
        <f>面积表!D196</f>
        <v>811</v>
      </c>
      <c r="B201" s="52">
        <f>面积表!E196</f>
        <v>49.62</v>
      </c>
      <c r="C201" s="21">
        <f t="shared" si="33"/>
        <v>1</v>
      </c>
      <c r="D201" s="2559" t="s">
        <v>4016</v>
      </c>
      <c r="E201" s="21">
        <f t="shared" si="34"/>
        <v>1</v>
      </c>
      <c r="F201" s="2559" t="s">
        <v>21</v>
      </c>
      <c r="G201" s="21">
        <f t="shared" si="35"/>
        <v>1</v>
      </c>
      <c r="H201" s="631">
        <v>3</v>
      </c>
      <c r="I201" s="21">
        <f t="shared" si="36"/>
        <v>1</v>
      </c>
      <c r="J201" s="631"/>
      <c r="K201" s="21">
        <f t="shared" si="37"/>
        <v>1</v>
      </c>
      <c r="L201" s="631"/>
      <c r="M201" s="21">
        <f t="shared" si="38"/>
        <v>1</v>
      </c>
      <c r="N201" s="631"/>
      <c r="O201" s="21">
        <f t="shared" si="39"/>
        <v>1</v>
      </c>
      <c r="P201" s="2559" t="s">
        <v>3409</v>
      </c>
      <c r="Q201" s="21">
        <f t="shared" si="40"/>
        <v>1</v>
      </c>
      <c r="R201" s="21">
        <f t="shared" ca="1" si="41"/>
        <v>14150</v>
      </c>
      <c r="S201" s="307">
        <f t="shared" ca="1" si="42"/>
        <v>70</v>
      </c>
      <c r="T201" s="3190">
        <f>面积表!A196</f>
        <v>0</v>
      </c>
    </row>
    <row r="202" spans="1:20">
      <c r="A202" s="3169" t="str">
        <f>面积表!D197</f>
        <v>812</v>
      </c>
      <c r="B202" s="52">
        <f>面积表!E197</f>
        <v>49.62</v>
      </c>
      <c r="C202" s="21">
        <f t="shared" si="33"/>
        <v>1</v>
      </c>
      <c r="D202" s="2559" t="s">
        <v>4016</v>
      </c>
      <c r="E202" s="21">
        <f t="shared" si="34"/>
        <v>1</v>
      </c>
      <c r="F202" s="2559" t="s">
        <v>21</v>
      </c>
      <c r="G202" s="21">
        <f t="shared" si="35"/>
        <v>1</v>
      </c>
      <c r="H202" s="631">
        <v>3</v>
      </c>
      <c r="I202" s="21">
        <f t="shared" si="36"/>
        <v>1</v>
      </c>
      <c r="J202" s="631"/>
      <c r="K202" s="21">
        <f t="shared" si="37"/>
        <v>1</v>
      </c>
      <c r="L202" s="631"/>
      <c r="M202" s="21">
        <f t="shared" si="38"/>
        <v>1</v>
      </c>
      <c r="N202" s="631"/>
      <c r="O202" s="21">
        <f t="shared" si="39"/>
        <v>1</v>
      </c>
      <c r="P202" s="2559" t="s">
        <v>3409</v>
      </c>
      <c r="Q202" s="21">
        <f t="shared" si="40"/>
        <v>1</v>
      </c>
      <c r="R202" s="21">
        <f t="shared" ca="1" si="41"/>
        <v>14150</v>
      </c>
      <c r="S202" s="307">
        <f t="shared" ca="1" si="42"/>
        <v>70</v>
      </c>
      <c r="T202" s="3190">
        <f>面积表!A197</f>
        <v>0</v>
      </c>
    </row>
    <row r="203" spans="1:20">
      <c r="A203" s="3169" t="str">
        <f>面积表!D198</f>
        <v>813</v>
      </c>
      <c r="B203" s="52">
        <f>面积表!E198</f>
        <v>49.62</v>
      </c>
      <c r="C203" s="21">
        <f t="shared" si="33"/>
        <v>1</v>
      </c>
      <c r="D203" s="2559" t="s">
        <v>4016</v>
      </c>
      <c r="E203" s="21">
        <f t="shared" si="34"/>
        <v>1</v>
      </c>
      <c r="F203" s="2559" t="s">
        <v>21</v>
      </c>
      <c r="G203" s="21">
        <f t="shared" si="35"/>
        <v>1</v>
      </c>
      <c r="H203" s="631">
        <v>3</v>
      </c>
      <c r="I203" s="21">
        <f t="shared" si="36"/>
        <v>1</v>
      </c>
      <c r="J203" s="631"/>
      <c r="K203" s="21">
        <f t="shared" si="37"/>
        <v>1</v>
      </c>
      <c r="L203" s="631"/>
      <c r="M203" s="21">
        <f t="shared" si="38"/>
        <v>1</v>
      </c>
      <c r="N203" s="631"/>
      <c r="O203" s="21">
        <f t="shared" si="39"/>
        <v>1</v>
      </c>
      <c r="P203" s="2559" t="s">
        <v>3409</v>
      </c>
      <c r="Q203" s="21">
        <f t="shared" si="40"/>
        <v>1</v>
      </c>
      <c r="R203" s="21">
        <f t="shared" ca="1" si="41"/>
        <v>14150</v>
      </c>
      <c r="S203" s="307">
        <f t="shared" ca="1" si="42"/>
        <v>70</v>
      </c>
      <c r="T203" s="3190">
        <f>面积表!A198</f>
        <v>0</v>
      </c>
    </row>
    <row r="204" spans="1:20">
      <c r="A204" s="3169" t="str">
        <f>面积表!D199</f>
        <v>814</v>
      </c>
      <c r="B204" s="52">
        <f>面积表!E199</f>
        <v>49.62</v>
      </c>
      <c r="C204" s="21">
        <f t="shared" si="33"/>
        <v>1</v>
      </c>
      <c r="D204" s="2559" t="s">
        <v>4016</v>
      </c>
      <c r="E204" s="21">
        <f t="shared" si="34"/>
        <v>1</v>
      </c>
      <c r="F204" s="2559" t="s">
        <v>21</v>
      </c>
      <c r="G204" s="21">
        <f t="shared" si="35"/>
        <v>1</v>
      </c>
      <c r="H204" s="631">
        <v>3</v>
      </c>
      <c r="I204" s="21">
        <f t="shared" si="36"/>
        <v>1</v>
      </c>
      <c r="J204" s="631"/>
      <c r="K204" s="21">
        <f t="shared" si="37"/>
        <v>1</v>
      </c>
      <c r="L204" s="631"/>
      <c r="M204" s="21">
        <f t="shared" si="38"/>
        <v>1</v>
      </c>
      <c r="N204" s="631"/>
      <c r="O204" s="21">
        <f t="shared" si="39"/>
        <v>1</v>
      </c>
      <c r="P204" s="2559" t="s">
        <v>3409</v>
      </c>
      <c r="Q204" s="21">
        <f t="shared" si="40"/>
        <v>1</v>
      </c>
      <c r="R204" s="21">
        <f t="shared" ca="1" si="41"/>
        <v>14150</v>
      </c>
      <c r="S204" s="307">
        <f t="shared" ca="1" si="42"/>
        <v>70</v>
      </c>
      <c r="T204" s="3190">
        <f>面积表!A199</f>
        <v>0</v>
      </c>
    </row>
    <row r="205" spans="1:20">
      <c r="A205" s="3169" t="str">
        <f>面积表!D200</f>
        <v>815</v>
      </c>
      <c r="B205" s="52">
        <f>面积表!E200</f>
        <v>49.62</v>
      </c>
      <c r="C205" s="21">
        <f t="shared" si="33"/>
        <v>1</v>
      </c>
      <c r="D205" s="2559" t="s">
        <v>4016</v>
      </c>
      <c r="E205" s="21">
        <f t="shared" si="34"/>
        <v>1</v>
      </c>
      <c r="F205" s="2559" t="s">
        <v>21</v>
      </c>
      <c r="G205" s="21">
        <f t="shared" si="35"/>
        <v>1</v>
      </c>
      <c r="H205" s="631">
        <v>3</v>
      </c>
      <c r="I205" s="21">
        <f t="shared" si="36"/>
        <v>1</v>
      </c>
      <c r="J205" s="631"/>
      <c r="K205" s="21">
        <f t="shared" si="37"/>
        <v>1</v>
      </c>
      <c r="L205" s="631"/>
      <c r="M205" s="21">
        <f t="shared" si="38"/>
        <v>1</v>
      </c>
      <c r="N205" s="631"/>
      <c r="O205" s="21">
        <f t="shared" si="39"/>
        <v>1</v>
      </c>
      <c r="P205" s="2559" t="s">
        <v>3409</v>
      </c>
      <c r="Q205" s="21">
        <f t="shared" si="40"/>
        <v>1</v>
      </c>
      <c r="R205" s="21">
        <f t="shared" ca="1" si="41"/>
        <v>14150</v>
      </c>
      <c r="S205" s="307">
        <f t="shared" ca="1" si="42"/>
        <v>70</v>
      </c>
      <c r="T205" s="3190">
        <f>面积表!A200</f>
        <v>0</v>
      </c>
    </row>
    <row r="206" spans="1:20">
      <c r="A206" s="3169" t="str">
        <f>面积表!D201</f>
        <v>816</v>
      </c>
      <c r="B206" s="52">
        <f>面积表!E201</f>
        <v>68.78</v>
      </c>
      <c r="C206" s="21">
        <f t="shared" si="33"/>
        <v>1.01</v>
      </c>
      <c r="D206" s="2559" t="s">
        <v>4016</v>
      </c>
      <c r="E206" s="21">
        <f t="shared" si="34"/>
        <v>1</v>
      </c>
      <c r="F206" s="2559" t="s">
        <v>21</v>
      </c>
      <c r="G206" s="21">
        <f t="shared" si="35"/>
        <v>1</v>
      </c>
      <c r="H206" s="631">
        <v>3</v>
      </c>
      <c r="I206" s="21">
        <f t="shared" si="36"/>
        <v>1</v>
      </c>
      <c r="J206" s="631"/>
      <c r="K206" s="21">
        <f t="shared" si="37"/>
        <v>1</v>
      </c>
      <c r="L206" s="631"/>
      <c r="M206" s="21">
        <f t="shared" si="38"/>
        <v>1</v>
      </c>
      <c r="N206" s="631"/>
      <c r="O206" s="21">
        <f t="shared" si="39"/>
        <v>1</v>
      </c>
      <c r="P206" s="2559" t="s">
        <v>3409</v>
      </c>
      <c r="Q206" s="21">
        <f t="shared" si="40"/>
        <v>1</v>
      </c>
      <c r="R206" s="21">
        <f t="shared" ca="1" si="41"/>
        <v>14292</v>
      </c>
      <c r="S206" s="307">
        <f t="shared" ca="1" si="42"/>
        <v>98</v>
      </c>
      <c r="T206" s="3190">
        <f>面积表!A201</f>
        <v>0</v>
      </c>
    </row>
    <row r="207" spans="1:20">
      <c r="A207" s="3169" t="str">
        <f>面积表!D202</f>
        <v>817</v>
      </c>
      <c r="B207" s="52">
        <f>面积表!E202</f>
        <v>38.1</v>
      </c>
      <c r="C207" s="21">
        <f t="shared" si="33"/>
        <v>1</v>
      </c>
      <c r="D207" s="2559" t="s">
        <v>4016</v>
      </c>
      <c r="E207" s="21">
        <f t="shared" si="34"/>
        <v>1</v>
      </c>
      <c r="F207" s="2559" t="s">
        <v>21</v>
      </c>
      <c r="G207" s="21">
        <f t="shared" si="35"/>
        <v>1</v>
      </c>
      <c r="H207" s="631">
        <v>3</v>
      </c>
      <c r="I207" s="21">
        <f t="shared" si="36"/>
        <v>1</v>
      </c>
      <c r="J207" s="631"/>
      <c r="K207" s="21">
        <f t="shared" si="37"/>
        <v>1</v>
      </c>
      <c r="L207" s="631"/>
      <c r="M207" s="21">
        <f t="shared" si="38"/>
        <v>1</v>
      </c>
      <c r="N207" s="631"/>
      <c r="O207" s="21">
        <f t="shared" si="39"/>
        <v>1</v>
      </c>
      <c r="P207" s="2559" t="s">
        <v>3409</v>
      </c>
      <c r="Q207" s="21">
        <f t="shared" si="40"/>
        <v>1</v>
      </c>
      <c r="R207" s="21">
        <f t="shared" ca="1" si="41"/>
        <v>14150</v>
      </c>
      <c r="S207" s="307">
        <f t="shared" ca="1" si="42"/>
        <v>54</v>
      </c>
      <c r="T207" s="3190">
        <f>面积表!A202</f>
        <v>0</v>
      </c>
    </row>
    <row r="208" spans="1:20">
      <c r="A208" s="3169" t="str">
        <f>面积表!D203</f>
        <v>818</v>
      </c>
      <c r="B208" s="52">
        <f>面积表!E203</f>
        <v>41.4</v>
      </c>
      <c r="C208" s="21">
        <f t="shared" si="33"/>
        <v>1</v>
      </c>
      <c r="D208" s="2559" t="s">
        <v>4016</v>
      </c>
      <c r="E208" s="21">
        <f t="shared" si="34"/>
        <v>1</v>
      </c>
      <c r="F208" s="2559" t="s">
        <v>21</v>
      </c>
      <c r="G208" s="21">
        <f t="shared" si="35"/>
        <v>1</v>
      </c>
      <c r="H208" s="631">
        <v>3</v>
      </c>
      <c r="I208" s="21">
        <f t="shared" si="36"/>
        <v>1</v>
      </c>
      <c r="J208" s="631"/>
      <c r="K208" s="21">
        <f t="shared" si="37"/>
        <v>1</v>
      </c>
      <c r="L208" s="631"/>
      <c r="M208" s="21">
        <f t="shared" si="38"/>
        <v>1</v>
      </c>
      <c r="N208" s="631"/>
      <c r="O208" s="21">
        <f t="shared" si="39"/>
        <v>1</v>
      </c>
      <c r="P208" s="2559" t="s">
        <v>3409</v>
      </c>
      <c r="Q208" s="21">
        <f t="shared" si="40"/>
        <v>1</v>
      </c>
      <c r="R208" s="21">
        <f t="shared" ca="1" si="41"/>
        <v>14150</v>
      </c>
      <c r="S208" s="307">
        <f t="shared" ca="1" si="42"/>
        <v>59</v>
      </c>
      <c r="T208" s="3190">
        <f>面积表!A203</f>
        <v>0</v>
      </c>
    </row>
    <row r="209" spans="1:20">
      <c r="A209" s="3169" t="str">
        <f>面积表!D204</f>
        <v>819</v>
      </c>
      <c r="B209" s="52">
        <f>面积表!E204</f>
        <v>44.09</v>
      </c>
      <c r="C209" s="21">
        <f t="shared" si="33"/>
        <v>1</v>
      </c>
      <c r="D209" s="2559" t="s">
        <v>4016</v>
      </c>
      <c r="E209" s="21">
        <f t="shared" si="34"/>
        <v>1</v>
      </c>
      <c r="F209" s="2559" t="s">
        <v>21</v>
      </c>
      <c r="G209" s="21">
        <f t="shared" si="35"/>
        <v>1</v>
      </c>
      <c r="H209" s="631">
        <v>3</v>
      </c>
      <c r="I209" s="21">
        <f t="shared" si="36"/>
        <v>1</v>
      </c>
      <c r="J209" s="631"/>
      <c r="K209" s="21">
        <f t="shared" si="37"/>
        <v>1</v>
      </c>
      <c r="L209" s="631"/>
      <c r="M209" s="21">
        <f t="shared" si="38"/>
        <v>1</v>
      </c>
      <c r="N209" s="631"/>
      <c r="O209" s="21">
        <f t="shared" si="39"/>
        <v>1</v>
      </c>
      <c r="P209" s="2559" t="s">
        <v>3409</v>
      </c>
      <c r="Q209" s="21">
        <f t="shared" si="40"/>
        <v>1</v>
      </c>
      <c r="R209" s="21">
        <f t="shared" ca="1" si="41"/>
        <v>14150</v>
      </c>
      <c r="S209" s="307">
        <f t="shared" ca="1" si="42"/>
        <v>62</v>
      </c>
      <c r="T209" s="3190">
        <f>面积表!A204</f>
        <v>0</v>
      </c>
    </row>
    <row r="210" spans="1:20">
      <c r="A210" s="3169" t="str">
        <f>面积表!D205</f>
        <v>820</v>
      </c>
      <c r="B210" s="52">
        <f>面积表!E205</f>
        <v>46.17</v>
      </c>
      <c r="C210" s="21">
        <f t="shared" si="33"/>
        <v>1</v>
      </c>
      <c r="D210" s="2559" t="s">
        <v>4016</v>
      </c>
      <c r="E210" s="21">
        <f t="shared" si="34"/>
        <v>1</v>
      </c>
      <c r="F210" s="2559" t="s">
        <v>21</v>
      </c>
      <c r="G210" s="21">
        <f t="shared" si="35"/>
        <v>1</v>
      </c>
      <c r="H210" s="631">
        <v>3</v>
      </c>
      <c r="I210" s="21">
        <f t="shared" si="36"/>
        <v>1</v>
      </c>
      <c r="J210" s="631"/>
      <c r="K210" s="21">
        <f t="shared" si="37"/>
        <v>1</v>
      </c>
      <c r="L210" s="631"/>
      <c r="M210" s="21">
        <f t="shared" si="38"/>
        <v>1</v>
      </c>
      <c r="N210" s="631"/>
      <c r="O210" s="21">
        <f t="shared" si="39"/>
        <v>1</v>
      </c>
      <c r="P210" s="2559" t="s">
        <v>3409</v>
      </c>
      <c r="Q210" s="21">
        <f t="shared" si="40"/>
        <v>1</v>
      </c>
      <c r="R210" s="21">
        <f t="shared" ca="1" si="41"/>
        <v>14150</v>
      </c>
      <c r="S210" s="307">
        <f t="shared" ca="1" si="42"/>
        <v>65</v>
      </c>
      <c r="T210" s="3190">
        <f>面积表!A205</f>
        <v>0</v>
      </c>
    </row>
    <row r="211" spans="1:20">
      <c r="A211" s="3169" t="str">
        <f>面积表!D206</f>
        <v>821</v>
      </c>
      <c r="B211" s="52">
        <f>面积表!E206</f>
        <v>47.65</v>
      </c>
      <c r="C211" s="21">
        <f t="shared" si="33"/>
        <v>1</v>
      </c>
      <c r="D211" s="2559" t="s">
        <v>4016</v>
      </c>
      <c r="E211" s="21">
        <f t="shared" si="34"/>
        <v>1</v>
      </c>
      <c r="F211" s="2559" t="s">
        <v>21</v>
      </c>
      <c r="G211" s="21">
        <f t="shared" si="35"/>
        <v>1</v>
      </c>
      <c r="H211" s="631">
        <v>3</v>
      </c>
      <c r="I211" s="21">
        <f t="shared" si="36"/>
        <v>1</v>
      </c>
      <c r="J211" s="631"/>
      <c r="K211" s="21">
        <f t="shared" si="37"/>
        <v>1</v>
      </c>
      <c r="L211" s="631"/>
      <c r="M211" s="21">
        <f t="shared" si="38"/>
        <v>1</v>
      </c>
      <c r="N211" s="631"/>
      <c r="O211" s="21">
        <f t="shared" si="39"/>
        <v>1</v>
      </c>
      <c r="P211" s="2559" t="s">
        <v>3409</v>
      </c>
      <c r="Q211" s="21">
        <f t="shared" si="40"/>
        <v>1</v>
      </c>
      <c r="R211" s="21">
        <f t="shared" ca="1" si="41"/>
        <v>14150</v>
      </c>
      <c r="S211" s="307">
        <f t="shared" ca="1" si="42"/>
        <v>67</v>
      </c>
      <c r="T211" s="3190">
        <f>面积表!A206</f>
        <v>0</v>
      </c>
    </row>
    <row r="212" spans="1:20">
      <c r="A212" s="3169" t="str">
        <f>面积表!D207</f>
        <v>822</v>
      </c>
      <c r="B212" s="52">
        <f>面积表!E207</f>
        <v>48.6</v>
      </c>
      <c r="C212" s="21">
        <f t="shared" si="33"/>
        <v>1</v>
      </c>
      <c r="D212" s="2559" t="s">
        <v>4016</v>
      </c>
      <c r="E212" s="21">
        <f t="shared" si="34"/>
        <v>1</v>
      </c>
      <c r="F212" s="2559" t="s">
        <v>21</v>
      </c>
      <c r="G212" s="21">
        <f t="shared" si="35"/>
        <v>1</v>
      </c>
      <c r="H212" s="631">
        <v>3</v>
      </c>
      <c r="I212" s="21">
        <f t="shared" si="36"/>
        <v>1</v>
      </c>
      <c r="J212" s="631"/>
      <c r="K212" s="21">
        <f t="shared" si="37"/>
        <v>1</v>
      </c>
      <c r="L212" s="631"/>
      <c r="M212" s="21">
        <f t="shared" si="38"/>
        <v>1</v>
      </c>
      <c r="N212" s="631"/>
      <c r="O212" s="21">
        <f t="shared" si="39"/>
        <v>1</v>
      </c>
      <c r="P212" s="2559" t="s">
        <v>3409</v>
      </c>
      <c r="Q212" s="21">
        <f t="shared" si="40"/>
        <v>1</v>
      </c>
      <c r="R212" s="21">
        <f t="shared" ca="1" si="41"/>
        <v>14150</v>
      </c>
      <c r="S212" s="307">
        <f t="shared" ca="1" si="42"/>
        <v>69</v>
      </c>
      <c r="T212" s="3190">
        <f>面积表!A207</f>
        <v>0</v>
      </c>
    </row>
    <row r="213" spans="1:20">
      <c r="A213" s="3169" t="str">
        <f>面积表!D208</f>
        <v>823</v>
      </c>
      <c r="B213" s="52">
        <f>面积表!E208</f>
        <v>48.89</v>
      </c>
      <c r="C213" s="21">
        <f t="shared" si="33"/>
        <v>1</v>
      </c>
      <c r="D213" s="2559" t="s">
        <v>4016</v>
      </c>
      <c r="E213" s="21">
        <f t="shared" si="34"/>
        <v>1</v>
      </c>
      <c r="F213" s="2559" t="s">
        <v>21</v>
      </c>
      <c r="G213" s="21">
        <f t="shared" si="35"/>
        <v>1</v>
      </c>
      <c r="H213" s="631">
        <v>3</v>
      </c>
      <c r="I213" s="21">
        <f t="shared" si="36"/>
        <v>1</v>
      </c>
      <c r="J213" s="631"/>
      <c r="K213" s="21">
        <f t="shared" si="37"/>
        <v>1</v>
      </c>
      <c r="L213" s="631"/>
      <c r="M213" s="21">
        <f t="shared" si="38"/>
        <v>1</v>
      </c>
      <c r="N213" s="631"/>
      <c r="O213" s="21">
        <f t="shared" si="39"/>
        <v>1</v>
      </c>
      <c r="P213" s="2559" t="s">
        <v>3409</v>
      </c>
      <c r="Q213" s="21">
        <f t="shared" si="40"/>
        <v>1</v>
      </c>
      <c r="R213" s="21">
        <f t="shared" ca="1" si="41"/>
        <v>14150</v>
      </c>
      <c r="S213" s="307">
        <f t="shared" ca="1" si="42"/>
        <v>69</v>
      </c>
      <c r="T213" s="3190">
        <f>面积表!A208</f>
        <v>0</v>
      </c>
    </row>
    <row r="214" spans="1:20">
      <c r="A214" s="3169" t="str">
        <f>面积表!D209</f>
        <v>824</v>
      </c>
      <c r="B214" s="52">
        <f>面积表!E209</f>
        <v>48.59</v>
      </c>
      <c r="C214" s="21">
        <f t="shared" si="33"/>
        <v>1</v>
      </c>
      <c r="D214" s="2559" t="s">
        <v>4016</v>
      </c>
      <c r="E214" s="21">
        <f t="shared" si="34"/>
        <v>1</v>
      </c>
      <c r="F214" s="2559" t="s">
        <v>21</v>
      </c>
      <c r="G214" s="21">
        <f t="shared" si="35"/>
        <v>1</v>
      </c>
      <c r="H214" s="631">
        <v>3</v>
      </c>
      <c r="I214" s="21">
        <f t="shared" si="36"/>
        <v>1</v>
      </c>
      <c r="J214" s="631"/>
      <c r="K214" s="21">
        <f t="shared" si="37"/>
        <v>1</v>
      </c>
      <c r="L214" s="631"/>
      <c r="M214" s="21">
        <f t="shared" si="38"/>
        <v>1</v>
      </c>
      <c r="N214" s="631"/>
      <c r="O214" s="21">
        <f t="shared" si="39"/>
        <v>1</v>
      </c>
      <c r="P214" s="2559" t="s">
        <v>3409</v>
      </c>
      <c r="Q214" s="21">
        <f t="shared" si="40"/>
        <v>1</v>
      </c>
      <c r="R214" s="21">
        <f t="shared" ca="1" si="41"/>
        <v>14150</v>
      </c>
      <c r="S214" s="307">
        <f t="shared" ca="1" si="42"/>
        <v>69</v>
      </c>
      <c r="T214" s="3190">
        <f>面积表!A209</f>
        <v>0</v>
      </c>
    </row>
    <row r="215" spans="1:20">
      <c r="A215" s="3169" t="str">
        <f>面积表!D210</f>
        <v>825</v>
      </c>
      <c r="B215" s="52">
        <f>面积表!E210</f>
        <v>47.73</v>
      </c>
      <c r="C215" s="21">
        <f t="shared" si="33"/>
        <v>1</v>
      </c>
      <c r="D215" s="2559" t="s">
        <v>4016</v>
      </c>
      <c r="E215" s="21">
        <f t="shared" si="34"/>
        <v>1</v>
      </c>
      <c r="F215" s="2559" t="s">
        <v>21</v>
      </c>
      <c r="G215" s="21">
        <f t="shared" si="35"/>
        <v>1</v>
      </c>
      <c r="H215" s="631">
        <v>3</v>
      </c>
      <c r="I215" s="21">
        <f t="shared" si="36"/>
        <v>1</v>
      </c>
      <c r="J215" s="631"/>
      <c r="K215" s="21">
        <f t="shared" si="37"/>
        <v>1</v>
      </c>
      <c r="L215" s="631"/>
      <c r="M215" s="21">
        <f t="shared" si="38"/>
        <v>1</v>
      </c>
      <c r="N215" s="631"/>
      <c r="O215" s="21">
        <f t="shared" si="39"/>
        <v>1</v>
      </c>
      <c r="P215" s="2559" t="s">
        <v>3409</v>
      </c>
      <c r="Q215" s="21">
        <f t="shared" si="40"/>
        <v>1</v>
      </c>
      <c r="R215" s="21">
        <f t="shared" ca="1" si="41"/>
        <v>14150</v>
      </c>
      <c r="S215" s="307">
        <f t="shared" ca="1" si="42"/>
        <v>68</v>
      </c>
      <c r="T215" s="3190">
        <f>面积表!A210</f>
        <v>0</v>
      </c>
    </row>
    <row r="216" spans="1:20">
      <c r="A216" s="3169" t="str">
        <f>面积表!D211</f>
        <v>826</v>
      </c>
      <c r="B216" s="52">
        <f>面积表!E211</f>
        <v>70.2</v>
      </c>
      <c r="C216" s="21">
        <f t="shared" si="33"/>
        <v>1.01</v>
      </c>
      <c r="D216" s="2559" t="s">
        <v>4016</v>
      </c>
      <c r="E216" s="21">
        <f t="shared" si="34"/>
        <v>1</v>
      </c>
      <c r="F216" s="2559" t="s">
        <v>21</v>
      </c>
      <c r="G216" s="21">
        <f t="shared" si="35"/>
        <v>1</v>
      </c>
      <c r="H216" s="631">
        <v>3</v>
      </c>
      <c r="I216" s="21">
        <f t="shared" si="36"/>
        <v>1</v>
      </c>
      <c r="J216" s="631"/>
      <c r="K216" s="21">
        <f t="shared" si="37"/>
        <v>1</v>
      </c>
      <c r="L216" s="631"/>
      <c r="M216" s="21">
        <f t="shared" si="38"/>
        <v>1</v>
      </c>
      <c r="N216" s="631"/>
      <c r="O216" s="21">
        <f t="shared" si="39"/>
        <v>1</v>
      </c>
      <c r="P216" s="2559" t="s">
        <v>3409</v>
      </c>
      <c r="Q216" s="21">
        <f t="shared" si="40"/>
        <v>1</v>
      </c>
      <c r="R216" s="21">
        <f t="shared" ca="1" si="41"/>
        <v>14292</v>
      </c>
      <c r="S216" s="307">
        <f t="shared" ca="1" si="42"/>
        <v>100</v>
      </c>
      <c r="T216" s="3190">
        <f>面积表!A211</f>
        <v>0</v>
      </c>
    </row>
    <row r="217" spans="1:20">
      <c r="A217" s="3169" t="str">
        <f>面积表!D212</f>
        <v>901</v>
      </c>
      <c r="B217" s="52">
        <f>面积表!E212</f>
        <v>51.46</v>
      </c>
      <c r="C217" s="21">
        <f t="shared" si="33"/>
        <v>1</v>
      </c>
      <c r="D217" s="2559" t="s">
        <v>4016</v>
      </c>
      <c r="E217" s="21">
        <f t="shared" si="34"/>
        <v>1</v>
      </c>
      <c r="F217" s="2559" t="s">
        <v>21</v>
      </c>
      <c r="G217" s="21">
        <f t="shared" si="35"/>
        <v>1</v>
      </c>
      <c r="H217" s="631">
        <v>3</v>
      </c>
      <c r="I217" s="21">
        <f t="shared" si="36"/>
        <v>1</v>
      </c>
      <c r="J217" s="631"/>
      <c r="K217" s="21">
        <f t="shared" si="37"/>
        <v>1</v>
      </c>
      <c r="L217" s="631"/>
      <c r="M217" s="21">
        <f t="shared" si="38"/>
        <v>1</v>
      </c>
      <c r="N217" s="631"/>
      <c r="O217" s="21">
        <f t="shared" si="39"/>
        <v>1</v>
      </c>
      <c r="P217" s="631" t="s">
        <v>3553</v>
      </c>
      <c r="Q217" s="21">
        <f t="shared" si="40"/>
        <v>1.02</v>
      </c>
      <c r="R217" s="21">
        <f t="shared" ca="1" si="41"/>
        <v>14433</v>
      </c>
      <c r="S217" s="307">
        <f t="shared" ca="1" si="42"/>
        <v>74</v>
      </c>
      <c r="T217" s="3190">
        <f>面积表!A212</f>
        <v>0</v>
      </c>
    </row>
    <row r="218" spans="1:20">
      <c r="A218" s="3169" t="str">
        <f>面积表!D213</f>
        <v>902</v>
      </c>
      <c r="B218" s="52">
        <f>面积表!E213</f>
        <v>49.62</v>
      </c>
      <c r="C218" s="21">
        <f t="shared" ref="C218:C281" si="43">IF(B218="",1,(LOOKUP(B218,$3:$3,$4:$4)-LOOKUP($B$24,$3:$3,$4:$4)+100)/100)</f>
        <v>1</v>
      </c>
      <c r="D218" s="2559" t="s">
        <v>4016</v>
      </c>
      <c r="E218" s="21">
        <f t="shared" ref="E218:E281" si="44">(SUMIF($5:$5,D218,$6:$6)-SUMIF($5:$5,$D$24,$6:$6)+100)/100</f>
        <v>1</v>
      </c>
      <c r="F218" s="2559" t="s">
        <v>21</v>
      </c>
      <c r="G218" s="21">
        <f t="shared" ref="G218:G281" si="45">(SUMIF($7:$7,F218,$8:$8)-SUMIF($7:$7,$F$24,$8:$8)+100)/100</f>
        <v>1</v>
      </c>
      <c r="H218" s="631">
        <v>3</v>
      </c>
      <c r="I218" s="21">
        <f t="shared" ref="I218:I281" si="46">(SUMIF($9:$9,H218,$10:$10)-SUMIF($9:$9,$H$24,$10:$10)+100)/100</f>
        <v>1</v>
      </c>
      <c r="J218" s="631"/>
      <c r="K218" s="21">
        <f t="shared" ref="K218:K281" si="47">(SUMIF($11:$11,J218,$12:$12)-SUMIF($11:$11,$J$24,$12:$12)+100)/100</f>
        <v>1</v>
      </c>
      <c r="L218" s="631"/>
      <c r="M218" s="21">
        <f t="shared" ref="M218:M281" si="48">(SUMIF($13:$13,L218,$14:$14)-SUMIF($13:$13,$L$24,$14:$14)+100)/100</f>
        <v>1</v>
      </c>
      <c r="N218" s="631"/>
      <c r="O218" s="21">
        <f t="shared" ref="O218:O281" si="49">(SUMIF($15:$15,N218,$16:$16)-SUMIF($15:$15,$N$24,$16:$16)+100)/100</f>
        <v>1</v>
      </c>
      <c r="P218" s="631" t="s">
        <v>3553</v>
      </c>
      <c r="Q218" s="21">
        <f t="shared" ref="Q218:Q281" si="50">(SUMIF($17:$17,P218,$18:$18)-SUMIF($17:$17,$P$24,$18:$18)+100)/100</f>
        <v>1.02</v>
      </c>
      <c r="R218" s="21">
        <f t="shared" ref="R218:R281" ca="1" si="51">IF(B218="",0,ROUND($R$24*C218*E218*G218*I218*K218*M218*O218*Q218,0))</f>
        <v>14433</v>
      </c>
      <c r="S218" s="307">
        <f t="shared" ca="1" si="42"/>
        <v>72</v>
      </c>
      <c r="T218" s="3190">
        <f>面积表!A213</f>
        <v>0</v>
      </c>
    </row>
    <row r="219" spans="1:20">
      <c r="A219" s="3169" t="str">
        <f>面积表!D214</f>
        <v>903</v>
      </c>
      <c r="B219" s="52">
        <f>面积表!E214</f>
        <v>49.62</v>
      </c>
      <c r="C219" s="21">
        <f t="shared" si="43"/>
        <v>1</v>
      </c>
      <c r="D219" s="2559" t="s">
        <v>4016</v>
      </c>
      <c r="E219" s="21">
        <f t="shared" si="44"/>
        <v>1</v>
      </c>
      <c r="F219" s="2559" t="s">
        <v>21</v>
      </c>
      <c r="G219" s="21">
        <f t="shared" si="45"/>
        <v>1</v>
      </c>
      <c r="H219" s="631">
        <v>3</v>
      </c>
      <c r="I219" s="21">
        <f t="shared" si="46"/>
        <v>1</v>
      </c>
      <c r="J219" s="631"/>
      <c r="K219" s="21">
        <f t="shared" si="47"/>
        <v>1</v>
      </c>
      <c r="L219" s="631"/>
      <c r="M219" s="21">
        <f t="shared" si="48"/>
        <v>1</v>
      </c>
      <c r="N219" s="631"/>
      <c r="O219" s="21">
        <f t="shared" si="49"/>
        <v>1</v>
      </c>
      <c r="P219" s="631" t="s">
        <v>3553</v>
      </c>
      <c r="Q219" s="21">
        <f t="shared" si="50"/>
        <v>1.02</v>
      </c>
      <c r="R219" s="21">
        <f t="shared" ca="1" si="51"/>
        <v>14433</v>
      </c>
      <c r="S219" s="307">
        <f t="shared" ca="1" si="42"/>
        <v>72</v>
      </c>
      <c r="T219" s="3190">
        <f>面积表!A214</f>
        <v>0</v>
      </c>
    </row>
    <row r="220" spans="1:20">
      <c r="A220" s="3169" t="str">
        <f>面积表!D215</f>
        <v>904</v>
      </c>
      <c r="B220" s="52">
        <f>面积表!E215</f>
        <v>49.62</v>
      </c>
      <c r="C220" s="21">
        <f t="shared" si="43"/>
        <v>1</v>
      </c>
      <c r="D220" s="2559" t="s">
        <v>4016</v>
      </c>
      <c r="E220" s="21">
        <f t="shared" si="44"/>
        <v>1</v>
      </c>
      <c r="F220" s="2559" t="s">
        <v>21</v>
      </c>
      <c r="G220" s="21">
        <f t="shared" si="45"/>
        <v>1</v>
      </c>
      <c r="H220" s="631">
        <v>3</v>
      </c>
      <c r="I220" s="21">
        <f t="shared" si="46"/>
        <v>1</v>
      </c>
      <c r="J220" s="631"/>
      <c r="K220" s="21">
        <f t="shared" si="47"/>
        <v>1</v>
      </c>
      <c r="L220" s="631"/>
      <c r="M220" s="21">
        <f t="shared" si="48"/>
        <v>1</v>
      </c>
      <c r="N220" s="631"/>
      <c r="O220" s="21">
        <f t="shared" si="49"/>
        <v>1</v>
      </c>
      <c r="P220" s="631" t="s">
        <v>3553</v>
      </c>
      <c r="Q220" s="21">
        <f t="shared" si="50"/>
        <v>1.02</v>
      </c>
      <c r="R220" s="21">
        <f t="shared" ca="1" si="51"/>
        <v>14433</v>
      </c>
      <c r="S220" s="307">
        <f t="shared" ca="1" si="42"/>
        <v>72</v>
      </c>
      <c r="T220" s="3190">
        <f>面积表!A215</f>
        <v>0</v>
      </c>
    </row>
    <row r="221" spans="1:20">
      <c r="A221" s="3169" t="str">
        <f>面积表!D216</f>
        <v>905</v>
      </c>
      <c r="B221" s="52">
        <f>面积表!E216</f>
        <v>49.62</v>
      </c>
      <c r="C221" s="21">
        <f t="shared" si="43"/>
        <v>1</v>
      </c>
      <c r="D221" s="2559" t="s">
        <v>4016</v>
      </c>
      <c r="E221" s="21">
        <f t="shared" si="44"/>
        <v>1</v>
      </c>
      <c r="F221" s="2559" t="s">
        <v>21</v>
      </c>
      <c r="G221" s="21">
        <f t="shared" si="45"/>
        <v>1</v>
      </c>
      <c r="H221" s="631">
        <v>3</v>
      </c>
      <c r="I221" s="21">
        <f t="shared" si="46"/>
        <v>1</v>
      </c>
      <c r="J221" s="631"/>
      <c r="K221" s="21">
        <f t="shared" si="47"/>
        <v>1</v>
      </c>
      <c r="L221" s="631"/>
      <c r="M221" s="21">
        <f t="shared" si="48"/>
        <v>1</v>
      </c>
      <c r="N221" s="631"/>
      <c r="O221" s="21">
        <f t="shared" si="49"/>
        <v>1</v>
      </c>
      <c r="P221" s="631" t="s">
        <v>3553</v>
      </c>
      <c r="Q221" s="21">
        <f t="shared" si="50"/>
        <v>1.02</v>
      </c>
      <c r="R221" s="21">
        <f t="shared" ca="1" si="51"/>
        <v>14433</v>
      </c>
      <c r="S221" s="307">
        <f t="shared" ca="1" si="42"/>
        <v>72</v>
      </c>
      <c r="T221" s="3190">
        <f>面积表!A216</f>
        <v>0</v>
      </c>
    </row>
    <row r="222" spans="1:20">
      <c r="A222" s="3169" t="str">
        <f>面积表!D217</f>
        <v>906</v>
      </c>
      <c r="B222" s="52">
        <f>面积表!E217</f>
        <v>49.62</v>
      </c>
      <c r="C222" s="21">
        <f t="shared" si="43"/>
        <v>1</v>
      </c>
      <c r="D222" s="2559" t="s">
        <v>4016</v>
      </c>
      <c r="E222" s="21">
        <f t="shared" si="44"/>
        <v>1</v>
      </c>
      <c r="F222" s="2559" t="s">
        <v>21</v>
      </c>
      <c r="G222" s="21">
        <f t="shared" si="45"/>
        <v>1</v>
      </c>
      <c r="H222" s="631">
        <v>3</v>
      </c>
      <c r="I222" s="21">
        <f t="shared" si="46"/>
        <v>1</v>
      </c>
      <c r="J222" s="631"/>
      <c r="K222" s="21">
        <f t="shared" si="47"/>
        <v>1</v>
      </c>
      <c r="L222" s="631"/>
      <c r="M222" s="21">
        <f t="shared" si="48"/>
        <v>1</v>
      </c>
      <c r="N222" s="631"/>
      <c r="O222" s="21">
        <f t="shared" si="49"/>
        <v>1</v>
      </c>
      <c r="P222" s="631" t="s">
        <v>3553</v>
      </c>
      <c r="Q222" s="21">
        <f t="shared" si="50"/>
        <v>1.02</v>
      </c>
      <c r="R222" s="21">
        <f t="shared" ca="1" si="51"/>
        <v>14433</v>
      </c>
      <c r="S222" s="307">
        <f t="shared" ca="1" si="42"/>
        <v>72</v>
      </c>
      <c r="T222" s="3190">
        <f>面积表!A217</f>
        <v>0</v>
      </c>
    </row>
    <row r="223" spans="1:20">
      <c r="A223" s="3169" t="str">
        <f>面积表!D218</f>
        <v>907</v>
      </c>
      <c r="B223" s="52">
        <f>面积表!E218</f>
        <v>49.62</v>
      </c>
      <c r="C223" s="21">
        <f t="shared" si="43"/>
        <v>1</v>
      </c>
      <c r="D223" s="2559" t="s">
        <v>4016</v>
      </c>
      <c r="E223" s="21">
        <f t="shared" si="44"/>
        <v>1</v>
      </c>
      <c r="F223" s="2559" t="s">
        <v>21</v>
      </c>
      <c r="G223" s="21">
        <f t="shared" si="45"/>
        <v>1</v>
      </c>
      <c r="H223" s="631">
        <v>3</v>
      </c>
      <c r="I223" s="21">
        <f t="shared" si="46"/>
        <v>1</v>
      </c>
      <c r="J223" s="631"/>
      <c r="K223" s="21">
        <f t="shared" si="47"/>
        <v>1</v>
      </c>
      <c r="L223" s="631"/>
      <c r="M223" s="21">
        <f t="shared" si="48"/>
        <v>1</v>
      </c>
      <c r="N223" s="631"/>
      <c r="O223" s="21">
        <f t="shared" si="49"/>
        <v>1</v>
      </c>
      <c r="P223" s="631" t="s">
        <v>3553</v>
      </c>
      <c r="Q223" s="21">
        <f t="shared" si="50"/>
        <v>1.02</v>
      </c>
      <c r="R223" s="21">
        <f t="shared" ca="1" si="51"/>
        <v>14433</v>
      </c>
      <c r="S223" s="307">
        <f t="shared" ref="S223:S286" ca="1" si="52">ROUND(R223*B223/10000,0)</f>
        <v>72</v>
      </c>
      <c r="T223" s="3190">
        <f>面积表!A218</f>
        <v>0</v>
      </c>
    </row>
    <row r="224" spans="1:20">
      <c r="A224" s="3169" t="str">
        <f>面积表!D219</f>
        <v>908</v>
      </c>
      <c r="B224" s="52">
        <f>面积表!E219</f>
        <v>49.62</v>
      </c>
      <c r="C224" s="21">
        <f t="shared" si="43"/>
        <v>1</v>
      </c>
      <c r="D224" s="2559" t="s">
        <v>4016</v>
      </c>
      <c r="E224" s="21">
        <f t="shared" si="44"/>
        <v>1</v>
      </c>
      <c r="F224" s="2559" t="s">
        <v>21</v>
      </c>
      <c r="G224" s="21">
        <f t="shared" si="45"/>
        <v>1</v>
      </c>
      <c r="H224" s="631">
        <v>3</v>
      </c>
      <c r="I224" s="21">
        <f t="shared" si="46"/>
        <v>1</v>
      </c>
      <c r="J224" s="631"/>
      <c r="K224" s="21">
        <f t="shared" si="47"/>
        <v>1</v>
      </c>
      <c r="L224" s="631"/>
      <c r="M224" s="21">
        <f t="shared" si="48"/>
        <v>1</v>
      </c>
      <c r="N224" s="631"/>
      <c r="O224" s="21">
        <f t="shared" si="49"/>
        <v>1</v>
      </c>
      <c r="P224" s="631" t="s">
        <v>3553</v>
      </c>
      <c r="Q224" s="21">
        <f t="shared" si="50"/>
        <v>1.02</v>
      </c>
      <c r="R224" s="21">
        <f t="shared" ca="1" si="51"/>
        <v>14433</v>
      </c>
      <c r="S224" s="307">
        <f t="shared" ca="1" si="52"/>
        <v>72</v>
      </c>
      <c r="T224" s="3190">
        <f>面积表!A219</f>
        <v>0</v>
      </c>
    </row>
    <row r="225" spans="1:20">
      <c r="A225" s="3169" t="str">
        <f>面积表!D220</f>
        <v>909</v>
      </c>
      <c r="B225" s="52">
        <f>面积表!E220</f>
        <v>49.62</v>
      </c>
      <c r="C225" s="21">
        <f t="shared" si="43"/>
        <v>1</v>
      </c>
      <c r="D225" s="2559" t="s">
        <v>4016</v>
      </c>
      <c r="E225" s="21">
        <f t="shared" si="44"/>
        <v>1</v>
      </c>
      <c r="F225" s="2559" t="s">
        <v>21</v>
      </c>
      <c r="G225" s="21">
        <f t="shared" si="45"/>
        <v>1</v>
      </c>
      <c r="H225" s="631">
        <v>3</v>
      </c>
      <c r="I225" s="21">
        <f t="shared" si="46"/>
        <v>1</v>
      </c>
      <c r="J225" s="631"/>
      <c r="K225" s="21">
        <f t="shared" si="47"/>
        <v>1</v>
      </c>
      <c r="L225" s="631"/>
      <c r="M225" s="21">
        <f t="shared" si="48"/>
        <v>1</v>
      </c>
      <c r="N225" s="631"/>
      <c r="O225" s="21">
        <f t="shared" si="49"/>
        <v>1</v>
      </c>
      <c r="P225" s="631" t="s">
        <v>3553</v>
      </c>
      <c r="Q225" s="21">
        <f t="shared" si="50"/>
        <v>1.02</v>
      </c>
      <c r="R225" s="21">
        <f t="shared" ca="1" si="51"/>
        <v>14433</v>
      </c>
      <c r="S225" s="307">
        <f t="shared" ca="1" si="52"/>
        <v>72</v>
      </c>
      <c r="T225" s="3190">
        <f>面积表!A220</f>
        <v>0</v>
      </c>
    </row>
    <row r="226" spans="1:20">
      <c r="A226" s="3169" t="str">
        <f>面积表!D221</f>
        <v>910</v>
      </c>
      <c r="B226" s="52">
        <f>面积表!E221</f>
        <v>49.62</v>
      </c>
      <c r="C226" s="21">
        <f t="shared" si="43"/>
        <v>1</v>
      </c>
      <c r="D226" s="2559" t="s">
        <v>4016</v>
      </c>
      <c r="E226" s="21">
        <f t="shared" si="44"/>
        <v>1</v>
      </c>
      <c r="F226" s="2559" t="s">
        <v>21</v>
      </c>
      <c r="G226" s="21">
        <f t="shared" si="45"/>
        <v>1</v>
      </c>
      <c r="H226" s="631">
        <v>3</v>
      </c>
      <c r="I226" s="21">
        <f t="shared" si="46"/>
        <v>1</v>
      </c>
      <c r="J226" s="631"/>
      <c r="K226" s="21">
        <f t="shared" si="47"/>
        <v>1</v>
      </c>
      <c r="L226" s="631"/>
      <c r="M226" s="21">
        <f t="shared" si="48"/>
        <v>1</v>
      </c>
      <c r="N226" s="631"/>
      <c r="O226" s="21">
        <f t="shared" si="49"/>
        <v>1</v>
      </c>
      <c r="P226" s="631" t="s">
        <v>3553</v>
      </c>
      <c r="Q226" s="21">
        <f t="shared" si="50"/>
        <v>1.02</v>
      </c>
      <c r="R226" s="21">
        <f t="shared" ca="1" si="51"/>
        <v>14433</v>
      </c>
      <c r="S226" s="307">
        <f t="shared" ca="1" si="52"/>
        <v>72</v>
      </c>
      <c r="T226" s="3190">
        <f>面积表!A221</f>
        <v>0</v>
      </c>
    </row>
    <row r="227" spans="1:20">
      <c r="A227" s="3169" t="str">
        <f>面积表!D222</f>
        <v>911</v>
      </c>
      <c r="B227" s="52">
        <f>面积表!E222</f>
        <v>49.62</v>
      </c>
      <c r="C227" s="21">
        <f t="shared" si="43"/>
        <v>1</v>
      </c>
      <c r="D227" s="2559" t="s">
        <v>4016</v>
      </c>
      <c r="E227" s="21">
        <f t="shared" si="44"/>
        <v>1</v>
      </c>
      <c r="F227" s="2559" t="s">
        <v>21</v>
      </c>
      <c r="G227" s="21">
        <f t="shared" si="45"/>
        <v>1</v>
      </c>
      <c r="H227" s="631">
        <v>3</v>
      </c>
      <c r="I227" s="21">
        <f t="shared" si="46"/>
        <v>1</v>
      </c>
      <c r="J227" s="631"/>
      <c r="K227" s="21">
        <f t="shared" si="47"/>
        <v>1</v>
      </c>
      <c r="L227" s="631"/>
      <c r="M227" s="21">
        <f t="shared" si="48"/>
        <v>1</v>
      </c>
      <c r="N227" s="631"/>
      <c r="O227" s="21">
        <f t="shared" si="49"/>
        <v>1</v>
      </c>
      <c r="P227" s="631" t="s">
        <v>3553</v>
      </c>
      <c r="Q227" s="21">
        <f t="shared" si="50"/>
        <v>1.02</v>
      </c>
      <c r="R227" s="21">
        <f t="shared" ca="1" si="51"/>
        <v>14433</v>
      </c>
      <c r="S227" s="307">
        <f t="shared" ca="1" si="52"/>
        <v>72</v>
      </c>
      <c r="T227" s="3190">
        <f>面积表!A222</f>
        <v>0</v>
      </c>
    </row>
    <row r="228" spans="1:20">
      <c r="A228" s="3169" t="str">
        <f>面积表!D223</f>
        <v>912</v>
      </c>
      <c r="B228" s="52">
        <f>面积表!E223</f>
        <v>49.62</v>
      </c>
      <c r="C228" s="21">
        <f t="shared" si="43"/>
        <v>1</v>
      </c>
      <c r="D228" s="2559" t="s">
        <v>4016</v>
      </c>
      <c r="E228" s="21">
        <f t="shared" si="44"/>
        <v>1</v>
      </c>
      <c r="F228" s="2559" t="s">
        <v>21</v>
      </c>
      <c r="G228" s="21">
        <f t="shared" si="45"/>
        <v>1</v>
      </c>
      <c r="H228" s="631">
        <v>3</v>
      </c>
      <c r="I228" s="21">
        <f t="shared" si="46"/>
        <v>1</v>
      </c>
      <c r="J228" s="631"/>
      <c r="K228" s="21">
        <f t="shared" si="47"/>
        <v>1</v>
      </c>
      <c r="L228" s="631"/>
      <c r="M228" s="21">
        <f t="shared" si="48"/>
        <v>1</v>
      </c>
      <c r="N228" s="631"/>
      <c r="O228" s="21">
        <f t="shared" si="49"/>
        <v>1</v>
      </c>
      <c r="P228" s="631" t="s">
        <v>3553</v>
      </c>
      <c r="Q228" s="21">
        <f t="shared" si="50"/>
        <v>1.02</v>
      </c>
      <c r="R228" s="21">
        <f t="shared" ca="1" si="51"/>
        <v>14433</v>
      </c>
      <c r="S228" s="307">
        <f t="shared" ca="1" si="52"/>
        <v>72</v>
      </c>
      <c r="T228" s="3190">
        <f>面积表!A223</f>
        <v>0</v>
      </c>
    </row>
    <row r="229" spans="1:20">
      <c r="A229" s="3169" t="str">
        <f>面积表!D224</f>
        <v>913</v>
      </c>
      <c r="B229" s="52">
        <f>面积表!E224</f>
        <v>49.62</v>
      </c>
      <c r="C229" s="21">
        <f t="shared" si="43"/>
        <v>1</v>
      </c>
      <c r="D229" s="2559" t="s">
        <v>4016</v>
      </c>
      <c r="E229" s="21">
        <f t="shared" si="44"/>
        <v>1</v>
      </c>
      <c r="F229" s="2559" t="s">
        <v>21</v>
      </c>
      <c r="G229" s="21">
        <f t="shared" si="45"/>
        <v>1</v>
      </c>
      <c r="H229" s="631">
        <v>3</v>
      </c>
      <c r="I229" s="21">
        <f t="shared" si="46"/>
        <v>1</v>
      </c>
      <c r="J229" s="631"/>
      <c r="K229" s="21">
        <f t="shared" si="47"/>
        <v>1</v>
      </c>
      <c r="L229" s="631"/>
      <c r="M229" s="21">
        <f t="shared" si="48"/>
        <v>1</v>
      </c>
      <c r="N229" s="631"/>
      <c r="O229" s="21">
        <f t="shared" si="49"/>
        <v>1</v>
      </c>
      <c r="P229" s="631" t="s">
        <v>3553</v>
      </c>
      <c r="Q229" s="21">
        <f t="shared" si="50"/>
        <v>1.02</v>
      </c>
      <c r="R229" s="21">
        <f t="shared" ca="1" si="51"/>
        <v>14433</v>
      </c>
      <c r="S229" s="307">
        <f t="shared" ca="1" si="52"/>
        <v>72</v>
      </c>
      <c r="T229" s="3190">
        <f>面积表!A224</f>
        <v>0</v>
      </c>
    </row>
    <row r="230" spans="1:20">
      <c r="A230" s="3169" t="str">
        <f>面积表!D225</f>
        <v>914</v>
      </c>
      <c r="B230" s="52">
        <f>面积表!E225</f>
        <v>49.62</v>
      </c>
      <c r="C230" s="21">
        <f t="shared" si="43"/>
        <v>1</v>
      </c>
      <c r="D230" s="2559" t="s">
        <v>4016</v>
      </c>
      <c r="E230" s="21">
        <f t="shared" si="44"/>
        <v>1</v>
      </c>
      <c r="F230" s="2559" t="s">
        <v>21</v>
      </c>
      <c r="G230" s="21">
        <f t="shared" si="45"/>
        <v>1</v>
      </c>
      <c r="H230" s="631">
        <v>3</v>
      </c>
      <c r="I230" s="21">
        <f t="shared" si="46"/>
        <v>1</v>
      </c>
      <c r="J230" s="631"/>
      <c r="K230" s="21">
        <f t="shared" si="47"/>
        <v>1</v>
      </c>
      <c r="L230" s="631"/>
      <c r="M230" s="21">
        <f t="shared" si="48"/>
        <v>1</v>
      </c>
      <c r="N230" s="631"/>
      <c r="O230" s="21">
        <f t="shared" si="49"/>
        <v>1</v>
      </c>
      <c r="P230" s="631" t="s">
        <v>3553</v>
      </c>
      <c r="Q230" s="21">
        <f t="shared" si="50"/>
        <v>1.02</v>
      </c>
      <c r="R230" s="21">
        <f t="shared" ca="1" si="51"/>
        <v>14433</v>
      </c>
      <c r="S230" s="307">
        <f t="shared" ca="1" si="52"/>
        <v>72</v>
      </c>
      <c r="T230" s="3190">
        <f>面积表!A225</f>
        <v>0</v>
      </c>
    </row>
    <row r="231" spans="1:20">
      <c r="A231" s="3169" t="str">
        <f>面积表!D226</f>
        <v>915</v>
      </c>
      <c r="B231" s="52">
        <f>面积表!E226</f>
        <v>49.62</v>
      </c>
      <c r="C231" s="21">
        <f t="shared" si="43"/>
        <v>1</v>
      </c>
      <c r="D231" s="2559" t="s">
        <v>4016</v>
      </c>
      <c r="E231" s="21">
        <f t="shared" si="44"/>
        <v>1</v>
      </c>
      <c r="F231" s="2559" t="s">
        <v>21</v>
      </c>
      <c r="G231" s="21">
        <f t="shared" si="45"/>
        <v>1</v>
      </c>
      <c r="H231" s="631">
        <v>3</v>
      </c>
      <c r="I231" s="21">
        <f t="shared" si="46"/>
        <v>1</v>
      </c>
      <c r="J231" s="631"/>
      <c r="K231" s="21">
        <f t="shared" si="47"/>
        <v>1</v>
      </c>
      <c r="L231" s="631"/>
      <c r="M231" s="21">
        <f t="shared" si="48"/>
        <v>1</v>
      </c>
      <c r="N231" s="631"/>
      <c r="O231" s="21">
        <f t="shared" si="49"/>
        <v>1</v>
      </c>
      <c r="P231" s="631" t="s">
        <v>3553</v>
      </c>
      <c r="Q231" s="21">
        <f t="shared" si="50"/>
        <v>1.02</v>
      </c>
      <c r="R231" s="21">
        <f t="shared" ca="1" si="51"/>
        <v>14433</v>
      </c>
      <c r="S231" s="307">
        <f t="shared" ca="1" si="52"/>
        <v>72</v>
      </c>
      <c r="T231" s="3190">
        <f>面积表!A226</f>
        <v>0</v>
      </c>
    </row>
    <row r="232" spans="1:20">
      <c r="A232" s="3169" t="str">
        <f>面积表!D227</f>
        <v>916</v>
      </c>
      <c r="B232" s="52">
        <f>面积表!E227</f>
        <v>68.78</v>
      </c>
      <c r="C232" s="21">
        <f t="shared" si="43"/>
        <v>1.01</v>
      </c>
      <c r="D232" s="2559" t="s">
        <v>4016</v>
      </c>
      <c r="E232" s="21">
        <f t="shared" si="44"/>
        <v>1</v>
      </c>
      <c r="F232" s="2559" t="s">
        <v>21</v>
      </c>
      <c r="G232" s="21">
        <f t="shared" si="45"/>
        <v>1</v>
      </c>
      <c r="H232" s="631">
        <v>3</v>
      </c>
      <c r="I232" s="21">
        <f t="shared" si="46"/>
        <v>1</v>
      </c>
      <c r="J232" s="631"/>
      <c r="K232" s="21">
        <f t="shared" si="47"/>
        <v>1</v>
      </c>
      <c r="L232" s="631"/>
      <c r="M232" s="21">
        <f t="shared" si="48"/>
        <v>1</v>
      </c>
      <c r="N232" s="631"/>
      <c r="O232" s="21">
        <f t="shared" si="49"/>
        <v>1</v>
      </c>
      <c r="P232" s="631" t="s">
        <v>3553</v>
      </c>
      <c r="Q232" s="21">
        <f t="shared" si="50"/>
        <v>1.02</v>
      </c>
      <c r="R232" s="21">
        <f t="shared" ca="1" si="51"/>
        <v>14577</v>
      </c>
      <c r="S232" s="307">
        <f t="shared" ca="1" si="52"/>
        <v>100</v>
      </c>
      <c r="T232" s="3190">
        <f>面积表!A227</f>
        <v>0</v>
      </c>
    </row>
    <row r="233" spans="1:20">
      <c r="A233" s="3169" t="str">
        <f>面积表!D228</f>
        <v>917</v>
      </c>
      <c r="B233" s="52">
        <f>面积表!E228</f>
        <v>38.1</v>
      </c>
      <c r="C233" s="21">
        <f t="shared" si="43"/>
        <v>1</v>
      </c>
      <c r="D233" s="2559" t="s">
        <v>4016</v>
      </c>
      <c r="E233" s="21">
        <f t="shared" si="44"/>
        <v>1</v>
      </c>
      <c r="F233" s="2559" t="s">
        <v>21</v>
      </c>
      <c r="G233" s="21">
        <f t="shared" si="45"/>
        <v>1</v>
      </c>
      <c r="H233" s="631">
        <v>3</v>
      </c>
      <c r="I233" s="21">
        <f t="shared" si="46"/>
        <v>1</v>
      </c>
      <c r="J233" s="631"/>
      <c r="K233" s="21">
        <f t="shared" si="47"/>
        <v>1</v>
      </c>
      <c r="L233" s="631"/>
      <c r="M233" s="21">
        <f t="shared" si="48"/>
        <v>1</v>
      </c>
      <c r="N233" s="631"/>
      <c r="O233" s="21">
        <f t="shared" si="49"/>
        <v>1</v>
      </c>
      <c r="P233" s="631" t="s">
        <v>3553</v>
      </c>
      <c r="Q233" s="21">
        <f t="shared" si="50"/>
        <v>1.02</v>
      </c>
      <c r="R233" s="21">
        <f t="shared" ca="1" si="51"/>
        <v>14433</v>
      </c>
      <c r="S233" s="307">
        <f t="shared" ca="1" si="52"/>
        <v>55</v>
      </c>
      <c r="T233" s="3190">
        <f>面积表!A228</f>
        <v>0</v>
      </c>
    </row>
    <row r="234" spans="1:20">
      <c r="A234" s="3169" t="str">
        <f>面积表!D229</f>
        <v>918</v>
      </c>
      <c r="B234" s="52">
        <f>面积表!E229</f>
        <v>41.4</v>
      </c>
      <c r="C234" s="21">
        <f t="shared" si="43"/>
        <v>1</v>
      </c>
      <c r="D234" s="2559" t="s">
        <v>4016</v>
      </c>
      <c r="E234" s="21">
        <f t="shared" si="44"/>
        <v>1</v>
      </c>
      <c r="F234" s="2559" t="s">
        <v>21</v>
      </c>
      <c r="G234" s="21">
        <f t="shared" si="45"/>
        <v>1</v>
      </c>
      <c r="H234" s="631">
        <v>3</v>
      </c>
      <c r="I234" s="21">
        <f t="shared" si="46"/>
        <v>1</v>
      </c>
      <c r="J234" s="631"/>
      <c r="K234" s="21">
        <f t="shared" si="47"/>
        <v>1</v>
      </c>
      <c r="L234" s="631"/>
      <c r="M234" s="21">
        <f t="shared" si="48"/>
        <v>1</v>
      </c>
      <c r="N234" s="631"/>
      <c r="O234" s="21">
        <f t="shared" si="49"/>
        <v>1</v>
      </c>
      <c r="P234" s="631" t="s">
        <v>3553</v>
      </c>
      <c r="Q234" s="21">
        <f t="shared" si="50"/>
        <v>1.02</v>
      </c>
      <c r="R234" s="21">
        <f t="shared" ca="1" si="51"/>
        <v>14433</v>
      </c>
      <c r="S234" s="307">
        <f t="shared" ca="1" si="52"/>
        <v>60</v>
      </c>
      <c r="T234" s="3190">
        <f>面积表!A229</f>
        <v>0</v>
      </c>
    </row>
    <row r="235" spans="1:20">
      <c r="A235" s="3169" t="str">
        <f>面积表!D230</f>
        <v>919</v>
      </c>
      <c r="B235" s="52">
        <f>面积表!E230</f>
        <v>44.09</v>
      </c>
      <c r="C235" s="21">
        <f t="shared" si="43"/>
        <v>1</v>
      </c>
      <c r="D235" s="2559" t="s">
        <v>4016</v>
      </c>
      <c r="E235" s="21">
        <f t="shared" si="44"/>
        <v>1</v>
      </c>
      <c r="F235" s="2559" t="s">
        <v>21</v>
      </c>
      <c r="G235" s="21">
        <f t="shared" si="45"/>
        <v>1</v>
      </c>
      <c r="H235" s="631">
        <v>3</v>
      </c>
      <c r="I235" s="21">
        <f t="shared" si="46"/>
        <v>1</v>
      </c>
      <c r="J235" s="631"/>
      <c r="K235" s="21">
        <f t="shared" si="47"/>
        <v>1</v>
      </c>
      <c r="L235" s="631"/>
      <c r="M235" s="21">
        <f t="shared" si="48"/>
        <v>1</v>
      </c>
      <c r="N235" s="631"/>
      <c r="O235" s="21">
        <f t="shared" si="49"/>
        <v>1</v>
      </c>
      <c r="P235" s="631" t="s">
        <v>3553</v>
      </c>
      <c r="Q235" s="21">
        <f t="shared" si="50"/>
        <v>1.02</v>
      </c>
      <c r="R235" s="21">
        <f t="shared" ca="1" si="51"/>
        <v>14433</v>
      </c>
      <c r="S235" s="307">
        <f t="shared" ca="1" si="52"/>
        <v>64</v>
      </c>
      <c r="T235" s="3190">
        <f>面积表!A230</f>
        <v>0</v>
      </c>
    </row>
    <row r="236" spans="1:20">
      <c r="A236" s="3169" t="str">
        <f>面积表!D231</f>
        <v>920</v>
      </c>
      <c r="B236" s="52">
        <f>面积表!E231</f>
        <v>46.17</v>
      </c>
      <c r="C236" s="21">
        <f t="shared" si="43"/>
        <v>1</v>
      </c>
      <c r="D236" s="2559" t="s">
        <v>4016</v>
      </c>
      <c r="E236" s="21">
        <f t="shared" si="44"/>
        <v>1</v>
      </c>
      <c r="F236" s="2559" t="s">
        <v>21</v>
      </c>
      <c r="G236" s="21">
        <f t="shared" si="45"/>
        <v>1</v>
      </c>
      <c r="H236" s="631">
        <v>3</v>
      </c>
      <c r="I236" s="21">
        <f t="shared" si="46"/>
        <v>1</v>
      </c>
      <c r="J236" s="631"/>
      <c r="K236" s="21">
        <f t="shared" si="47"/>
        <v>1</v>
      </c>
      <c r="L236" s="631"/>
      <c r="M236" s="21">
        <f t="shared" si="48"/>
        <v>1</v>
      </c>
      <c r="N236" s="631"/>
      <c r="O236" s="21">
        <f t="shared" si="49"/>
        <v>1</v>
      </c>
      <c r="P236" s="631" t="s">
        <v>3553</v>
      </c>
      <c r="Q236" s="21">
        <f t="shared" si="50"/>
        <v>1.02</v>
      </c>
      <c r="R236" s="21">
        <f t="shared" ca="1" si="51"/>
        <v>14433</v>
      </c>
      <c r="S236" s="307">
        <f t="shared" ca="1" si="52"/>
        <v>67</v>
      </c>
      <c r="T236" s="3190">
        <f>面积表!A231</f>
        <v>0</v>
      </c>
    </row>
    <row r="237" spans="1:20">
      <c r="A237" s="3169" t="str">
        <f>面积表!D232</f>
        <v>921</v>
      </c>
      <c r="B237" s="52">
        <f>面积表!E232</f>
        <v>47.65</v>
      </c>
      <c r="C237" s="21">
        <f t="shared" si="43"/>
        <v>1</v>
      </c>
      <c r="D237" s="2559" t="s">
        <v>4016</v>
      </c>
      <c r="E237" s="21">
        <f t="shared" si="44"/>
        <v>1</v>
      </c>
      <c r="F237" s="2559" t="s">
        <v>21</v>
      </c>
      <c r="G237" s="21">
        <f t="shared" si="45"/>
        <v>1</v>
      </c>
      <c r="H237" s="631">
        <v>3</v>
      </c>
      <c r="I237" s="21">
        <f t="shared" si="46"/>
        <v>1</v>
      </c>
      <c r="J237" s="631"/>
      <c r="K237" s="21">
        <f t="shared" si="47"/>
        <v>1</v>
      </c>
      <c r="L237" s="631"/>
      <c r="M237" s="21">
        <f t="shared" si="48"/>
        <v>1</v>
      </c>
      <c r="N237" s="631"/>
      <c r="O237" s="21">
        <f t="shared" si="49"/>
        <v>1</v>
      </c>
      <c r="P237" s="631" t="s">
        <v>3553</v>
      </c>
      <c r="Q237" s="21">
        <f t="shared" si="50"/>
        <v>1.02</v>
      </c>
      <c r="R237" s="21">
        <f t="shared" ca="1" si="51"/>
        <v>14433</v>
      </c>
      <c r="S237" s="307">
        <f t="shared" ca="1" si="52"/>
        <v>69</v>
      </c>
      <c r="T237" s="3190">
        <f>面积表!A232</f>
        <v>0</v>
      </c>
    </row>
    <row r="238" spans="1:20">
      <c r="A238" s="3169" t="str">
        <f>面积表!D233</f>
        <v>922</v>
      </c>
      <c r="B238" s="52">
        <f>面积表!E233</f>
        <v>48.6</v>
      </c>
      <c r="C238" s="21">
        <f t="shared" si="43"/>
        <v>1</v>
      </c>
      <c r="D238" s="2559" t="s">
        <v>4016</v>
      </c>
      <c r="E238" s="21">
        <f t="shared" si="44"/>
        <v>1</v>
      </c>
      <c r="F238" s="2559" t="s">
        <v>21</v>
      </c>
      <c r="G238" s="21">
        <f t="shared" si="45"/>
        <v>1</v>
      </c>
      <c r="H238" s="631">
        <v>3</v>
      </c>
      <c r="I238" s="21">
        <f t="shared" si="46"/>
        <v>1</v>
      </c>
      <c r="J238" s="631"/>
      <c r="K238" s="21">
        <f t="shared" si="47"/>
        <v>1</v>
      </c>
      <c r="L238" s="631"/>
      <c r="M238" s="21">
        <f t="shared" si="48"/>
        <v>1</v>
      </c>
      <c r="N238" s="631"/>
      <c r="O238" s="21">
        <f t="shared" si="49"/>
        <v>1</v>
      </c>
      <c r="P238" s="631" t="s">
        <v>3553</v>
      </c>
      <c r="Q238" s="21">
        <f t="shared" si="50"/>
        <v>1.02</v>
      </c>
      <c r="R238" s="21">
        <f t="shared" ca="1" si="51"/>
        <v>14433</v>
      </c>
      <c r="S238" s="307">
        <f t="shared" ca="1" si="52"/>
        <v>70</v>
      </c>
      <c r="T238" s="3190">
        <f>面积表!A233</f>
        <v>0</v>
      </c>
    </row>
    <row r="239" spans="1:20">
      <c r="A239" s="3169" t="str">
        <f>面积表!D234</f>
        <v>923</v>
      </c>
      <c r="B239" s="52">
        <f>面积表!E234</f>
        <v>48.89</v>
      </c>
      <c r="C239" s="21">
        <f t="shared" si="43"/>
        <v>1</v>
      </c>
      <c r="D239" s="2559" t="s">
        <v>4016</v>
      </c>
      <c r="E239" s="21">
        <f t="shared" si="44"/>
        <v>1</v>
      </c>
      <c r="F239" s="2559" t="s">
        <v>21</v>
      </c>
      <c r="G239" s="21">
        <f t="shared" si="45"/>
        <v>1</v>
      </c>
      <c r="H239" s="631">
        <v>3</v>
      </c>
      <c r="I239" s="21">
        <f t="shared" si="46"/>
        <v>1</v>
      </c>
      <c r="J239" s="631"/>
      <c r="K239" s="21">
        <f t="shared" si="47"/>
        <v>1</v>
      </c>
      <c r="L239" s="631"/>
      <c r="M239" s="21">
        <f t="shared" si="48"/>
        <v>1</v>
      </c>
      <c r="N239" s="631"/>
      <c r="O239" s="21">
        <f t="shared" si="49"/>
        <v>1</v>
      </c>
      <c r="P239" s="631" t="s">
        <v>3553</v>
      </c>
      <c r="Q239" s="21">
        <f t="shared" si="50"/>
        <v>1.02</v>
      </c>
      <c r="R239" s="21">
        <f t="shared" ca="1" si="51"/>
        <v>14433</v>
      </c>
      <c r="S239" s="307">
        <f t="shared" ca="1" si="52"/>
        <v>71</v>
      </c>
      <c r="T239" s="3190">
        <f>面积表!A234</f>
        <v>0</v>
      </c>
    </row>
    <row r="240" spans="1:20">
      <c r="A240" s="3169" t="str">
        <f>面积表!D235</f>
        <v>924</v>
      </c>
      <c r="B240" s="52">
        <f>面积表!E235</f>
        <v>48.59</v>
      </c>
      <c r="C240" s="21">
        <f t="shared" si="43"/>
        <v>1</v>
      </c>
      <c r="D240" s="2559" t="s">
        <v>4016</v>
      </c>
      <c r="E240" s="21">
        <f t="shared" si="44"/>
        <v>1</v>
      </c>
      <c r="F240" s="2559" t="s">
        <v>21</v>
      </c>
      <c r="G240" s="21">
        <f t="shared" si="45"/>
        <v>1</v>
      </c>
      <c r="H240" s="631">
        <v>3</v>
      </c>
      <c r="I240" s="21">
        <f t="shared" si="46"/>
        <v>1</v>
      </c>
      <c r="J240" s="631"/>
      <c r="K240" s="21">
        <f t="shared" si="47"/>
        <v>1</v>
      </c>
      <c r="L240" s="631"/>
      <c r="M240" s="21">
        <f t="shared" si="48"/>
        <v>1</v>
      </c>
      <c r="N240" s="631"/>
      <c r="O240" s="21">
        <f t="shared" si="49"/>
        <v>1</v>
      </c>
      <c r="P240" s="631" t="s">
        <v>3553</v>
      </c>
      <c r="Q240" s="21">
        <f t="shared" si="50"/>
        <v>1.02</v>
      </c>
      <c r="R240" s="21">
        <f t="shared" ca="1" si="51"/>
        <v>14433</v>
      </c>
      <c r="S240" s="307">
        <f t="shared" ca="1" si="52"/>
        <v>70</v>
      </c>
      <c r="T240" s="3190">
        <f>面积表!A235</f>
        <v>0</v>
      </c>
    </row>
    <row r="241" spans="1:20">
      <c r="A241" s="3169" t="str">
        <f>面积表!D236</f>
        <v>925</v>
      </c>
      <c r="B241" s="52">
        <f>面积表!E236</f>
        <v>47.73</v>
      </c>
      <c r="C241" s="21">
        <f t="shared" si="43"/>
        <v>1</v>
      </c>
      <c r="D241" s="2559" t="s">
        <v>4016</v>
      </c>
      <c r="E241" s="21">
        <f t="shared" si="44"/>
        <v>1</v>
      </c>
      <c r="F241" s="2559" t="s">
        <v>21</v>
      </c>
      <c r="G241" s="21">
        <f t="shared" si="45"/>
        <v>1</v>
      </c>
      <c r="H241" s="631">
        <v>3</v>
      </c>
      <c r="I241" s="21">
        <f t="shared" si="46"/>
        <v>1</v>
      </c>
      <c r="J241" s="631"/>
      <c r="K241" s="21">
        <f t="shared" si="47"/>
        <v>1</v>
      </c>
      <c r="L241" s="631"/>
      <c r="M241" s="21">
        <f t="shared" si="48"/>
        <v>1</v>
      </c>
      <c r="N241" s="631"/>
      <c r="O241" s="21">
        <f t="shared" si="49"/>
        <v>1</v>
      </c>
      <c r="P241" s="631" t="s">
        <v>3553</v>
      </c>
      <c r="Q241" s="21">
        <f t="shared" si="50"/>
        <v>1.02</v>
      </c>
      <c r="R241" s="21">
        <f t="shared" ca="1" si="51"/>
        <v>14433</v>
      </c>
      <c r="S241" s="307">
        <f t="shared" ca="1" si="52"/>
        <v>69</v>
      </c>
      <c r="T241" s="3190">
        <f>面积表!A236</f>
        <v>0</v>
      </c>
    </row>
    <row r="242" spans="1:20">
      <c r="A242" s="3169" t="str">
        <f>面积表!D237</f>
        <v>926</v>
      </c>
      <c r="B242" s="52">
        <f>面积表!E237</f>
        <v>70.2</v>
      </c>
      <c r="C242" s="21">
        <f t="shared" si="43"/>
        <v>1.01</v>
      </c>
      <c r="D242" s="2559" t="s">
        <v>4016</v>
      </c>
      <c r="E242" s="21">
        <f t="shared" si="44"/>
        <v>1</v>
      </c>
      <c r="F242" s="2559" t="s">
        <v>21</v>
      </c>
      <c r="G242" s="21">
        <f t="shared" si="45"/>
        <v>1</v>
      </c>
      <c r="H242" s="631">
        <v>3</v>
      </c>
      <c r="I242" s="21">
        <f t="shared" si="46"/>
        <v>1</v>
      </c>
      <c r="J242" s="631"/>
      <c r="K242" s="21">
        <f t="shared" si="47"/>
        <v>1</v>
      </c>
      <c r="L242" s="631"/>
      <c r="M242" s="21">
        <f t="shared" si="48"/>
        <v>1</v>
      </c>
      <c r="N242" s="631"/>
      <c r="O242" s="21">
        <f t="shared" si="49"/>
        <v>1</v>
      </c>
      <c r="P242" s="631" t="s">
        <v>3553</v>
      </c>
      <c r="Q242" s="21">
        <f t="shared" si="50"/>
        <v>1.02</v>
      </c>
      <c r="R242" s="21">
        <f t="shared" ca="1" si="51"/>
        <v>14577</v>
      </c>
      <c r="S242" s="307">
        <f t="shared" ca="1" si="52"/>
        <v>102</v>
      </c>
      <c r="T242" s="3190">
        <f>面积表!A237</f>
        <v>0</v>
      </c>
    </row>
    <row r="243" spans="1:20">
      <c r="A243" s="3169" t="str">
        <f>面积表!D238</f>
        <v>1001</v>
      </c>
      <c r="B243" s="52">
        <f>面积表!E238</f>
        <v>51.46</v>
      </c>
      <c r="C243" s="21">
        <f t="shared" si="43"/>
        <v>1</v>
      </c>
      <c r="D243" s="2559" t="s">
        <v>4016</v>
      </c>
      <c r="E243" s="21">
        <f t="shared" si="44"/>
        <v>1</v>
      </c>
      <c r="F243" s="2559" t="s">
        <v>21</v>
      </c>
      <c r="G243" s="21">
        <f t="shared" si="45"/>
        <v>1</v>
      </c>
      <c r="H243" s="631">
        <v>3</v>
      </c>
      <c r="I243" s="21">
        <f t="shared" si="46"/>
        <v>1</v>
      </c>
      <c r="J243" s="631"/>
      <c r="K243" s="21">
        <f t="shared" si="47"/>
        <v>1</v>
      </c>
      <c r="L243" s="631"/>
      <c r="M243" s="21">
        <f t="shared" si="48"/>
        <v>1</v>
      </c>
      <c r="N243" s="631"/>
      <c r="O243" s="21">
        <f t="shared" si="49"/>
        <v>1</v>
      </c>
      <c r="P243" s="631" t="s">
        <v>3553</v>
      </c>
      <c r="Q243" s="21">
        <f t="shared" si="50"/>
        <v>1.02</v>
      </c>
      <c r="R243" s="21">
        <f t="shared" ca="1" si="51"/>
        <v>14433</v>
      </c>
      <c r="S243" s="307">
        <f t="shared" ca="1" si="52"/>
        <v>74</v>
      </c>
      <c r="T243" s="3190">
        <f>面积表!A238</f>
        <v>0</v>
      </c>
    </row>
    <row r="244" spans="1:20">
      <c r="A244" s="3169" t="str">
        <f>面积表!D239</f>
        <v>1002</v>
      </c>
      <c r="B244" s="52">
        <f>面积表!E239</f>
        <v>49.62</v>
      </c>
      <c r="C244" s="21">
        <f t="shared" si="43"/>
        <v>1</v>
      </c>
      <c r="D244" s="2559" t="s">
        <v>4016</v>
      </c>
      <c r="E244" s="21">
        <f t="shared" si="44"/>
        <v>1</v>
      </c>
      <c r="F244" s="2559" t="s">
        <v>21</v>
      </c>
      <c r="G244" s="21">
        <f t="shared" si="45"/>
        <v>1</v>
      </c>
      <c r="H244" s="631">
        <v>3</v>
      </c>
      <c r="I244" s="21">
        <f t="shared" si="46"/>
        <v>1</v>
      </c>
      <c r="J244" s="631"/>
      <c r="K244" s="21">
        <f t="shared" si="47"/>
        <v>1</v>
      </c>
      <c r="L244" s="631"/>
      <c r="M244" s="21">
        <f t="shared" si="48"/>
        <v>1</v>
      </c>
      <c r="N244" s="631"/>
      <c r="O244" s="21">
        <f t="shared" si="49"/>
        <v>1</v>
      </c>
      <c r="P244" s="631" t="s">
        <v>3553</v>
      </c>
      <c r="Q244" s="21">
        <f t="shared" si="50"/>
        <v>1.02</v>
      </c>
      <c r="R244" s="21">
        <f t="shared" ca="1" si="51"/>
        <v>14433</v>
      </c>
      <c r="S244" s="307">
        <f t="shared" ca="1" si="52"/>
        <v>72</v>
      </c>
      <c r="T244" s="3190">
        <f>面积表!A239</f>
        <v>0</v>
      </c>
    </row>
    <row r="245" spans="1:20">
      <c r="A245" s="3169" t="str">
        <f>面积表!D240</f>
        <v>1003</v>
      </c>
      <c r="B245" s="52">
        <f>面积表!E240</f>
        <v>49.62</v>
      </c>
      <c r="C245" s="21">
        <f t="shared" si="43"/>
        <v>1</v>
      </c>
      <c r="D245" s="2559" t="s">
        <v>4016</v>
      </c>
      <c r="E245" s="21">
        <f t="shared" si="44"/>
        <v>1</v>
      </c>
      <c r="F245" s="2559" t="s">
        <v>21</v>
      </c>
      <c r="G245" s="21">
        <f t="shared" si="45"/>
        <v>1</v>
      </c>
      <c r="H245" s="631">
        <v>3</v>
      </c>
      <c r="I245" s="21">
        <f t="shared" si="46"/>
        <v>1</v>
      </c>
      <c r="J245" s="631"/>
      <c r="K245" s="21">
        <f t="shared" si="47"/>
        <v>1</v>
      </c>
      <c r="L245" s="631"/>
      <c r="M245" s="21">
        <f t="shared" si="48"/>
        <v>1</v>
      </c>
      <c r="N245" s="631"/>
      <c r="O245" s="21">
        <f t="shared" si="49"/>
        <v>1</v>
      </c>
      <c r="P245" s="631" t="s">
        <v>3553</v>
      </c>
      <c r="Q245" s="21">
        <f t="shared" si="50"/>
        <v>1.02</v>
      </c>
      <c r="R245" s="21">
        <f t="shared" ca="1" si="51"/>
        <v>14433</v>
      </c>
      <c r="S245" s="307">
        <f t="shared" ca="1" si="52"/>
        <v>72</v>
      </c>
      <c r="T245" s="3190">
        <f>面积表!A240</f>
        <v>0</v>
      </c>
    </row>
    <row r="246" spans="1:20">
      <c r="A246" s="3169" t="str">
        <f>面积表!D241</f>
        <v>1004</v>
      </c>
      <c r="B246" s="52">
        <f>面积表!E241</f>
        <v>49.62</v>
      </c>
      <c r="C246" s="21">
        <f t="shared" si="43"/>
        <v>1</v>
      </c>
      <c r="D246" s="2559" t="s">
        <v>4016</v>
      </c>
      <c r="E246" s="21">
        <f t="shared" si="44"/>
        <v>1</v>
      </c>
      <c r="F246" s="2559" t="s">
        <v>21</v>
      </c>
      <c r="G246" s="21">
        <f t="shared" si="45"/>
        <v>1</v>
      </c>
      <c r="H246" s="631">
        <v>3</v>
      </c>
      <c r="I246" s="21">
        <f t="shared" si="46"/>
        <v>1</v>
      </c>
      <c r="J246" s="631"/>
      <c r="K246" s="21">
        <f t="shared" si="47"/>
        <v>1</v>
      </c>
      <c r="L246" s="631"/>
      <c r="M246" s="21">
        <f t="shared" si="48"/>
        <v>1</v>
      </c>
      <c r="N246" s="631"/>
      <c r="O246" s="21">
        <f t="shared" si="49"/>
        <v>1</v>
      </c>
      <c r="P246" s="631" t="s">
        <v>3553</v>
      </c>
      <c r="Q246" s="21">
        <f t="shared" si="50"/>
        <v>1.02</v>
      </c>
      <c r="R246" s="21">
        <f t="shared" ca="1" si="51"/>
        <v>14433</v>
      </c>
      <c r="S246" s="307">
        <f t="shared" ca="1" si="52"/>
        <v>72</v>
      </c>
      <c r="T246" s="3190">
        <f>面积表!A241</f>
        <v>0</v>
      </c>
    </row>
    <row r="247" spans="1:20">
      <c r="A247" s="3169" t="str">
        <f>面积表!D242</f>
        <v>1005</v>
      </c>
      <c r="B247" s="52">
        <f>面积表!E242</f>
        <v>49.62</v>
      </c>
      <c r="C247" s="21">
        <f t="shared" si="43"/>
        <v>1</v>
      </c>
      <c r="D247" s="2559" t="s">
        <v>4016</v>
      </c>
      <c r="E247" s="21">
        <f t="shared" si="44"/>
        <v>1</v>
      </c>
      <c r="F247" s="2559" t="s">
        <v>21</v>
      </c>
      <c r="G247" s="21">
        <f t="shared" si="45"/>
        <v>1</v>
      </c>
      <c r="H247" s="631">
        <v>3</v>
      </c>
      <c r="I247" s="21">
        <f t="shared" si="46"/>
        <v>1</v>
      </c>
      <c r="J247" s="631"/>
      <c r="K247" s="21">
        <f t="shared" si="47"/>
        <v>1</v>
      </c>
      <c r="L247" s="631"/>
      <c r="M247" s="21">
        <f t="shared" si="48"/>
        <v>1</v>
      </c>
      <c r="N247" s="631"/>
      <c r="O247" s="21">
        <f t="shared" si="49"/>
        <v>1</v>
      </c>
      <c r="P247" s="631" t="s">
        <v>3553</v>
      </c>
      <c r="Q247" s="21">
        <f t="shared" si="50"/>
        <v>1.02</v>
      </c>
      <c r="R247" s="21">
        <f t="shared" ca="1" si="51"/>
        <v>14433</v>
      </c>
      <c r="S247" s="307">
        <f t="shared" ca="1" si="52"/>
        <v>72</v>
      </c>
      <c r="T247" s="3190">
        <f>面积表!A242</f>
        <v>0</v>
      </c>
    </row>
    <row r="248" spans="1:20">
      <c r="A248" s="3169" t="str">
        <f>面积表!D243</f>
        <v>1006</v>
      </c>
      <c r="B248" s="52">
        <f>面积表!E243</f>
        <v>49.62</v>
      </c>
      <c r="C248" s="21">
        <f t="shared" si="43"/>
        <v>1</v>
      </c>
      <c r="D248" s="2559" t="s">
        <v>4016</v>
      </c>
      <c r="E248" s="21">
        <f t="shared" si="44"/>
        <v>1</v>
      </c>
      <c r="F248" s="2559" t="s">
        <v>21</v>
      </c>
      <c r="G248" s="21">
        <f t="shared" si="45"/>
        <v>1</v>
      </c>
      <c r="H248" s="631">
        <v>3</v>
      </c>
      <c r="I248" s="21">
        <f t="shared" si="46"/>
        <v>1</v>
      </c>
      <c r="J248" s="631"/>
      <c r="K248" s="21">
        <f t="shared" si="47"/>
        <v>1</v>
      </c>
      <c r="L248" s="631"/>
      <c r="M248" s="21">
        <f t="shared" si="48"/>
        <v>1</v>
      </c>
      <c r="N248" s="631"/>
      <c r="O248" s="21">
        <f t="shared" si="49"/>
        <v>1</v>
      </c>
      <c r="P248" s="631" t="s">
        <v>3553</v>
      </c>
      <c r="Q248" s="21">
        <f t="shared" si="50"/>
        <v>1.02</v>
      </c>
      <c r="R248" s="21">
        <f t="shared" ca="1" si="51"/>
        <v>14433</v>
      </c>
      <c r="S248" s="307">
        <f t="shared" ca="1" si="52"/>
        <v>72</v>
      </c>
      <c r="T248" s="3190">
        <f>面积表!A243</f>
        <v>0</v>
      </c>
    </row>
    <row r="249" spans="1:20">
      <c r="A249" s="3169" t="str">
        <f>面积表!D244</f>
        <v>1007</v>
      </c>
      <c r="B249" s="52">
        <f>面积表!E244</f>
        <v>49.62</v>
      </c>
      <c r="C249" s="21">
        <f t="shared" si="43"/>
        <v>1</v>
      </c>
      <c r="D249" s="2559" t="s">
        <v>4016</v>
      </c>
      <c r="E249" s="21">
        <f t="shared" si="44"/>
        <v>1</v>
      </c>
      <c r="F249" s="2559" t="s">
        <v>21</v>
      </c>
      <c r="G249" s="21">
        <f t="shared" si="45"/>
        <v>1</v>
      </c>
      <c r="H249" s="631">
        <v>3</v>
      </c>
      <c r="I249" s="21">
        <f t="shared" si="46"/>
        <v>1</v>
      </c>
      <c r="J249" s="631"/>
      <c r="K249" s="21">
        <f t="shared" si="47"/>
        <v>1</v>
      </c>
      <c r="L249" s="631"/>
      <c r="M249" s="21">
        <f t="shared" si="48"/>
        <v>1</v>
      </c>
      <c r="N249" s="631"/>
      <c r="O249" s="21">
        <f t="shared" si="49"/>
        <v>1</v>
      </c>
      <c r="P249" s="631" t="s">
        <v>3553</v>
      </c>
      <c r="Q249" s="21">
        <f t="shared" si="50"/>
        <v>1.02</v>
      </c>
      <c r="R249" s="21">
        <f t="shared" ca="1" si="51"/>
        <v>14433</v>
      </c>
      <c r="S249" s="307">
        <f t="shared" ca="1" si="52"/>
        <v>72</v>
      </c>
      <c r="T249" s="3190">
        <f>面积表!A244</f>
        <v>0</v>
      </c>
    </row>
    <row r="250" spans="1:20">
      <c r="A250" s="3169" t="str">
        <f>面积表!D245</f>
        <v>1008</v>
      </c>
      <c r="B250" s="52">
        <f>面积表!E245</f>
        <v>49.62</v>
      </c>
      <c r="C250" s="21">
        <f t="shared" si="43"/>
        <v>1</v>
      </c>
      <c r="D250" s="2559" t="s">
        <v>4016</v>
      </c>
      <c r="E250" s="21">
        <f t="shared" si="44"/>
        <v>1</v>
      </c>
      <c r="F250" s="2559" t="s">
        <v>21</v>
      </c>
      <c r="G250" s="21">
        <f t="shared" si="45"/>
        <v>1</v>
      </c>
      <c r="H250" s="631">
        <v>3</v>
      </c>
      <c r="I250" s="21">
        <f t="shared" si="46"/>
        <v>1</v>
      </c>
      <c r="J250" s="631"/>
      <c r="K250" s="21">
        <f t="shared" si="47"/>
        <v>1</v>
      </c>
      <c r="L250" s="631"/>
      <c r="M250" s="21">
        <f t="shared" si="48"/>
        <v>1</v>
      </c>
      <c r="N250" s="631"/>
      <c r="O250" s="21">
        <f t="shared" si="49"/>
        <v>1</v>
      </c>
      <c r="P250" s="631" t="s">
        <v>3553</v>
      </c>
      <c r="Q250" s="21">
        <f t="shared" si="50"/>
        <v>1.02</v>
      </c>
      <c r="R250" s="21">
        <f t="shared" ca="1" si="51"/>
        <v>14433</v>
      </c>
      <c r="S250" s="307">
        <f t="shared" ca="1" si="52"/>
        <v>72</v>
      </c>
      <c r="T250" s="3190">
        <f>面积表!A245</f>
        <v>0</v>
      </c>
    </row>
    <row r="251" spans="1:20">
      <c r="A251" s="3169" t="str">
        <f>面积表!D246</f>
        <v>1009</v>
      </c>
      <c r="B251" s="52">
        <f>面积表!E246</f>
        <v>49.62</v>
      </c>
      <c r="C251" s="21">
        <f t="shared" si="43"/>
        <v>1</v>
      </c>
      <c r="D251" s="2559" t="s">
        <v>4016</v>
      </c>
      <c r="E251" s="21">
        <f t="shared" si="44"/>
        <v>1</v>
      </c>
      <c r="F251" s="2559" t="s">
        <v>21</v>
      </c>
      <c r="G251" s="21">
        <f t="shared" si="45"/>
        <v>1</v>
      </c>
      <c r="H251" s="631">
        <v>3</v>
      </c>
      <c r="I251" s="21">
        <f t="shared" si="46"/>
        <v>1</v>
      </c>
      <c r="J251" s="631"/>
      <c r="K251" s="21">
        <f t="shared" si="47"/>
        <v>1</v>
      </c>
      <c r="L251" s="631"/>
      <c r="M251" s="21">
        <f t="shared" si="48"/>
        <v>1</v>
      </c>
      <c r="N251" s="631"/>
      <c r="O251" s="21">
        <f t="shared" si="49"/>
        <v>1</v>
      </c>
      <c r="P251" s="631" t="s">
        <v>3553</v>
      </c>
      <c r="Q251" s="21">
        <f t="shared" si="50"/>
        <v>1.02</v>
      </c>
      <c r="R251" s="21">
        <f t="shared" ca="1" si="51"/>
        <v>14433</v>
      </c>
      <c r="S251" s="307">
        <f t="shared" ca="1" si="52"/>
        <v>72</v>
      </c>
      <c r="T251" s="3190">
        <f>面积表!A246</f>
        <v>0</v>
      </c>
    </row>
    <row r="252" spans="1:20">
      <c r="A252" s="3169" t="str">
        <f>面积表!D247</f>
        <v>1010</v>
      </c>
      <c r="B252" s="52">
        <f>面积表!E247</f>
        <v>49.62</v>
      </c>
      <c r="C252" s="21">
        <f t="shared" si="43"/>
        <v>1</v>
      </c>
      <c r="D252" s="2559" t="s">
        <v>4016</v>
      </c>
      <c r="E252" s="21">
        <f t="shared" si="44"/>
        <v>1</v>
      </c>
      <c r="F252" s="2559" t="s">
        <v>21</v>
      </c>
      <c r="G252" s="21">
        <f t="shared" si="45"/>
        <v>1</v>
      </c>
      <c r="H252" s="631">
        <v>3</v>
      </c>
      <c r="I252" s="21">
        <f t="shared" si="46"/>
        <v>1</v>
      </c>
      <c r="J252" s="631"/>
      <c r="K252" s="21">
        <f t="shared" si="47"/>
        <v>1</v>
      </c>
      <c r="L252" s="631"/>
      <c r="M252" s="21">
        <f t="shared" si="48"/>
        <v>1</v>
      </c>
      <c r="N252" s="631"/>
      <c r="O252" s="21">
        <f t="shared" si="49"/>
        <v>1</v>
      </c>
      <c r="P252" s="631" t="s">
        <v>3553</v>
      </c>
      <c r="Q252" s="21">
        <f t="shared" si="50"/>
        <v>1.02</v>
      </c>
      <c r="R252" s="21">
        <f t="shared" ca="1" si="51"/>
        <v>14433</v>
      </c>
      <c r="S252" s="307">
        <f t="shared" ca="1" si="52"/>
        <v>72</v>
      </c>
      <c r="T252" s="3190">
        <f>面积表!A247</f>
        <v>0</v>
      </c>
    </row>
    <row r="253" spans="1:20">
      <c r="A253" s="3169" t="str">
        <f>面积表!D248</f>
        <v>1011</v>
      </c>
      <c r="B253" s="52">
        <f>面积表!E248</f>
        <v>49.62</v>
      </c>
      <c r="C253" s="21">
        <f t="shared" si="43"/>
        <v>1</v>
      </c>
      <c r="D253" s="2559" t="s">
        <v>4016</v>
      </c>
      <c r="E253" s="21">
        <f t="shared" si="44"/>
        <v>1</v>
      </c>
      <c r="F253" s="2559" t="s">
        <v>21</v>
      </c>
      <c r="G253" s="21">
        <f t="shared" si="45"/>
        <v>1</v>
      </c>
      <c r="H253" s="631">
        <v>3</v>
      </c>
      <c r="I253" s="21">
        <f t="shared" si="46"/>
        <v>1</v>
      </c>
      <c r="J253" s="631"/>
      <c r="K253" s="21">
        <f t="shared" si="47"/>
        <v>1</v>
      </c>
      <c r="L253" s="631"/>
      <c r="M253" s="21">
        <f t="shared" si="48"/>
        <v>1</v>
      </c>
      <c r="N253" s="631"/>
      <c r="O253" s="21">
        <f t="shared" si="49"/>
        <v>1</v>
      </c>
      <c r="P253" s="631" t="s">
        <v>3553</v>
      </c>
      <c r="Q253" s="21">
        <f t="shared" si="50"/>
        <v>1.02</v>
      </c>
      <c r="R253" s="21">
        <f t="shared" ca="1" si="51"/>
        <v>14433</v>
      </c>
      <c r="S253" s="307">
        <f t="shared" ca="1" si="52"/>
        <v>72</v>
      </c>
      <c r="T253" s="3190">
        <f>面积表!A248</f>
        <v>0</v>
      </c>
    </row>
    <row r="254" spans="1:20">
      <c r="A254" s="3169" t="str">
        <f>面积表!D249</f>
        <v>1012</v>
      </c>
      <c r="B254" s="52">
        <f>面积表!E249</f>
        <v>49.62</v>
      </c>
      <c r="C254" s="21">
        <f t="shared" si="43"/>
        <v>1</v>
      </c>
      <c r="D254" s="2559" t="s">
        <v>4016</v>
      </c>
      <c r="E254" s="21">
        <f t="shared" si="44"/>
        <v>1</v>
      </c>
      <c r="F254" s="2559" t="s">
        <v>21</v>
      </c>
      <c r="G254" s="21">
        <f t="shared" si="45"/>
        <v>1</v>
      </c>
      <c r="H254" s="631">
        <v>3</v>
      </c>
      <c r="I254" s="21">
        <f t="shared" si="46"/>
        <v>1</v>
      </c>
      <c r="J254" s="631"/>
      <c r="K254" s="21">
        <f t="shared" si="47"/>
        <v>1</v>
      </c>
      <c r="L254" s="631"/>
      <c r="M254" s="21">
        <f t="shared" si="48"/>
        <v>1</v>
      </c>
      <c r="N254" s="631"/>
      <c r="O254" s="21">
        <f t="shared" si="49"/>
        <v>1</v>
      </c>
      <c r="P254" s="631" t="s">
        <v>3553</v>
      </c>
      <c r="Q254" s="21">
        <f t="shared" si="50"/>
        <v>1.02</v>
      </c>
      <c r="R254" s="21">
        <f t="shared" ca="1" si="51"/>
        <v>14433</v>
      </c>
      <c r="S254" s="307">
        <f t="shared" ca="1" si="52"/>
        <v>72</v>
      </c>
      <c r="T254" s="3190">
        <f>面积表!A249</f>
        <v>0</v>
      </c>
    </row>
    <row r="255" spans="1:20">
      <c r="A255" s="3169" t="str">
        <f>面积表!D250</f>
        <v>1013</v>
      </c>
      <c r="B255" s="52">
        <f>面积表!E250</f>
        <v>49.62</v>
      </c>
      <c r="C255" s="21">
        <f t="shared" si="43"/>
        <v>1</v>
      </c>
      <c r="D255" s="2559" t="s">
        <v>4016</v>
      </c>
      <c r="E255" s="21">
        <f t="shared" si="44"/>
        <v>1</v>
      </c>
      <c r="F255" s="2559" t="s">
        <v>21</v>
      </c>
      <c r="G255" s="21">
        <f t="shared" si="45"/>
        <v>1</v>
      </c>
      <c r="H255" s="631">
        <v>3</v>
      </c>
      <c r="I255" s="21">
        <f t="shared" si="46"/>
        <v>1</v>
      </c>
      <c r="J255" s="631"/>
      <c r="K255" s="21">
        <f t="shared" si="47"/>
        <v>1</v>
      </c>
      <c r="L255" s="631"/>
      <c r="M255" s="21">
        <f t="shared" si="48"/>
        <v>1</v>
      </c>
      <c r="N255" s="631"/>
      <c r="O255" s="21">
        <f t="shared" si="49"/>
        <v>1</v>
      </c>
      <c r="P255" s="631" t="s">
        <v>3553</v>
      </c>
      <c r="Q255" s="21">
        <f t="shared" si="50"/>
        <v>1.02</v>
      </c>
      <c r="R255" s="21">
        <f t="shared" ca="1" si="51"/>
        <v>14433</v>
      </c>
      <c r="S255" s="307">
        <f t="shared" ca="1" si="52"/>
        <v>72</v>
      </c>
      <c r="T255" s="3190">
        <f>面积表!A250</f>
        <v>0</v>
      </c>
    </row>
    <row r="256" spans="1:20">
      <c r="A256" s="3169" t="str">
        <f>面积表!D251</f>
        <v>1014</v>
      </c>
      <c r="B256" s="52">
        <f>面积表!E251</f>
        <v>49.62</v>
      </c>
      <c r="C256" s="21">
        <f t="shared" si="43"/>
        <v>1</v>
      </c>
      <c r="D256" s="2559" t="s">
        <v>4016</v>
      </c>
      <c r="E256" s="21">
        <f t="shared" si="44"/>
        <v>1</v>
      </c>
      <c r="F256" s="2559" t="s">
        <v>21</v>
      </c>
      <c r="G256" s="21">
        <f t="shared" si="45"/>
        <v>1</v>
      </c>
      <c r="H256" s="631">
        <v>3</v>
      </c>
      <c r="I256" s="21">
        <f t="shared" si="46"/>
        <v>1</v>
      </c>
      <c r="J256" s="631"/>
      <c r="K256" s="21">
        <f t="shared" si="47"/>
        <v>1</v>
      </c>
      <c r="L256" s="631"/>
      <c r="M256" s="21">
        <f t="shared" si="48"/>
        <v>1</v>
      </c>
      <c r="N256" s="631"/>
      <c r="O256" s="21">
        <f t="shared" si="49"/>
        <v>1</v>
      </c>
      <c r="P256" s="631" t="s">
        <v>3553</v>
      </c>
      <c r="Q256" s="21">
        <f t="shared" si="50"/>
        <v>1.02</v>
      </c>
      <c r="R256" s="21">
        <f t="shared" ca="1" si="51"/>
        <v>14433</v>
      </c>
      <c r="S256" s="307">
        <f t="shared" ca="1" si="52"/>
        <v>72</v>
      </c>
      <c r="T256" s="3190">
        <f>面积表!A251</f>
        <v>0</v>
      </c>
    </row>
    <row r="257" spans="1:20">
      <c r="A257" s="3169" t="str">
        <f>面积表!D252</f>
        <v>1015</v>
      </c>
      <c r="B257" s="52">
        <f>面积表!E252</f>
        <v>49.62</v>
      </c>
      <c r="C257" s="21">
        <f t="shared" si="43"/>
        <v>1</v>
      </c>
      <c r="D257" s="2559" t="s">
        <v>4016</v>
      </c>
      <c r="E257" s="21">
        <f t="shared" si="44"/>
        <v>1</v>
      </c>
      <c r="F257" s="2559" t="s">
        <v>21</v>
      </c>
      <c r="G257" s="21">
        <f t="shared" si="45"/>
        <v>1</v>
      </c>
      <c r="H257" s="631">
        <v>3</v>
      </c>
      <c r="I257" s="21">
        <f t="shared" si="46"/>
        <v>1</v>
      </c>
      <c r="J257" s="631"/>
      <c r="K257" s="21">
        <f t="shared" si="47"/>
        <v>1</v>
      </c>
      <c r="L257" s="631"/>
      <c r="M257" s="21">
        <f t="shared" si="48"/>
        <v>1</v>
      </c>
      <c r="N257" s="631"/>
      <c r="O257" s="21">
        <f t="shared" si="49"/>
        <v>1</v>
      </c>
      <c r="P257" s="631" t="s">
        <v>3553</v>
      </c>
      <c r="Q257" s="21">
        <f t="shared" si="50"/>
        <v>1.02</v>
      </c>
      <c r="R257" s="21">
        <f t="shared" ca="1" si="51"/>
        <v>14433</v>
      </c>
      <c r="S257" s="307">
        <f t="shared" ca="1" si="52"/>
        <v>72</v>
      </c>
      <c r="T257" s="3190">
        <f>面积表!A252</f>
        <v>0</v>
      </c>
    </row>
    <row r="258" spans="1:20">
      <c r="A258" s="3169" t="str">
        <f>面积表!D253</f>
        <v>1016</v>
      </c>
      <c r="B258" s="52">
        <f>面积表!E253</f>
        <v>68.78</v>
      </c>
      <c r="C258" s="21">
        <f t="shared" si="43"/>
        <v>1.01</v>
      </c>
      <c r="D258" s="2559" t="s">
        <v>4016</v>
      </c>
      <c r="E258" s="21">
        <f t="shared" si="44"/>
        <v>1</v>
      </c>
      <c r="F258" s="2559" t="s">
        <v>21</v>
      </c>
      <c r="G258" s="21">
        <f t="shared" si="45"/>
        <v>1</v>
      </c>
      <c r="H258" s="631">
        <v>3</v>
      </c>
      <c r="I258" s="21">
        <f t="shared" si="46"/>
        <v>1</v>
      </c>
      <c r="J258" s="631"/>
      <c r="K258" s="21">
        <f t="shared" si="47"/>
        <v>1</v>
      </c>
      <c r="L258" s="631"/>
      <c r="M258" s="21">
        <f t="shared" si="48"/>
        <v>1</v>
      </c>
      <c r="N258" s="631"/>
      <c r="O258" s="21">
        <f t="shared" si="49"/>
        <v>1</v>
      </c>
      <c r="P258" s="631" t="s">
        <v>3553</v>
      </c>
      <c r="Q258" s="21">
        <f t="shared" si="50"/>
        <v>1.02</v>
      </c>
      <c r="R258" s="21">
        <f t="shared" ca="1" si="51"/>
        <v>14577</v>
      </c>
      <c r="S258" s="307">
        <f t="shared" ca="1" si="52"/>
        <v>100</v>
      </c>
      <c r="T258" s="3190">
        <f>面积表!A253</f>
        <v>0</v>
      </c>
    </row>
    <row r="259" spans="1:20">
      <c r="A259" s="3169" t="str">
        <f>面积表!D254</f>
        <v>1017</v>
      </c>
      <c r="B259" s="52">
        <f>面积表!E254</f>
        <v>38.1</v>
      </c>
      <c r="C259" s="21">
        <f t="shared" si="43"/>
        <v>1</v>
      </c>
      <c r="D259" s="2559" t="s">
        <v>4016</v>
      </c>
      <c r="E259" s="21">
        <f t="shared" si="44"/>
        <v>1</v>
      </c>
      <c r="F259" s="2559" t="s">
        <v>21</v>
      </c>
      <c r="G259" s="21">
        <f t="shared" si="45"/>
        <v>1</v>
      </c>
      <c r="H259" s="631">
        <v>3</v>
      </c>
      <c r="I259" s="21">
        <f t="shared" si="46"/>
        <v>1</v>
      </c>
      <c r="J259" s="631"/>
      <c r="K259" s="21">
        <f t="shared" si="47"/>
        <v>1</v>
      </c>
      <c r="L259" s="631"/>
      <c r="M259" s="21">
        <f t="shared" si="48"/>
        <v>1</v>
      </c>
      <c r="N259" s="631"/>
      <c r="O259" s="21">
        <f t="shared" si="49"/>
        <v>1</v>
      </c>
      <c r="P259" s="631" t="s">
        <v>3553</v>
      </c>
      <c r="Q259" s="21">
        <f t="shared" si="50"/>
        <v>1.02</v>
      </c>
      <c r="R259" s="21">
        <f t="shared" ca="1" si="51"/>
        <v>14433</v>
      </c>
      <c r="S259" s="307">
        <f t="shared" ca="1" si="52"/>
        <v>55</v>
      </c>
      <c r="T259" s="3190">
        <f>面积表!A254</f>
        <v>0</v>
      </c>
    </row>
    <row r="260" spans="1:20">
      <c r="A260" s="3169" t="str">
        <f>面积表!D255</f>
        <v>1018</v>
      </c>
      <c r="B260" s="52">
        <f>面积表!E255</f>
        <v>41.4</v>
      </c>
      <c r="C260" s="21">
        <f t="shared" si="43"/>
        <v>1</v>
      </c>
      <c r="D260" s="2559" t="s">
        <v>4016</v>
      </c>
      <c r="E260" s="21">
        <f t="shared" si="44"/>
        <v>1</v>
      </c>
      <c r="F260" s="2559" t="s">
        <v>21</v>
      </c>
      <c r="G260" s="21">
        <f t="shared" si="45"/>
        <v>1</v>
      </c>
      <c r="H260" s="631">
        <v>3</v>
      </c>
      <c r="I260" s="21">
        <f t="shared" si="46"/>
        <v>1</v>
      </c>
      <c r="J260" s="631"/>
      <c r="K260" s="21">
        <f t="shared" si="47"/>
        <v>1</v>
      </c>
      <c r="L260" s="631"/>
      <c r="M260" s="21">
        <f t="shared" si="48"/>
        <v>1</v>
      </c>
      <c r="N260" s="631"/>
      <c r="O260" s="21">
        <f t="shared" si="49"/>
        <v>1</v>
      </c>
      <c r="P260" s="631" t="s">
        <v>3553</v>
      </c>
      <c r="Q260" s="21">
        <f t="shared" si="50"/>
        <v>1.02</v>
      </c>
      <c r="R260" s="21">
        <f t="shared" ca="1" si="51"/>
        <v>14433</v>
      </c>
      <c r="S260" s="307">
        <f t="shared" ca="1" si="52"/>
        <v>60</v>
      </c>
      <c r="T260" s="3190">
        <f>面积表!A255</f>
        <v>0</v>
      </c>
    </row>
    <row r="261" spans="1:20">
      <c r="A261" s="3169" t="str">
        <f>面积表!D256</f>
        <v>1019</v>
      </c>
      <c r="B261" s="52">
        <f>面积表!E256</f>
        <v>44.09</v>
      </c>
      <c r="C261" s="21">
        <f t="shared" si="43"/>
        <v>1</v>
      </c>
      <c r="D261" s="2559" t="s">
        <v>4016</v>
      </c>
      <c r="E261" s="21">
        <f t="shared" si="44"/>
        <v>1</v>
      </c>
      <c r="F261" s="2559" t="s">
        <v>21</v>
      </c>
      <c r="G261" s="21">
        <f t="shared" si="45"/>
        <v>1</v>
      </c>
      <c r="H261" s="631">
        <v>3</v>
      </c>
      <c r="I261" s="21">
        <f t="shared" si="46"/>
        <v>1</v>
      </c>
      <c r="J261" s="631"/>
      <c r="K261" s="21">
        <f t="shared" si="47"/>
        <v>1</v>
      </c>
      <c r="L261" s="631"/>
      <c r="M261" s="21">
        <f t="shared" si="48"/>
        <v>1</v>
      </c>
      <c r="N261" s="631"/>
      <c r="O261" s="21">
        <f t="shared" si="49"/>
        <v>1</v>
      </c>
      <c r="P261" s="631" t="s">
        <v>3553</v>
      </c>
      <c r="Q261" s="21">
        <f t="shared" si="50"/>
        <v>1.02</v>
      </c>
      <c r="R261" s="21">
        <f t="shared" ca="1" si="51"/>
        <v>14433</v>
      </c>
      <c r="S261" s="307">
        <f t="shared" ca="1" si="52"/>
        <v>64</v>
      </c>
      <c r="T261" s="3190">
        <f>面积表!A256</f>
        <v>0</v>
      </c>
    </row>
    <row r="262" spans="1:20">
      <c r="A262" s="3169" t="str">
        <f>面积表!D257</f>
        <v>1020</v>
      </c>
      <c r="B262" s="52">
        <f>面积表!E257</f>
        <v>46.17</v>
      </c>
      <c r="C262" s="21">
        <f t="shared" si="43"/>
        <v>1</v>
      </c>
      <c r="D262" s="2559" t="s">
        <v>4016</v>
      </c>
      <c r="E262" s="21">
        <f t="shared" si="44"/>
        <v>1</v>
      </c>
      <c r="F262" s="2559" t="s">
        <v>21</v>
      </c>
      <c r="G262" s="21">
        <f t="shared" si="45"/>
        <v>1</v>
      </c>
      <c r="H262" s="631">
        <v>3</v>
      </c>
      <c r="I262" s="21">
        <f t="shared" si="46"/>
        <v>1</v>
      </c>
      <c r="J262" s="631"/>
      <c r="K262" s="21">
        <f t="shared" si="47"/>
        <v>1</v>
      </c>
      <c r="L262" s="631"/>
      <c r="M262" s="21">
        <f t="shared" si="48"/>
        <v>1</v>
      </c>
      <c r="N262" s="631"/>
      <c r="O262" s="21">
        <f t="shared" si="49"/>
        <v>1</v>
      </c>
      <c r="P262" s="631" t="s">
        <v>3553</v>
      </c>
      <c r="Q262" s="21">
        <f t="shared" si="50"/>
        <v>1.02</v>
      </c>
      <c r="R262" s="21">
        <f t="shared" ca="1" si="51"/>
        <v>14433</v>
      </c>
      <c r="S262" s="307">
        <f t="shared" ca="1" si="52"/>
        <v>67</v>
      </c>
      <c r="T262" s="3190">
        <f>面积表!A257</f>
        <v>0</v>
      </c>
    </row>
    <row r="263" spans="1:20">
      <c r="A263" s="3169" t="str">
        <f>面积表!D258</f>
        <v>1021</v>
      </c>
      <c r="B263" s="52">
        <f>面积表!E258</f>
        <v>47.65</v>
      </c>
      <c r="C263" s="21">
        <f t="shared" si="43"/>
        <v>1</v>
      </c>
      <c r="D263" s="2559" t="s">
        <v>4016</v>
      </c>
      <c r="E263" s="21">
        <f t="shared" si="44"/>
        <v>1</v>
      </c>
      <c r="F263" s="2559" t="s">
        <v>21</v>
      </c>
      <c r="G263" s="21">
        <f t="shared" si="45"/>
        <v>1</v>
      </c>
      <c r="H263" s="631">
        <v>3</v>
      </c>
      <c r="I263" s="21">
        <f t="shared" si="46"/>
        <v>1</v>
      </c>
      <c r="J263" s="631"/>
      <c r="K263" s="21">
        <f t="shared" si="47"/>
        <v>1</v>
      </c>
      <c r="L263" s="631"/>
      <c r="M263" s="21">
        <f t="shared" si="48"/>
        <v>1</v>
      </c>
      <c r="N263" s="631"/>
      <c r="O263" s="21">
        <f t="shared" si="49"/>
        <v>1</v>
      </c>
      <c r="P263" s="631" t="s">
        <v>3553</v>
      </c>
      <c r="Q263" s="21">
        <f t="shared" si="50"/>
        <v>1.02</v>
      </c>
      <c r="R263" s="21">
        <f t="shared" ca="1" si="51"/>
        <v>14433</v>
      </c>
      <c r="S263" s="307">
        <f t="shared" ca="1" si="52"/>
        <v>69</v>
      </c>
      <c r="T263" s="3190">
        <f>面积表!A258</f>
        <v>0</v>
      </c>
    </row>
    <row r="264" spans="1:20">
      <c r="A264" s="3169" t="str">
        <f>面积表!D259</f>
        <v>1022</v>
      </c>
      <c r="B264" s="52">
        <f>面积表!E259</f>
        <v>48.6</v>
      </c>
      <c r="C264" s="21">
        <f t="shared" si="43"/>
        <v>1</v>
      </c>
      <c r="D264" s="2559" t="s">
        <v>4016</v>
      </c>
      <c r="E264" s="21">
        <f t="shared" si="44"/>
        <v>1</v>
      </c>
      <c r="F264" s="2559" t="s">
        <v>21</v>
      </c>
      <c r="G264" s="21">
        <f t="shared" si="45"/>
        <v>1</v>
      </c>
      <c r="H264" s="631">
        <v>3</v>
      </c>
      <c r="I264" s="21">
        <f t="shared" si="46"/>
        <v>1</v>
      </c>
      <c r="J264" s="631"/>
      <c r="K264" s="21">
        <f t="shared" si="47"/>
        <v>1</v>
      </c>
      <c r="L264" s="631"/>
      <c r="M264" s="21">
        <f t="shared" si="48"/>
        <v>1</v>
      </c>
      <c r="N264" s="631"/>
      <c r="O264" s="21">
        <f t="shared" si="49"/>
        <v>1</v>
      </c>
      <c r="P264" s="631" t="s">
        <v>3553</v>
      </c>
      <c r="Q264" s="21">
        <f t="shared" si="50"/>
        <v>1.02</v>
      </c>
      <c r="R264" s="21">
        <f t="shared" ca="1" si="51"/>
        <v>14433</v>
      </c>
      <c r="S264" s="307">
        <f t="shared" ca="1" si="52"/>
        <v>70</v>
      </c>
      <c r="T264" s="3190">
        <f>面积表!A259</f>
        <v>0</v>
      </c>
    </row>
    <row r="265" spans="1:20">
      <c r="A265" s="3169" t="str">
        <f>面积表!D260</f>
        <v>1023</v>
      </c>
      <c r="B265" s="52">
        <f>面积表!E260</f>
        <v>48.89</v>
      </c>
      <c r="C265" s="21">
        <f t="shared" si="43"/>
        <v>1</v>
      </c>
      <c r="D265" s="2559" t="s">
        <v>4016</v>
      </c>
      <c r="E265" s="21">
        <f t="shared" si="44"/>
        <v>1</v>
      </c>
      <c r="F265" s="2559" t="s">
        <v>21</v>
      </c>
      <c r="G265" s="21">
        <f t="shared" si="45"/>
        <v>1</v>
      </c>
      <c r="H265" s="631">
        <v>3</v>
      </c>
      <c r="I265" s="21">
        <f t="shared" si="46"/>
        <v>1</v>
      </c>
      <c r="J265" s="631"/>
      <c r="K265" s="21">
        <f t="shared" si="47"/>
        <v>1</v>
      </c>
      <c r="L265" s="631"/>
      <c r="M265" s="21">
        <f t="shared" si="48"/>
        <v>1</v>
      </c>
      <c r="N265" s="631"/>
      <c r="O265" s="21">
        <f t="shared" si="49"/>
        <v>1</v>
      </c>
      <c r="P265" s="631" t="s">
        <v>3553</v>
      </c>
      <c r="Q265" s="21">
        <f t="shared" si="50"/>
        <v>1.02</v>
      </c>
      <c r="R265" s="21">
        <f t="shared" ca="1" si="51"/>
        <v>14433</v>
      </c>
      <c r="S265" s="307">
        <f t="shared" ca="1" si="52"/>
        <v>71</v>
      </c>
      <c r="T265" s="3190">
        <f>面积表!A260</f>
        <v>0</v>
      </c>
    </row>
    <row r="266" spans="1:20">
      <c r="A266" s="3169" t="str">
        <f>面积表!D261</f>
        <v>1024</v>
      </c>
      <c r="B266" s="52">
        <f>面积表!E261</f>
        <v>48.59</v>
      </c>
      <c r="C266" s="21">
        <f t="shared" si="43"/>
        <v>1</v>
      </c>
      <c r="D266" s="2559" t="s">
        <v>4016</v>
      </c>
      <c r="E266" s="21">
        <f t="shared" si="44"/>
        <v>1</v>
      </c>
      <c r="F266" s="2559" t="s">
        <v>21</v>
      </c>
      <c r="G266" s="21">
        <f t="shared" si="45"/>
        <v>1</v>
      </c>
      <c r="H266" s="631">
        <v>3</v>
      </c>
      <c r="I266" s="21">
        <f t="shared" si="46"/>
        <v>1</v>
      </c>
      <c r="J266" s="631"/>
      <c r="K266" s="21">
        <f t="shared" si="47"/>
        <v>1</v>
      </c>
      <c r="L266" s="631"/>
      <c r="M266" s="21">
        <f t="shared" si="48"/>
        <v>1</v>
      </c>
      <c r="N266" s="631"/>
      <c r="O266" s="21">
        <f t="shared" si="49"/>
        <v>1</v>
      </c>
      <c r="P266" s="631" t="s">
        <v>3553</v>
      </c>
      <c r="Q266" s="21">
        <f t="shared" si="50"/>
        <v>1.02</v>
      </c>
      <c r="R266" s="21">
        <f t="shared" ca="1" si="51"/>
        <v>14433</v>
      </c>
      <c r="S266" s="307">
        <f t="shared" ca="1" si="52"/>
        <v>70</v>
      </c>
      <c r="T266" s="3190">
        <f>面积表!A261</f>
        <v>0</v>
      </c>
    </row>
    <row r="267" spans="1:20">
      <c r="A267" s="3169" t="str">
        <f>面积表!D262</f>
        <v>1025</v>
      </c>
      <c r="B267" s="52">
        <f>面积表!E262</f>
        <v>47.73</v>
      </c>
      <c r="C267" s="21">
        <f t="shared" si="43"/>
        <v>1</v>
      </c>
      <c r="D267" s="2559" t="s">
        <v>4016</v>
      </c>
      <c r="E267" s="21">
        <f t="shared" si="44"/>
        <v>1</v>
      </c>
      <c r="F267" s="2559" t="s">
        <v>21</v>
      </c>
      <c r="G267" s="21">
        <f t="shared" si="45"/>
        <v>1</v>
      </c>
      <c r="H267" s="631">
        <v>3</v>
      </c>
      <c r="I267" s="21">
        <f t="shared" si="46"/>
        <v>1</v>
      </c>
      <c r="J267" s="631"/>
      <c r="K267" s="21">
        <f t="shared" si="47"/>
        <v>1</v>
      </c>
      <c r="L267" s="631"/>
      <c r="M267" s="21">
        <f t="shared" si="48"/>
        <v>1</v>
      </c>
      <c r="N267" s="631"/>
      <c r="O267" s="21">
        <f t="shared" si="49"/>
        <v>1</v>
      </c>
      <c r="P267" s="631" t="s">
        <v>3553</v>
      </c>
      <c r="Q267" s="21">
        <f t="shared" si="50"/>
        <v>1.02</v>
      </c>
      <c r="R267" s="21">
        <f t="shared" ca="1" si="51"/>
        <v>14433</v>
      </c>
      <c r="S267" s="307">
        <f t="shared" ca="1" si="52"/>
        <v>69</v>
      </c>
      <c r="T267" s="3190">
        <f>面积表!A262</f>
        <v>0</v>
      </c>
    </row>
    <row r="268" spans="1:20">
      <c r="A268" s="3169" t="str">
        <f>面积表!D263</f>
        <v>1026</v>
      </c>
      <c r="B268" s="52">
        <f>面积表!E263</f>
        <v>70.2</v>
      </c>
      <c r="C268" s="21">
        <f t="shared" si="43"/>
        <v>1.01</v>
      </c>
      <c r="D268" s="2559" t="s">
        <v>4016</v>
      </c>
      <c r="E268" s="21">
        <f t="shared" si="44"/>
        <v>1</v>
      </c>
      <c r="F268" s="2559" t="s">
        <v>21</v>
      </c>
      <c r="G268" s="21">
        <f t="shared" si="45"/>
        <v>1</v>
      </c>
      <c r="H268" s="631">
        <v>3</v>
      </c>
      <c r="I268" s="21">
        <f t="shared" si="46"/>
        <v>1</v>
      </c>
      <c r="J268" s="631"/>
      <c r="K268" s="21">
        <f t="shared" si="47"/>
        <v>1</v>
      </c>
      <c r="L268" s="631"/>
      <c r="M268" s="21">
        <f t="shared" si="48"/>
        <v>1</v>
      </c>
      <c r="N268" s="631"/>
      <c r="O268" s="21">
        <f t="shared" si="49"/>
        <v>1</v>
      </c>
      <c r="P268" s="631" t="s">
        <v>3553</v>
      </c>
      <c r="Q268" s="21">
        <f t="shared" si="50"/>
        <v>1.02</v>
      </c>
      <c r="R268" s="21">
        <f t="shared" ca="1" si="51"/>
        <v>14577</v>
      </c>
      <c r="S268" s="307">
        <f t="shared" ca="1" si="52"/>
        <v>102</v>
      </c>
      <c r="T268" s="3190">
        <f>面积表!A263</f>
        <v>0</v>
      </c>
    </row>
    <row r="269" spans="1:20">
      <c r="A269" s="3169" t="str">
        <f>面积表!D264</f>
        <v>1101</v>
      </c>
      <c r="B269" s="52">
        <f>面积表!E264</f>
        <v>51.46</v>
      </c>
      <c r="C269" s="21">
        <f t="shared" si="43"/>
        <v>1</v>
      </c>
      <c r="D269" s="2559" t="s">
        <v>4016</v>
      </c>
      <c r="E269" s="21">
        <f t="shared" si="44"/>
        <v>1</v>
      </c>
      <c r="F269" s="2559" t="s">
        <v>21</v>
      </c>
      <c r="G269" s="21">
        <f t="shared" si="45"/>
        <v>1</v>
      </c>
      <c r="H269" s="631">
        <v>3</v>
      </c>
      <c r="I269" s="21">
        <f t="shared" si="46"/>
        <v>1</v>
      </c>
      <c r="J269" s="631"/>
      <c r="K269" s="21">
        <f t="shared" si="47"/>
        <v>1</v>
      </c>
      <c r="L269" s="631"/>
      <c r="M269" s="21">
        <f t="shared" si="48"/>
        <v>1</v>
      </c>
      <c r="N269" s="631"/>
      <c r="O269" s="21">
        <f t="shared" si="49"/>
        <v>1</v>
      </c>
      <c r="P269" s="631" t="s">
        <v>3553</v>
      </c>
      <c r="Q269" s="21">
        <f t="shared" si="50"/>
        <v>1.02</v>
      </c>
      <c r="R269" s="21">
        <f t="shared" ca="1" si="51"/>
        <v>14433</v>
      </c>
      <c r="S269" s="307">
        <f t="shared" ca="1" si="52"/>
        <v>74</v>
      </c>
      <c r="T269" s="3190">
        <f>面积表!A264</f>
        <v>0</v>
      </c>
    </row>
    <row r="270" spans="1:20">
      <c r="A270" s="3169" t="str">
        <f>面积表!D265</f>
        <v>1102</v>
      </c>
      <c r="B270" s="52">
        <f>面积表!E265</f>
        <v>49.62</v>
      </c>
      <c r="C270" s="21">
        <f t="shared" si="43"/>
        <v>1</v>
      </c>
      <c r="D270" s="2559" t="s">
        <v>4016</v>
      </c>
      <c r="E270" s="21">
        <f t="shared" si="44"/>
        <v>1</v>
      </c>
      <c r="F270" s="2559" t="s">
        <v>21</v>
      </c>
      <c r="G270" s="21">
        <f t="shared" si="45"/>
        <v>1</v>
      </c>
      <c r="H270" s="631">
        <v>3</v>
      </c>
      <c r="I270" s="21">
        <f t="shared" si="46"/>
        <v>1</v>
      </c>
      <c r="J270" s="631"/>
      <c r="K270" s="21">
        <f t="shared" si="47"/>
        <v>1</v>
      </c>
      <c r="L270" s="631"/>
      <c r="M270" s="21">
        <f t="shared" si="48"/>
        <v>1</v>
      </c>
      <c r="N270" s="631"/>
      <c r="O270" s="21">
        <f t="shared" si="49"/>
        <v>1</v>
      </c>
      <c r="P270" s="631" t="s">
        <v>3553</v>
      </c>
      <c r="Q270" s="21">
        <f t="shared" si="50"/>
        <v>1.02</v>
      </c>
      <c r="R270" s="21">
        <f t="shared" ca="1" si="51"/>
        <v>14433</v>
      </c>
      <c r="S270" s="307">
        <f t="shared" ca="1" si="52"/>
        <v>72</v>
      </c>
      <c r="T270" s="3190">
        <f>面积表!A265</f>
        <v>0</v>
      </c>
    </row>
    <row r="271" spans="1:20">
      <c r="A271" s="3169" t="str">
        <f>面积表!D266</f>
        <v>1103</v>
      </c>
      <c r="B271" s="52">
        <f>面积表!E266</f>
        <v>49.62</v>
      </c>
      <c r="C271" s="21">
        <f t="shared" si="43"/>
        <v>1</v>
      </c>
      <c r="D271" s="2559" t="s">
        <v>4016</v>
      </c>
      <c r="E271" s="21">
        <f t="shared" si="44"/>
        <v>1</v>
      </c>
      <c r="F271" s="2559" t="s">
        <v>21</v>
      </c>
      <c r="G271" s="21">
        <f t="shared" si="45"/>
        <v>1</v>
      </c>
      <c r="H271" s="631">
        <v>3</v>
      </c>
      <c r="I271" s="21">
        <f t="shared" si="46"/>
        <v>1</v>
      </c>
      <c r="J271" s="631"/>
      <c r="K271" s="21">
        <f t="shared" si="47"/>
        <v>1</v>
      </c>
      <c r="L271" s="631"/>
      <c r="M271" s="21">
        <f t="shared" si="48"/>
        <v>1</v>
      </c>
      <c r="N271" s="631"/>
      <c r="O271" s="21">
        <f t="shared" si="49"/>
        <v>1</v>
      </c>
      <c r="P271" s="631" t="s">
        <v>3553</v>
      </c>
      <c r="Q271" s="21">
        <f t="shared" si="50"/>
        <v>1.02</v>
      </c>
      <c r="R271" s="21">
        <f t="shared" ca="1" si="51"/>
        <v>14433</v>
      </c>
      <c r="S271" s="307">
        <f t="shared" ca="1" si="52"/>
        <v>72</v>
      </c>
      <c r="T271" s="3190">
        <f>面积表!A266</f>
        <v>0</v>
      </c>
    </row>
    <row r="272" spans="1:20">
      <c r="A272" s="3169" t="str">
        <f>面积表!D267</f>
        <v>1104</v>
      </c>
      <c r="B272" s="52">
        <f>面积表!E267</f>
        <v>49.62</v>
      </c>
      <c r="C272" s="21">
        <f t="shared" si="43"/>
        <v>1</v>
      </c>
      <c r="D272" s="2559" t="s">
        <v>4016</v>
      </c>
      <c r="E272" s="21">
        <f t="shared" si="44"/>
        <v>1</v>
      </c>
      <c r="F272" s="2559" t="s">
        <v>21</v>
      </c>
      <c r="G272" s="21">
        <f t="shared" si="45"/>
        <v>1</v>
      </c>
      <c r="H272" s="631">
        <v>3</v>
      </c>
      <c r="I272" s="21">
        <f t="shared" si="46"/>
        <v>1</v>
      </c>
      <c r="J272" s="631"/>
      <c r="K272" s="21">
        <f t="shared" si="47"/>
        <v>1</v>
      </c>
      <c r="L272" s="631"/>
      <c r="M272" s="21">
        <f t="shared" si="48"/>
        <v>1</v>
      </c>
      <c r="N272" s="631"/>
      <c r="O272" s="21">
        <f t="shared" si="49"/>
        <v>1</v>
      </c>
      <c r="P272" s="631" t="s">
        <v>3553</v>
      </c>
      <c r="Q272" s="21">
        <f t="shared" si="50"/>
        <v>1.02</v>
      </c>
      <c r="R272" s="21">
        <f t="shared" ca="1" si="51"/>
        <v>14433</v>
      </c>
      <c r="S272" s="307">
        <f t="shared" ca="1" si="52"/>
        <v>72</v>
      </c>
      <c r="T272" s="3190">
        <f>面积表!A267</f>
        <v>0</v>
      </c>
    </row>
    <row r="273" spans="1:20">
      <c r="A273" s="3169" t="str">
        <f>面积表!D268</f>
        <v>1105</v>
      </c>
      <c r="B273" s="52">
        <f>面积表!E268</f>
        <v>49.62</v>
      </c>
      <c r="C273" s="21">
        <f t="shared" si="43"/>
        <v>1</v>
      </c>
      <c r="D273" s="2559" t="s">
        <v>4016</v>
      </c>
      <c r="E273" s="21">
        <f t="shared" si="44"/>
        <v>1</v>
      </c>
      <c r="F273" s="2559" t="s">
        <v>21</v>
      </c>
      <c r="G273" s="21">
        <f t="shared" si="45"/>
        <v>1</v>
      </c>
      <c r="H273" s="631">
        <v>3</v>
      </c>
      <c r="I273" s="21">
        <f t="shared" si="46"/>
        <v>1</v>
      </c>
      <c r="J273" s="631"/>
      <c r="K273" s="21">
        <f t="shared" si="47"/>
        <v>1</v>
      </c>
      <c r="L273" s="631"/>
      <c r="M273" s="21">
        <f t="shared" si="48"/>
        <v>1</v>
      </c>
      <c r="N273" s="631"/>
      <c r="O273" s="21">
        <f t="shared" si="49"/>
        <v>1</v>
      </c>
      <c r="P273" s="631" t="s">
        <v>3553</v>
      </c>
      <c r="Q273" s="21">
        <f t="shared" si="50"/>
        <v>1.02</v>
      </c>
      <c r="R273" s="21">
        <f t="shared" ca="1" si="51"/>
        <v>14433</v>
      </c>
      <c r="S273" s="307">
        <f t="shared" ca="1" si="52"/>
        <v>72</v>
      </c>
      <c r="T273" s="3190">
        <f>面积表!A268</f>
        <v>0</v>
      </c>
    </row>
    <row r="274" spans="1:20">
      <c r="A274" s="3169" t="str">
        <f>面积表!D269</f>
        <v>1106</v>
      </c>
      <c r="B274" s="52">
        <f>面积表!E269</f>
        <v>49.62</v>
      </c>
      <c r="C274" s="21">
        <f t="shared" si="43"/>
        <v>1</v>
      </c>
      <c r="D274" s="2559" t="s">
        <v>4016</v>
      </c>
      <c r="E274" s="21">
        <f t="shared" si="44"/>
        <v>1</v>
      </c>
      <c r="F274" s="2559" t="s">
        <v>21</v>
      </c>
      <c r="G274" s="21">
        <f t="shared" si="45"/>
        <v>1</v>
      </c>
      <c r="H274" s="631">
        <v>3</v>
      </c>
      <c r="I274" s="21">
        <f t="shared" si="46"/>
        <v>1</v>
      </c>
      <c r="J274" s="631"/>
      <c r="K274" s="21">
        <f t="shared" si="47"/>
        <v>1</v>
      </c>
      <c r="L274" s="631"/>
      <c r="M274" s="21">
        <f t="shared" si="48"/>
        <v>1</v>
      </c>
      <c r="N274" s="631"/>
      <c r="O274" s="21">
        <f t="shared" si="49"/>
        <v>1</v>
      </c>
      <c r="P274" s="631" t="s">
        <v>3553</v>
      </c>
      <c r="Q274" s="21">
        <f t="shared" si="50"/>
        <v>1.02</v>
      </c>
      <c r="R274" s="21">
        <f t="shared" ca="1" si="51"/>
        <v>14433</v>
      </c>
      <c r="S274" s="307">
        <f t="shared" ca="1" si="52"/>
        <v>72</v>
      </c>
      <c r="T274" s="3190">
        <f>面积表!A269</f>
        <v>0</v>
      </c>
    </row>
    <row r="275" spans="1:20">
      <c r="A275" s="3169" t="str">
        <f>面积表!D270</f>
        <v>1107</v>
      </c>
      <c r="B275" s="52">
        <f>面积表!E270</f>
        <v>49.62</v>
      </c>
      <c r="C275" s="21">
        <f t="shared" si="43"/>
        <v>1</v>
      </c>
      <c r="D275" s="2559" t="s">
        <v>4016</v>
      </c>
      <c r="E275" s="21">
        <f t="shared" si="44"/>
        <v>1</v>
      </c>
      <c r="F275" s="2559" t="s">
        <v>21</v>
      </c>
      <c r="G275" s="21">
        <f t="shared" si="45"/>
        <v>1</v>
      </c>
      <c r="H275" s="631">
        <v>3</v>
      </c>
      <c r="I275" s="21">
        <f t="shared" si="46"/>
        <v>1</v>
      </c>
      <c r="J275" s="631"/>
      <c r="K275" s="21">
        <f t="shared" si="47"/>
        <v>1</v>
      </c>
      <c r="L275" s="631"/>
      <c r="M275" s="21">
        <f t="shared" si="48"/>
        <v>1</v>
      </c>
      <c r="N275" s="631"/>
      <c r="O275" s="21">
        <f t="shared" si="49"/>
        <v>1</v>
      </c>
      <c r="P275" s="631" t="s">
        <v>3553</v>
      </c>
      <c r="Q275" s="21">
        <f t="shared" si="50"/>
        <v>1.02</v>
      </c>
      <c r="R275" s="21">
        <f t="shared" ca="1" si="51"/>
        <v>14433</v>
      </c>
      <c r="S275" s="307">
        <f t="shared" ca="1" si="52"/>
        <v>72</v>
      </c>
      <c r="T275" s="3190">
        <f>面积表!A270</f>
        <v>0</v>
      </c>
    </row>
    <row r="276" spans="1:20">
      <c r="A276" s="3169" t="str">
        <f>面积表!D271</f>
        <v>1108</v>
      </c>
      <c r="B276" s="52">
        <f>面积表!E271</f>
        <v>49.62</v>
      </c>
      <c r="C276" s="21">
        <f t="shared" si="43"/>
        <v>1</v>
      </c>
      <c r="D276" s="2559" t="s">
        <v>4016</v>
      </c>
      <c r="E276" s="21">
        <f t="shared" si="44"/>
        <v>1</v>
      </c>
      <c r="F276" s="2559" t="s">
        <v>21</v>
      </c>
      <c r="G276" s="21">
        <f t="shared" si="45"/>
        <v>1</v>
      </c>
      <c r="H276" s="631">
        <v>3</v>
      </c>
      <c r="I276" s="21">
        <f t="shared" si="46"/>
        <v>1</v>
      </c>
      <c r="J276" s="631"/>
      <c r="K276" s="21">
        <f t="shared" si="47"/>
        <v>1</v>
      </c>
      <c r="L276" s="631"/>
      <c r="M276" s="21">
        <f t="shared" si="48"/>
        <v>1</v>
      </c>
      <c r="N276" s="631"/>
      <c r="O276" s="21">
        <f t="shared" si="49"/>
        <v>1</v>
      </c>
      <c r="P276" s="631" t="s">
        <v>3553</v>
      </c>
      <c r="Q276" s="21">
        <f t="shared" si="50"/>
        <v>1.02</v>
      </c>
      <c r="R276" s="21">
        <f t="shared" ca="1" si="51"/>
        <v>14433</v>
      </c>
      <c r="S276" s="307">
        <f t="shared" ca="1" si="52"/>
        <v>72</v>
      </c>
      <c r="T276" s="3190">
        <f>面积表!A271</f>
        <v>0</v>
      </c>
    </row>
    <row r="277" spans="1:20">
      <c r="A277" s="3169" t="str">
        <f>面积表!D272</f>
        <v>1109</v>
      </c>
      <c r="B277" s="52">
        <f>面积表!E272</f>
        <v>49.62</v>
      </c>
      <c r="C277" s="21">
        <f t="shared" si="43"/>
        <v>1</v>
      </c>
      <c r="D277" s="2559" t="s">
        <v>4016</v>
      </c>
      <c r="E277" s="21">
        <f t="shared" si="44"/>
        <v>1</v>
      </c>
      <c r="F277" s="2559" t="s">
        <v>21</v>
      </c>
      <c r="G277" s="21">
        <f t="shared" si="45"/>
        <v>1</v>
      </c>
      <c r="H277" s="631">
        <v>3</v>
      </c>
      <c r="I277" s="21">
        <f t="shared" si="46"/>
        <v>1</v>
      </c>
      <c r="J277" s="631"/>
      <c r="K277" s="21">
        <f t="shared" si="47"/>
        <v>1</v>
      </c>
      <c r="L277" s="631"/>
      <c r="M277" s="21">
        <f t="shared" si="48"/>
        <v>1</v>
      </c>
      <c r="N277" s="631"/>
      <c r="O277" s="21">
        <f t="shared" si="49"/>
        <v>1</v>
      </c>
      <c r="P277" s="631" t="s">
        <v>3553</v>
      </c>
      <c r="Q277" s="21">
        <f t="shared" si="50"/>
        <v>1.02</v>
      </c>
      <c r="R277" s="21">
        <f t="shared" ca="1" si="51"/>
        <v>14433</v>
      </c>
      <c r="S277" s="307">
        <f t="shared" ca="1" si="52"/>
        <v>72</v>
      </c>
      <c r="T277" s="3190">
        <f>面积表!A272</f>
        <v>0</v>
      </c>
    </row>
    <row r="278" spans="1:20">
      <c r="A278" s="3169" t="str">
        <f>面积表!D273</f>
        <v>1110</v>
      </c>
      <c r="B278" s="52">
        <f>面积表!E273</f>
        <v>49.62</v>
      </c>
      <c r="C278" s="21">
        <f t="shared" si="43"/>
        <v>1</v>
      </c>
      <c r="D278" s="2559" t="s">
        <v>4016</v>
      </c>
      <c r="E278" s="21">
        <f t="shared" si="44"/>
        <v>1</v>
      </c>
      <c r="F278" s="2559" t="s">
        <v>21</v>
      </c>
      <c r="G278" s="21">
        <f t="shared" si="45"/>
        <v>1</v>
      </c>
      <c r="H278" s="631">
        <v>3</v>
      </c>
      <c r="I278" s="21">
        <f t="shared" si="46"/>
        <v>1</v>
      </c>
      <c r="J278" s="631"/>
      <c r="K278" s="21">
        <f t="shared" si="47"/>
        <v>1</v>
      </c>
      <c r="L278" s="631"/>
      <c r="M278" s="21">
        <f t="shared" si="48"/>
        <v>1</v>
      </c>
      <c r="N278" s="631"/>
      <c r="O278" s="21">
        <f t="shared" si="49"/>
        <v>1</v>
      </c>
      <c r="P278" s="631" t="s">
        <v>3553</v>
      </c>
      <c r="Q278" s="21">
        <f t="shared" si="50"/>
        <v>1.02</v>
      </c>
      <c r="R278" s="21">
        <f t="shared" ca="1" si="51"/>
        <v>14433</v>
      </c>
      <c r="S278" s="307">
        <f t="shared" ca="1" si="52"/>
        <v>72</v>
      </c>
      <c r="T278" s="3190">
        <f>面积表!A273</f>
        <v>0</v>
      </c>
    </row>
    <row r="279" spans="1:20">
      <c r="A279" s="3169" t="str">
        <f>面积表!D274</f>
        <v>1111</v>
      </c>
      <c r="B279" s="52">
        <f>面积表!E274</f>
        <v>49.62</v>
      </c>
      <c r="C279" s="21">
        <f t="shared" si="43"/>
        <v>1</v>
      </c>
      <c r="D279" s="2559" t="s">
        <v>4016</v>
      </c>
      <c r="E279" s="21">
        <f t="shared" si="44"/>
        <v>1</v>
      </c>
      <c r="F279" s="2559" t="s">
        <v>21</v>
      </c>
      <c r="G279" s="21">
        <f t="shared" si="45"/>
        <v>1</v>
      </c>
      <c r="H279" s="631">
        <v>3</v>
      </c>
      <c r="I279" s="21">
        <f t="shared" si="46"/>
        <v>1</v>
      </c>
      <c r="J279" s="631"/>
      <c r="K279" s="21">
        <f t="shared" si="47"/>
        <v>1</v>
      </c>
      <c r="L279" s="631"/>
      <c r="M279" s="21">
        <f t="shared" si="48"/>
        <v>1</v>
      </c>
      <c r="N279" s="631"/>
      <c r="O279" s="21">
        <f t="shared" si="49"/>
        <v>1</v>
      </c>
      <c r="P279" s="631" t="s">
        <v>3553</v>
      </c>
      <c r="Q279" s="21">
        <f t="shared" si="50"/>
        <v>1.02</v>
      </c>
      <c r="R279" s="21">
        <f t="shared" ca="1" si="51"/>
        <v>14433</v>
      </c>
      <c r="S279" s="307">
        <f t="shared" ca="1" si="52"/>
        <v>72</v>
      </c>
      <c r="T279" s="3190">
        <f>面积表!A274</f>
        <v>0</v>
      </c>
    </row>
    <row r="280" spans="1:20">
      <c r="A280" s="3169" t="str">
        <f>面积表!D275</f>
        <v>1112</v>
      </c>
      <c r="B280" s="52">
        <f>面积表!E275</f>
        <v>49.62</v>
      </c>
      <c r="C280" s="21">
        <f t="shared" si="43"/>
        <v>1</v>
      </c>
      <c r="D280" s="2559" t="s">
        <v>4016</v>
      </c>
      <c r="E280" s="21">
        <f t="shared" si="44"/>
        <v>1</v>
      </c>
      <c r="F280" s="2559" t="s">
        <v>21</v>
      </c>
      <c r="G280" s="21">
        <f t="shared" si="45"/>
        <v>1</v>
      </c>
      <c r="H280" s="631">
        <v>3</v>
      </c>
      <c r="I280" s="21">
        <f t="shared" si="46"/>
        <v>1</v>
      </c>
      <c r="J280" s="631"/>
      <c r="K280" s="21">
        <f t="shared" si="47"/>
        <v>1</v>
      </c>
      <c r="L280" s="631"/>
      <c r="M280" s="21">
        <f t="shared" si="48"/>
        <v>1</v>
      </c>
      <c r="N280" s="631"/>
      <c r="O280" s="21">
        <f t="shared" si="49"/>
        <v>1</v>
      </c>
      <c r="P280" s="631" t="s">
        <v>3553</v>
      </c>
      <c r="Q280" s="21">
        <f t="shared" si="50"/>
        <v>1.02</v>
      </c>
      <c r="R280" s="21">
        <f t="shared" ca="1" si="51"/>
        <v>14433</v>
      </c>
      <c r="S280" s="307">
        <f t="shared" ca="1" si="52"/>
        <v>72</v>
      </c>
      <c r="T280" s="3190">
        <f>面积表!A275</f>
        <v>0</v>
      </c>
    </row>
    <row r="281" spans="1:20">
      <c r="A281" s="3169" t="str">
        <f>面积表!D276</f>
        <v>1113</v>
      </c>
      <c r="B281" s="52">
        <f>面积表!E276</f>
        <v>49.62</v>
      </c>
      <c r="C281" s="21">
        <f t="shared" si="43"/>
        <v>1</v>
      </c>
      <c r="D281" s="2559" t="s">
        <v>4016</v>
      </c>
      <c r="E281" s="21">
        <f t="shared" si="44"/>
        <v>1</v>
      </c>
      <c r="F281" s="2559" t="s">
        <v>21</v>
      </c>
      <c r="G281" s="21">
        <f t="shared" si="45"/>
        <v>1</v>
      </c>
      <c r="H281" s="631">
        <v>3</v>
      </c>
      <c r="I281" s="21">
        <f t="shared" si="46"/>
        <v>1</v>
      </c>
      <c r="J281" s="631"/>
      <c r="K281" s="21">
        <f t="shared" si="47"/>
        <v>1</v>
      </c>
      <c r="L281" s="631"/>
      <c r="M281" s="21">
        <f t="shared" si="48"/>
        <v>1</v>
      </c>
      <c r="N281" s="631"/>
      <c r="O281" s="21">
        <f t="shared" si="49"/>
        <v>1</v>
      </c>
      <c r="P281" s="631" t="s">
        <v>3553</v>
      </c>
      <c r="Q281" s="21">
        <f t="shared" si="50"/>
        <v>1.02</v>
      </c>
      <c r="R281" s="21">
        <f t="shared" ca="1" si="51"/>
        <v>14433</v>
      </c>
      <c r="S281" s="307">
        <f t="shared" ca="1" si="52"/>
        <v>72</v>
      </c>
      <c r="T281" s="3190">
        <f>面积表!A276</f>
        <v>0</v>
      </c>
    </row>
    <row r="282" spans="1:20">
      <c r="A282" s="3169" t="str">
        <f>面积表!D277</f>
        <v>1114</v>
      </c>
      <c r="B282" s="52">
        <f>面积表!E277</f>
        <v>49.62</v>
      </c>
      <c r="C282" s="21">
        <f t="shared" ref="C282:C345" si="53">IF(B282="",1,(LOOKUP(B282,$3:$3,$4:$4)-LOOKUP($B$24,$3:$3,$4:$4)+100)/100)</f>
        <v>1</v>
      </c>
      <c r="D282" s="2559" t="s">
        <v>4016</v>
      </c>
      <c r="E282" s="21">
        <f t="shared" ref="E282:E345" si="54">(SUMIF($5:$5,D282,$6:$6)-SUMIF($5:$5,$D$24,$6:$6)+100)/100</f>
        <v>1</v>
      </c>
      <c r="F282" s="2559" t="s">
        <v>21</v>
      </c>
      <c r="G282" s="21">
        <f t="shared" ref="G282:G345" si="55">(SUMIF($7:$7,F282,$8:$8)-SUMIF($7:$7,$F$24,$8:$8)+100)/100</f>
        <v>1</v>
      </c>
      <c r="H282" s="631">
        <v>3</v>
      </c>
      <c r="I282" s="21">
        <f t="shared" ref="I282:I345" si="56">(SUMIF($9:$9,H282,$10:$10)-SUMIF($9:$9,$H$24,$10:$10)+100)/100</f>
        <v>1</v>
      </c>
      <c r="J282" s="631"/>
      <c r="K282" s="21">
        <f t="shared" ref="K282:K345" si="57">(SUMIF($11:$11,J282,$12:$12)-SUMIF($11:$11,$J$24,$12:$12)+100)/100</f>
        <v>1</v>
      </c>
      <c r="L282" s="631"/>
      <c r="M282" s="21">
        <f t="shared" ref="M282:M345" si="58">(SUMIF($13:$13,L282,$14:$14)-SUMIF($13:$13,$L$24,$14:$14)+100)/100</f>
        <v>1</v>
      </c>
      <c r="N282" s="631"/>
      <c r="O282" s="21">
        <f t="shared" ref="O282:O345" si="59">(SUMIF($15:$15,N282,$16:$16)-SUMIF($15:$15,$N$24,$16:$16)+100)/100</f>
        <v>1</v>
      </c>
      <c r="P282" s="631" t="s">
        <v>3553</v>
      </c>
      <c r="Q282" s="21">
        <f t="shared" ref="Q282:Q345" si="60">(SUMIF($17:$17,P282,$18:$18)-SUMIF($17:$17,$P$24,$18:$18)+100)/100</f>
        <v>1.02</v>
      </c>
      <c r="R282" s="21">
        <f t="shared" ref="R282:R345" ca="1" si="61">IF(B282="",0,ROUND($R$24*C282*E282*G282*I282*K282*M282*O282*Q282,0))</f>
        <v>14433</v>
      </c>
      <c r="S282" s="307">
        <f t="shared" ca="1" si="52"/>
        <v>72</v>
      </c>
      <c r="T282" s="3190">
        <f>面积表!A277</f>
        <v>0</v>
      </c>
    </row>
    <row r="283" spans="1:20">
      <c r="A283" s="3169" t="str">
        <f>面积表!D278</f>
        <v>1115</v>
      </c>
      <c r="B283" s="52">
        <f>面积表!E278</f>
        <v>49.62</v>
      </c>
      <c r="C283" s="21">
        <f t="shared" si="53"/>
        <v>1</v>
      </c>
      <c r="D283" s="2559" t="s">
        <v>4016</v>
      </c>
      <c r="E283" s="21">
        <f t="shared" si="54"/>
        <v>1</v>
      </c>
      <c r="F283" s="2559" t="s">
        <v>21</v>
      </c>
      <c r="G283" s="21">
        <f t="shared" si="55"/>
        <v>1</v>
      </c>
      <c r="H283" s="631">
        <v>3</v>
      </c>
      <c r="I283" s="21">
        <f t="shared" si="56"/>
        <v>1</v>
      </c>
      <c r="J283" s="631"/>
      <c r="K283" s="21">
        <f t="shared" si="57"/>
        <v>1</v>
      </c>
      <c r="L283" s="631"/>
      <c r="M283" s="21">
        <f t="shared" si="58"/>
        <v>1</v>
      </c>
      <c r="N283" s="631"/>
      <c r="O283" s="21">
        <f t="shared" si="59"/>
        <v>1</v>
      </c>
      <c r="P283" s="631" t="s">
        <v>3553</v>
      </c>
      <c r="Q283" s="21">
        <f t="shared" si="60"/>
        <v>1.02</v>
      </c>
      <c r="R283" s="21">
        <f t="shared" ca="1" si="61"/>
        <v>14433</v>
      </c>
      <c r="S283" s="307">
        <f t="shared" ca="1" si="52"/>
        <v>72</v>
      </c>
      <c r="T283" s="3190">
        <f>面积表!A278</f>
        <v>0</v>
      </c>
    </row>
    <row r="284" spans="1:20">
      <c r="A284" s="3169" t="str">
        <f>面积表!D279</f>
        <v>1116</v>
      </c>
      <c r="B284" s="52">
        <f>面积表!E279</f>
        <v>68.78</v>
      </c>
      <c r="C284" s="21">
        <f t="shared" si="53"/>
        <v>1.01</v>
      </c>
      <c r="D284" s="2559" t="s">
        <v>4016</v>
      </c>
      <c r="E284" s="21">
        <f t="shared" si="54"/>
        <v>1</v>
      </c>
      <c r="F284" s="2559" t="s">
        <v>21</v>
      </c>
      <c r="G284" s="21">
        <f t="shared" si="55"/>
        <v>1</v>
      </c>
      <c r="H284" s="631">
        <v>3</v>
      </c>
      <c r="I284" s="21">
        <f t="shared" si="56"/>
        <v>1</v>
      </c>
      <c r="J284" s="631"/>
      <c r="K284" s="21">
        <f t="shared" si="57"/>
        <v>1</v>
      </c>
      <c r="L284" s="631"/>
      <c r="M284" s="21">
        <f t="shared" si="58"/>
        <v>1</v>
      </c>
      <c r="N284" s="631"/>
      <c r="O284" s="21">
        <f t="shared" si="59"/>
        <v>1</v>
      </c>
      <c r="P284" s="631" t="s">
        <v>3553</v>
      </c>
      <c r="Q284" s="21">
        <f t="shared" si="60"/>
        <v>1.02</v>
      </c>
      <c r="R284" s="21">
        <f t="shared" ca="1" si="61"/>
        <v>14577</v>
      </c>
      <c r="S284" s="307">
        <f t="shared" ca="1" si="52"/>
        <v>100</v>
      </c>
      <c r="T284" s="3190">
        <f>面积表!A279</f>
        <v>0</v>
      </c>
    </row>
    <row r="285" spans="1:20">
      <c r="A285" s="3169" t="str">
        <f>面积表!D280</f>
        <v>1117</v>
      </c>
      <c r="B285" s="52">
        <f>面积表!E280</f>
        <v>38.1</v>
      </c>
      <c r="C285" s="21">
        <f t="shared" si="53"/>
        <v>1</v>
      </c>
      <c r="D285" s="2559" t="s">
        <v>4016</v>
      </c>
      <c r="E285" s="21">
        <f t="shared" si="54"/>
        <v>1</v>
      </c>
      <c r="F285" s="2559" t="s">
        <v>21</v>
      </c>
      <c r="G285" s="21">
        <f t="shared" si="55"/>
        <v>1</v>
      </c>
      <c r="H285" s="631">
        <v>3</v>
      </c>
      <c r="I285" s="21">
        <f t="shared" si="56"/>
        <v>1</v>
      </c>
      <c r="J285" s="631"/>
      <c r="K285" s="21">
        <f t="shared" si="57"/>
        <v>1</v>
      </c>
      <c r="L285" s="631"/>
      <c r="M285" s="21">
        <f t="shared" si="58"/>
        <v>1</v>
      </c>
      <c r="N285" s="631"/>
      <c r="O285" s="21">
        <f t="shared" si="59"/>
        <v>1</v>
      </c>
      <c r="P285" s="631" t="s">
        <v>3553</v>
      </c>
      <c r="Q285" s="21">
        <f t="shared" si="60"/>
        <v>1.02</v>
      </c>
      <c r="R285" s="21">
        <f t="shared" ca="1" si="61"/>
        <v>14433</v>
      </c>
      <c r="S285" s="307">
        <f t="shared" ca="1" si="52"/>
        <v>55</v>
      </c>
      <c r="T285" s="3190">
        <f>面积表!A280</f>
        <v>0</v>
      </c>
    </row>
    <row r="286" spans="1:20">
      <c r="A286" s="3169" t="str">
        <f>面积表!D281</f>
        <v>1118</v>
      </c>
      <c r="B286" s="52">
        <f>面积表!E281</f>
        <v>41.4</v>
      </c>
      <c r="C286" s="21">
        <f t="shared" si="53"/>
        <v>1</v>
      </c>
      <c r="D286" s="2559" t="s">
        <v>4016</v>
      </c>
      <c r="E286" s="21">
        <f t="shared" si="54"/>
        <v>1</v>
      </c>
      <c r="F286" s="2559" t="s">
        <v>21</v>
      </c>
      <c r="G286" s="21">
        <f t="shared" si="55"/>
        <v>1</v>
      </c>
      <c r="H286" s="631">
        <v>3</v>
      </c>
      <c r="I286" s="21">
        <f t="shared" si="56"/>
        <v>1</v>
      </c>
      <c r="J286" s="631"/>
      <c r="K286" s="21">
        <f t="shared" si="57"/>
        <v>1</v>
      </c>
      <c r="L286" s="631"/>
      <c r="M286" s="21">
        <f t="shared" si="58"/>
        <v>1</v>
      </c>
      <c r="N286" s="631"/>
      <c r="O286" s="21">
        <f t="shared" si="59"/>
        <v>1</v>
      </c>
      <c r="P286" s="631" t="s">
        <v>3553</v>
      </c>
      <c r="Q286" s="21">
        <f t="shared" si="60"/>
        <v>1.02</v>
      </c>
      <c r="R286" s="21">
        <f t="shared" ca="1" si="61"/>
        <v>14433</v>
      </c>
      <c r="S286" s="307">
        <f t="shared" ca="1" si="52"/>
        <v>60</v>
      </c>
      <c r="T286" s="3190">
        <f>面积表!A281</f>
        <v>0</v>
      </c>
    </row>
    <row r="287" spans="1:20">
      <c r="A287" s="3169" t="str">
        <f>面积表!D282</f>
        <v>1119</v>
      </c>
      <c r="B287" s="52">
        <f>面积表!E282</f>
        <v>44.09</v>
      </c>
      <c r="C287" s="21">
        <f t="shared" si="53"/>
        <v>1</v>
      </c>
      <c r="D287" s="2559" t="s">
        <v>4016</v>
      </c>
      <c r="E287" s="21">
        <f t="shared" si="54"/>
        <v>1</v>
      </c>
      <c r="F287" s="2559" t="s">
        <v>21</v>
      </c>
      <c r="G287" s="21">
        <f t="shared" si="55"/>
        <v>1</v>
      </c>
      <c r="H287" s="631">
        <v>3</v>
      </c>
      <c r="I287" s="21">
        <f t="shared" si="56"/>
        <v>1</v>
      </c>
      <c r="J287" s="631"/>
      <c r="K287" s="21">
        <f t="shared" si="57"/>
        <v>1</v>
      </c>
      <c r="L287" s="631"/>
      <c r="M287" s="21">
        <f t="shared" si="58"/>
        <v>1</v>
      </c>
      <c r="N287" s="631"/>
      <c r="O287" s="21">
        <f t="shared" si="59"/>
        <v>1</v>
      </c>
      <c r="P287" s="631" t="s">
        <v>3553</v>
      </c>
      <c r="Q287" s="21">
        <f t="shared" si="60"/>
        <v>1.02</v>
      </c>
      <c r="R287" s="21">
        <f t="shared" ca="1" si="61"/>
        <v>14433</v>
      </c>
      <c r="S287" s="307">
        <f t="shared" ref="S287:S320" ca="1" si="62">ROUND(R287*B287/10000,0)</f>
        <v>64</v>
      </c>
      <c r="T287" s="3190">
        <f>面积表!A282</f>
        <v>0</v>
      </c>
    </row>
    <row r="288" spans="1:20">
      <c r="A288" s="3169" t="str">
        <f>面积表!D283</f>
        <v>1120</v>
      </c>
      <c r="B288" s="52">
        <f>面积表!E283</f>
        <v>46.17</v>
      </c>
      <c r="C288" s="21">
        <f t="shared" si="53"/>
        <v>1</v>
      </c>
      <c r="D288" s="2559" t="s">
        <v>4016</v>
      </c>
      <c r="E288" s="21">
        <f t="shared" si="54"/>
        <v>1</v>
      </c>
      <c r="F288" s="2559" t="s">
        <v>21</v>
      </c>
      <c r="G288" s="21">
        <f t="shared" si="55"/>
        <v>1</v>
      </c>
      <c r="H288" s="631">
        <v>3</v>
      </c>
      <c r="I288" s="21">
        <f t="shared" si="56"/>
        <v>1</v>
      </c>
      <c r="J288" s="631"/>
      <c r="K288" s="21">
        <f t="shared" si="57"/>
        <v>1</v>
      </c>
      <c r="L288" s="631"/>
      <c r="M288" s="21">
        <f t="shared" si="58"/>
        <v>1</v>
      </c>
      <c r="N288" s="631"/>
      <c r="O288" s="21">
        <f t="shared" si="59"/>
        <v>1</v>
      </c>
      <c r="P288" s="631" t="s">
        <v>3553</v>
      </c>
      <c r="Q288" s="21">
        <f t="shared" si="60"/>
        <v>1.02</v>
      </c>
      <c r="R288" s="21">
        <f t="shared" ca="1" si="61"/>
        <v>14433</v>
      </c>
      <c r="S288" s="307">
        <f t="shared" ca="1" si="62"/>
        <v>67</v>
      </c>
      <c r="T288" s="3190">
        <f>面积表!A283</f>
        <v>0</v>
      </c>
    </row>
    <row r="289" spans="1:20">
      <c r="A289" s="3169" t="str">
        <f>面积表!D284</f>
        <v>1121</v>
      </c>
      <c r="B289" s="52">
        <f>面积表!E284</f>
        <v>47.65</v>
      </c>
      <c r="C289" s="21">
        <f t="shared" si="53"/>
        <v>1</v>
      </c>
      <c r="D289" s="2559" t="s">
        <v>4016</v>
      </c>
      <c r="E289" s="21">
        <f t="shared" si="54"/>
        <v>1</v>
      </c>
      <c r="F289" s="2559" t="s">
        <v>21</v>
      </c>
      <c r="G289" s="21">
        <f t="shared" si="55"/>
        <v>1</v>
      </c>
      <c r="H289" s="631">
        <v>3</v>
      </c>
      <c r="I289" s="21">
        <f t="shared" si="56"/>
        <v>1</v>
      </c>
      <c r="J289" s="631"/>
      <c r="K289" s="21">
        <f t="shared" si="57"/>
        <v>1</v>
      </c>
      <c r="L289" s="631"/>
      <c r="M289" s="21">
        <f t="shared" si="58"/>
        <v>1</v>
      </c>
      <c r="N289" s="631"/>
      <c r="O289" s="21">
        <f t="shared" si="59"/>
        <v>1</v>
      </c>
      <c r="P289" s="631" t="s">
        <v>3553</v>
      </c>
      <c r="Q289" s="21">
        <f t="shared" si="60"/>
        <v>1.02</v>
      </c>
      <c r="R289" s="21">
        <f t="shared" ca="1" si="61"/>
        <v>14433</v>
      </c>
      <c r="S289" s="307">
        <f t="shared" ca="1" si="62"/>
        <v>69</v>
      </c>
      <c r="T289" s="3190">
        <f>面积表!A284</f>
        <v>0</v>
      </c>
    </row>
    <row r="290" spans="1:20">
      <c r="A290" s="3169" t="str">
        <f>面积表!D285</f>
        <v>1122</v>
      </c>
      <c r="B290" s="52">
        <f>面积表!E285</f>
        <v>48.6</v>
      </c>
      <c r="C290" s="21">
        <f t="shared" si="53"/>
        <v>1</v>
      </c>
      <c r="D290" s="2559" t="s">
        <v>4016</v>
      </c>
      <c r="E290" s="21">
        <f t="shared" si="54"/>
        <v>1</v>
      </c>
      <c r="F290" s="2559" t="s">
        <v>21</v>
      </c>
      <c r="G290" s="21">
        <f t="shared" si="55"/>
        <v>1</v>
      </c>
      <c r="H290" s="631">
        <v>3</v>
      </c>
      <c r="I290" s="21">
        <f t="shared" si="56"/>
        <v>1</v>
      </c>
      <c r="J290" s="631"/>
      <c r="K290" s="21">
        <f t="shared" si="57"/>
        <v>1</v>
      </c>
      <c r="L290" s="631"/>
      <c r="M290" s="21">
        <f t="shared" si="58"/>
        <v>1</v>
      </c>
      <c r="N290" s="631"/>
      <c r="O290" s="21">
        <f t="shared" si="59"/>
        <v>1</v>
      </c>
      <c r="P290" s="631" t="s">
        <v>3553</v>
      </c>
      <c r="Q290" s="21">
        <f t="shared" si="60"/>
        <v>1.02</v>
      </c>
      <c r="R290" s="21">
        <f t="shared" ca="1" si="61"/>
        <v>14433</v>
      </c>
      <c r="S290" s="307">
        <f t="shared" ca="1" si="62"/>
        <v>70</v>
      </c>
      <c r="T290" s="3190">
        <f>面积表!A285</f>
        <v>0</v>
      </c>
    </row>
    <row r="291" spans="1:20">
      <c r="A291" s="3169" t="str">
        <f>面积表!D286</f>
        <v>1123</v>
      </c>
      <c r="B291" s="52">
        <f>面积表!E286</f>
        <v>48.89</v>
      </c>
      <c r="C291" s="21">
        <f t="shared" si="53"/>
        <v>1</v>
      </c>
      <c r="D291" s="2559" t="s">
        <v>4016</v>
      </c>
      <c r="E291" s="21">
        <f t="shared" si="54"/>
        <v>1</v>
      </c>
      <c r="F291" s="2559" t="s">
        <v>21</v>
      </c>
      <c r="G291" s="21">
        <f t="shared" si="55"/>
        <v>1</v>
      </c>
      <c r="H291" s="631">
        <v>3</v>
      </c>
      <c r="I291" s="21">
        <f t="shared" si="56"/>
        <v>1</v>
      </c>
      <c r="J291" s="631"/>
      <c r="K291" s="21">
        <f t="shared" si="57"/>
        <v>1</v>
      </c>
      <c r="L291" s="631"/>
      <c r="M291" s="21">
        <f t="shared" si="58"/>
        <v>1</v>
      </c>
      <c r="N291" s="631"/>
      <c r="O291" s="21">
        <f t="shared" si="59"/>
        <v>1</v>
      </c>
      <c r="P291" s="631" t="s">
        <v>3553</v>
      </c>
      <c r="Q291" s="21">
        <f t="shared" si="60"/>
        <v>1.02</v>
      </c>
      <c r="R291" s="21">
        <f t="shared" ca="1" si="61"/>
        <v>14433</v>
      </c>
      <c r="S291" s="307">
        <f t="shared" ca="1" si="62"/>
        <v>71</v>
      </c>
      <c r="T291" s="3190">
        <f>面积表!A286</f>
        <v>0</v>
      </c>
    </row>
    <row r="292" spans="1:20">
      <c r="A292" s="3169" t="str">
        <f>面积表!D287</f>
        <v>1124</v>
      </c>
      <c r="B292" s="52">
        <f>面积表!E287</f>
        <v>48.59</v>
      </c>
      <c r="C292" s="21">
        <f t="shared" si="53"/>
        <v>1</v>
      </c>
      <c r="D292" s="2559" t="s">
        <v>4016</v>
      </c>
      <c r="E292" s="21">
        <f t="shared" si="54"/>
        <v>1</v>
      </c>
      <c r="F292" s="2559" t="s">
        <v>21</v>
      </c>
      <c r="G292" s="21">
        <f t="shared" si="55"/>
        <v>1</v>
      </c>
      <c r="H292" s="631">
        <v>3</v>
      </c>
      <c r="I292" s="21">
        <f t="shared" si="56"/>
        <v>1</v>
      </c>
      <c r="J292" s="631"/>
      <c r="K292" s="21">
        <f t="shared" si="57"/>
        <v>1</v>
      </c>
      <c r="L292" s="631"/>
      <c r="M292" s="21">
        <f t="shared" si="58"/>
        <v>1</v>
      </c>
      <c r="N292" s="631"/>
      <c r="O292" s="21">
        <f t="shared" si="59"/>
        <v>1</v>
      </c>
      <c r="P292" s="631" t="s">
        <v>3553</v>
      </c>
      <c r="Q292" s="21">
        <f t="shared" si="60"/>
        <v>1.02</v>
      </c>
      <c r="R292" s="21">
        <f t="shared" ca="1" si="61"/>
        <v>14433</v>
      </c>
      <c r="S292" s="307">
        <f t="shared" ca="1" si="62"/>
        <v>70</v>
      </c>
      <c r="T292" s="3190">
        <f>面积表!A287</f>
        <v>0</v>
      </c>
    </row>
    <row r="293" spans="1:20">
      <c r="A293" s="3169" t="str">
        <f>面积表!D288</f>
        <v>1125</v>
      </c>
      <c r="B293" s="52">
        <f>面积表!E288</f>
        <v>47.73</v>
      </c>
      <c r="C293" s="21">
        <f t="shared" si="53"/>
        <v>1</v>
      </c>
      <c r="D293" s="2559" t="s">
        <v>4016</v>
      </c>
      <c r="E293" s="21">
        <f t="shared" si="54"/>
        <v>1</v>
      </c>
      <c r="F293" s="2559" t="s">
        <v>21</v>
      </c>
      <c r="G293" s="21">
        <f t="shared" si="55"/>
        <v>1</v>
      </c>
      <c r="H293" s="631">
        <v>3</v>
      </c>
      <c r="I293" s="21">
        <f t="shared" si="56"/>
        <v>1</v>
      </c>
      <c r="J293" s="631"/>
      <c r="K293" s="21">
        <f t="shared" si="57"/>
        <v>1</v>
      </c>
      <c r="L293" s="631"/>
      <c r="M293" s="21">
        <f t="shared" si="58"/>
        <v>1</v>
      </c>
      <c r="N293" s="631"/>
      <c r="O293" s="21">
        <f t="shared" si="59"/>
        <v>1</v>
      </c>
      <c r="P293" s="631" t="s">
        <v>3553</v>
      </c>
      <c r="Q293" s="21">
        <f t="shared" si="60"/>
        <v>1.02</v>
      </c>
      <c r="R293" s="21">
        <f t="shared" ca="1" si="61"/>
        <v>14433</v>
      </c>
      <c r="S293" s="307">
        <f t="shared" ca="1" si="62"/>
        <v>69</v>
      </c>
      <c r="T293" s="3190">
        <f>面积表!A288</f>
        <v>0</v>
      </c>
    </row>
    <row r="294" spans="1:20">
      <c r="A294" s="3169" t="str">
        <f>面积表!D289</f>
        <v>1126</v>
      </c>
      <c r="B294" s="52">
        <f>面积表!E289</f>
        <v>70.2</v>
      </c>
      <c r="C294" s="21">
        <f t="shared" si="53"/>
        <v>1.01</v>
      </c>
      <c r="D294" s="2559" t="s">
        <v>4016</v>
      </c>
      <c r="E294" s="21">
        <f t="shared" si="54"/>
        <v>1</v>
      </c>
      <c r="F294" s="2559" t="s">
        <v>21</v>
      </c>
      <c r="G294" s="21">
        <f t="shared" si="55"/>
        <v>1</v>
      </c>
      <c r="H294" s="631">
        <v>3</v>
      </c>
      <c r="I294" s="21">
        <f t="shared" si="56"/>
        <v>1</v>
      </c>
      <c r="J294" s="631"/>
      <c r="K294" s="21">
        <f t="shared" si="57"/>
        <v>1</v>
      </c>
      <c r="L294" s="631"/>
      <c r="M294" s="21">
        <f t="shared" si="58"/>
        <v>1</v>
      </c>
      <c r="N294" s="631"/>
      <c r="O294" s="21">
        <f t="shared" si="59"/>
        <v>1</v>
      </c>
      <c r="P294" s="631" t="s">
        <v>3553</v>
      </c>
      <c r="Q294" s="21">
        <f t="shared" si="60"/>
        <v>1.02</v>
      </c>
      <c r="R294" s="21">
        <f t="shared" ca="1" si="61"/>
        <v>14577</v>
      </c>
      <c r="S294" s="307">
        <f t="shared" ca="1" si="62"/>
        <v>102</v>
      </c>
      <c r="T294" s="3190">
        <f>面积表!A289</f>
        <v>0</v>
      </c>
    </row>
    <row r="295" spans="1:20">
      <c r="A295" s="3169" t="str">
        <f>面积表!D290</f>
        <v>1201</v>
      </c>
      <c r="B295" s="52">
        <f>面积表!E290</f>
        <v>51.46</v>
      </c>
      <c r="C295" s="21">
        <f t="shared" si="53"/>
        <v>1</v>
      </c>
      <c r="D295" s="2559" t="s">
        <v>4016</v>
      </c>
      <c r="E295" s="21">
        <f t="shared" si="54"/>
        <v>1</v>
      </c>
      <c r="F295" s="2559" t="s">
        <v>21</v>
      </c>
      <c r="G295" s="21">
        <f t="shared" si="55"/>
        <v>1</v>
      </c>
      <c r="H295" s="631">
        <v>3</v>
      </c>
      <c r="I295" s="21">
        <f t="shared" si="56"/>
        <v>1</v>
      </c>
      <c r="J295" s="631"/>
      <c r="K295" s="21">
        <f t="shared" si="57"/>
        <v>1</v>
      </c>
      <c r="L295" s="631"/>
      <c r="M295" s="21">
        <f t="shared" si="58"/>
        <v>1</v>
      </c>
      <c r="N295" s="631"/>
      <c r="O295" s="21">
        <f t="shared" si="59"/>
        <v>1</v>
      </c>
      <c r="P295" s="631" t="s">
        <v>3553</v>
      </c>
      <c r="Q295" s="21">
        <f t="shared" si="60"/>
        <v>1.02</v>
      </c>
      <c r="R295" s="21">
        <f t="shared" ca="1" si="61"/>
        <v>14433</v>
      </c>
      <c r="S295" s="307">
        <f t="shared" ca="1" si="62"/>
        <v>74</v>
      </c>
      <c r="T295" s="3190">
        <f>面积表!A290</f>
        <v>0</v>
      </c>
    </row>
    <row r="296" spans="1:20">
      <c r="A296" s="3169" t="str">
        <f>面积表!D291</f>
        <v>1202</v>
      </c>
      <c r="B296" s="52">
        <f>面积表!E291</f>
        <v>49.62</v>
      </c>
      <c r="C296" s="21">
        <f t="shared" si="53"/>
        <v>1</v>
      </c>
      <c r="D296" s="2559" t="s">
        <v>4016</v>
      </c>
      <c r="E296" s="21">
        <f t="shared" si="54"/>
        <v>1</v>
      </c>
      <c r="F296" s="2559" t="s">
        <v>21</v>
      </c>
      <c r="G296" s="21">
        <f t="shared" si="55"/>
        <v>1</v>
      </c>
      <c r="H296" s="631">
        <v>3</v>
      </c>
      <c r="I296" s="21">
        <f t="shared" si="56"/>
        <v>1</v>
      </c>
      <c r="J296" s="631"/>
      <c r="K296" s="21">
        <f t="shared" si="57"/>
        <v>1</v>
      </c>
      <c r="L296" s="631"/>
      <c r="M296" s="21">
        <f t="shared" si="58"/>
        <v>1</v>
      </c>
      <c r="N296" s="631"/>
      <c r="O296" s="21">
        <f t="shared" si="59"/>
        <v>1</v>
      </c>
      <c r="P296" s="631" t="s">
        <v>3553</v>
      </c>
      <c r="Q296" s="21">
        <f t="shared" si="60"/>
        <v>1.02</v>
      </c>
      <c r="R296" s="21">
        <f t="shared" ca="1" si="61"/>
        <v>14433</v>
      </c>
      <c r="S296" s="307">
        <f t="shared" ca="1" si="62"/>
        <v>72</v>
      </c>
      <c r="T296" s="3190">
        <f>面积表!A291</f>
        <v>0</v>
      </c>
    </row>
    <row r="297" spans="1:20">
      <c r="A297" s="3169" t="str">
        <f>面积表!D292</f>
        <v>1203</v>
      </c>
      <c r="B297" s="52">
        <f>面积表!E292</f>
        <v>49.62</v>
      </c>
      <c r="C297" s="21">
        <f t="shared" si="53"/>
        <v>1</v>
      </c>
      <c r="D297" s="2559" t="s">
        <v>4016</v>
      </c>
      <c r="E297" s="21">
        <f t="shared" si="54"/>
        <v>1</v>
      </c>
      <c r="F297" s="2559" t="s">
        <v>21</v>
      </c>
      <c r="G297" s="21">
        <f t="shared" si="55"/>
        <v>1</v>
      </c>
      <c r="H297" s="631">
        <v>3</v>
      </c>
      <c r="I297" s="21">
        <f t="shared" si="56"/>
        <v>1</v>
      </c>
      <c r="J297" s="631"/>
      <c r="K297" s="21">
        <f t="shared" si="57"/>
        <v>1</v>
      </c>
      <c r="L297" s="631"/>
      <c r="M297" s="21">
        <f t="shared" si="58"/>
        <v>1</v>
      </c>
      <c r="N297" s="631"/>
      <c r="O297" s="21">
        <f t="shared" si="59"/>
        <v>1</v>
      </c>
      <c r="P297" s="631" t="s">
        <v>3553</v>
      </c>
      <c r="Q297" s="21">
        <f t="shared" si="60"/>
        <v>1.02</v>
      </c>
      <c r="R297" s="21">
        <f t="shared" ca="1" si="61"/>
        <v>14433</v>
      </c>
      <c r="S297" s="307">
        <f t="shared" ca="1" si="62"/>
        <v>72</v>
      </c>
      <c r="T297" s="3190">
        <f>面积表!A292</f>
        <v>0</v>
      </c>
    </row>
    <row r="298" spans="1:20">
      <c r="A298" s="3169" t="str">
        <f>面积表!D293</f>
        <v>1204</v>
      </c>
      <c r="B298" s="52">
        <f>面积表!E293</f>
        <v>49.62</v>
      </c>
      <c r="C298" s="21">
        <f t="shared" si="53"/>
        <v>1</v>
      </c>
      <c r="D298" s="2559" t="s">
        <v>4016</v>
      </c>
      <c r="E298" s="21">
        <f t="shared" si="54"/>
        <v>1</v>
      </c>
      <c r="F298" s="2559" t="s">
        <v>21</v>
      </c>
      <c r="G298" s="21">
        <f t="shared" si="55"/>
        <v>1</v>
      </c>
      <c r="H298" s="631">
        <v>3</v>
      </c>
      <c r="I298" s="21">
        <f t="shared" si="56"/>
        <v>1</v>
      </c>
      <c r="J298" s="631"/>
      <c r="K298" s="21">
        <f t="shared" si="57"/>
        <v>1</v>
      </c>
      <c r="L298" s="631"/>
      <c r="M298" s="21">
        <f t="shared" si="58"/>
        <v>1</v>
      </c>
      <c r="N298" s="631"/>
      <c r="O298" s="21">
        <f t="shared" si="59"/>
        <v>1</v>
      </c>
      <c r="P298" s="631" t="s">
        <v>3553</v>
      </c>
      <c r="Q298" s="21">
        <f t="shared" si="60"/>
        <v>1.02</v>
      </c>
      <c r="R298" s="21">
        <f t="shared" ca="1" si="61"/>
        <v>14433</v>
      </c>
      <c r="S298" s="307">
        <f t="shared" ca="1" si="62"/>
        <v>72</v>
      </c>
      <c r="T298" s="3190">
        <f>面积表!A293</f>
        <v>0</v>
      </c>
    </row>
    <row r="299" spans="1:20">
      <c r="A299" s="3169" t="str">
        <f>面积表!D294</f>
        <v>1205</v>
      </c>
      <c r="B299" s="52">
        <f>面积表!E294</f>
        <v>49.62</v>
      </c>
      <c r="C299" s="21">
        <f t="shared" si="53"/>
        <v>1</v>
      </c>
      <c r="D299" s="2559" t="s">
        <v>4016</v>
      </c>
      <c r="E299" s="21">
        <f t="shared" si="54"/>
        <v>1</v>
      </c>
      <c r="F299" s="2559" t="s">
        <v>21</v>
      </c>
      <c r="G299" s="21">
        <f t="shared" si="55"/>
        <v>1</v>
      </c>
      <c r="H299" s="631">
        <v>3</v>
      </c>
      <c r="I299" s="21">
        <f t="shared" si="56"/>
        <v>1</v>
      </c>
      <c r="J299" s="631"/>
      <c r="K299" s="21">
        <f t="shared" si="57"/>
        <v>1</v>
      </c>
      <c r="L299" s="631"/>
      <c r="M299" s="21">
        <f t="shared" si="58"/>
        <v>1</v>
      </c>
      <c r="N299" s="631"/>
      <c r="O299" s="21">
        <f t="shared" si="59"/>
        <v>1</v>
      </c>
      <c r="P299" s="631" t="s">
        <v>3553</v>
      </c>
      <c r="Q299" s="21">
        <f t="shared" si="60"/>
        <v>1.02</v>
      </c>
      <c r="R299" s="21">
        <f t="shared" ca="1" si="61"/>
        <v>14433</v>
      </c>
      <c r="S299" s="307">
        <f t="shared" ca="1" si="62"/>
        <v>72</v>
      </c>
      <c r="T299" s="3190">
        <f>面积表!A294</f>
        <v>0</v>
      </c>
    </row>
    <row r="300" spans="1:20">
      <c r="A300" s="3169" t="str">
        <f>面积表!D295</f>
        <v>1206</v>
      </c>
      <c r="B300" s="52">
        <f>面积表!E295</f>
        <v>49.62</v>
      </c>
      <c r="C300" s="21">
        <f t="shared" si="53"/>
        <v>1</v>
      </c>
      <c r="D300" s="2559" t="s">
        <v>4016</v>
      </c>
      <c r="E300" s="21">
        <f t="shared" si="54"/>
        <v>1</v>
      </c>
      <c r="F300" s="2559" t="s">
        <v>21</v>
      </c>
      <c r="G300" s="21">
        <f t="shared" si="55"/>
        <v>1</v>
      </c>
      <c r="H300" s="631">
        <v>3</v>
      </c>
      <c r="I300" s="21">
        <f t="shared" si="56"/>
        <v>1</v>
      </c>
      <c r="J300" s="631"/>
      <c r="K300" s="21">
        <f t="shared" si="57"/>
        <v>1</v>
      </c>
      <c r="L300" s="631"/>
      <c r="M300" s="21">
        <f t="shared" si="58"/>
        <v>1</v>
      </c>
      <c r="N300" s="631"/>
      <c r="O300" s="21">
        <f t="shared" si="59"/>
        <v>1</v>
      </c>
      <c r="P300" s="631" t="s">
        <v>3553</v>
      </c>
      <c r="Q300" s="21">
        <f t="shared" si="60"/>
        <v>1.02</v>
      </c>
      <c r="R300" s="21">
        <f t="shared" ca="1" si="61"/>
        <v>14433</v>
      </c>
      <c r="S300" s="307">
        <f t="shared" ca="1" si="62"/>
        <v>72</v>
      </c>
      <c r="T300" s="3190">
        <f>面积表!A295</f>
        <v>0</v>
      </c>
    </row>
    <row r="301" spans="1:20">
      <c r="A301" s="3169" t="str">
        <f>面积表!D296</f>
        <v>1207</v>
      </c>
      <c r="B301" s="52">
        <f>面积表!E296</f>
        <v>49.62</v>
      </c>
      <c r="C301" s="21">
        <f t="shared" si="53"/>
        <v>1</v>
      </c>
      <c r="D301" s="2559" t="s">
        <v>4016</v>
      </c>
      <c r="E301" s="21">
        <f t="shared" si="54"/>
        <v>1</v>
      </c>
      <c r="F301" s="2559" t="s">
        <v>21</v>
      </c>
      <c r="G301" s="21">
        <f t="shared" si="55"/>
        <v>1</v>
      </c>
      <c r="H301" s="631">
        <v>3</v>
      </c>
      <c r="I301" s="21">
        <f t="shared" si="56"/>
        <v>1</v>
      </c>
      <c r="J301" s="631"/>
      <c r="K301" s="21">
        <f t="shared" si="57"/>
        <v>1</v>
      </c>
      <c r="L301" s="631"/>
      <c r="M301" s="21">
        <f t="shared" si="58"/>
        <v>1</v>
      </c>
      <c r="N301" s="631"/>
      <c r="O301" s="21">
        <f t="shared" si="59"/>
        <v>1</v>
      </c>
      <c r="P301" s="631" t="s">
        <v>3553</v>
      </c>
      <c r="Q301" s="21">
        <f t="shared" si="60"/>
        <v>1.02</v>
      </c>
      <c r="R301" s="21">
        <f t="shared" ca="1" si="61"/>
        <v>14433</v>
      </c>
      <c r="S301" s="307">
        <f t="shared" ca="1" si="62"/>
        <v>72</v>
      </c>
      <c r="T301" s="3190">
        <f>面积表!A296</f>
        <v>0</v>
      </c>
    </row>
    <row r="302" spans="1:20">
      <c r="A302" s="3169" t="str">
        <f>面积表!D297</f>
        <v>1208</v>
      </c>
      <c r="B302" s="52">
        <f>面积表!E297</f>
        <v>49.62</v>
      </c>
      <c r="C302" s="21">
        <f t="shared" si="53"/>
        <v>1</v>
      </c>
      <c r="D302" s="2559" t="s">
        <v>4016</v>
      </c>
      <c r="E302" s="21">
        <f t="shared" si="54"/>
        <v>1</v>
      </c>
      <c r="F302" s="2559" t="s">
        <v>21</v>
      </c>
      <c r="G302" s="21">
        <f t="shared" si="55"/>
        <v>1</v>
      </c>
      <c r="H302" s="631">
        <v>3</v>
      </c>
      <c r="I302" s="21">
        <f t="shared" si="56"/>
        <v>1</v>
      </c>
      <c r="J302" s="631"/>
      <c r="K302" s="21">
        <f t="shared" si="57"/>
        <v>1</v>
      </c>
      <c r="L302" s="631"/>
      <c r="M302" s="21">
        <f t="shared" si="58"/>
        <v>1</v>
      </c>
      <c r="N302" s="631"/>
      <c r="O302" s="21">
        <f t="shared" si="59"/>
        <v>1</v>
      </c>
      <c r="P302" s="631" t="s">
        <v>3553</v>
      </c>
      <c r="Q302" s="21">
        <f t="shared" si="60"/>
        <v>1.02</v>
      </c>
      <c r="R302" s="21">
        <f t="shared" ca="1" si="61"/>
        <v>14433</v>
      </c>
      <c r="S302" s="307">
        <f t="shared" ca="1" si="62"/>
        <v>72</v>
      </c>
      <c r="T302" s="3190">
        <f>面积表!A297</f>
        <v>0</v>
      </c>
    </row>
    <row r="303" spans="1:20">
      <c r="A303" s="3169" t="str">
        <f>面积表!D298</f>
        <v>1209</v>
      </c>
      <c r="B303" s="52">
        <f>面积表!E298</f>
        <v>49.62</v>
      </c>
      <c r="C303" s="21">
        <f t="shared" si="53"/>
        <v>1</v>
      </c>
      <c r="D303" s="2559" t="s">
        <v>4016</v>
      </c>
      <c r="E303" s="21">
        <f t="shared" si="54"/>
        <v>1</v>
      </c>
      <c r="F303" s="2559" t="s">
        <v>21</v>
      </c>
      <c r="G303" s="21">
        <f t="shared" si="55"/>
        <v>1</v>
      </c>
      <c r="H303" s="631">
        <v>3</v>
      </c>
      <c r="I303" s="21">
        <f t="shared" si="56"/>
        <v>1</v>
      </c>
      <c r="J303" s="631"/>
      <c r="K303" s="21">
        <f t="shared" si="57"/>
        <v>1</v>
      </c>
      <c r="L303" s="631"/>
      <c r="M303" s="21">
        <f t="shared" si="58"/>
        <v>1</v>
      </c>
      <c r="N303" s="631"/>
      <c r="O303" s="21">
        <f t="shared" si="59"/>
        <v>1</v>
      </c>
      <c r="P303" s="631" t="s">
        <v>3553</v>
      </c>
      <c r="Q303" s="21">
        <f t="shared" si="60"/>
        <v>1.02</v>
      </c>
      <c r="R303" s="21">
        <f t="shared" ca="1" si="61"/>
        <v>14433</v>
      </c>
      <c r="S303" s="307">
        <f t="shared" ca="1" si="62"/>
        <v>72</v>
      </c>
      <c r="T303" s="3190">
        <f>面积表!A298</f>
        <v>0</v>
      </c>
    </row>
    <row r="304" spans="1:20">
      <c r="A304" s="3169" t="str">
        <f>面积表!D299</f>
        <v>1210</v>
      </c>
      <c r="B304" s="52">
        <f>面积表!E299</f>
        <v>49.62</v>
      </c>
      <c r="C304" s="21">
        <f t="shared" si="53"/>
        <v>1</v>
      </c>
      <c r="D304" s="2559" t="s">
        <v>4016</v>
      </c>
      <c r="E304" s="21">
        <f t="shared" si="54"/>
        <v>1</v>
      </c>
      <c r="F304" s="2559" t="s">
        <v>21</v>
      </c>
      <c r="G304" s="21">
        <f t="shared" si="55"/>
        <v>1</v>
      </c>
      <c r="H304" s="631">
        <v>3</v>
      </c>
      <c r="I304" s="21">
        <f t="shared" si="56"/>
        <v>1</v>
      </c>
      <c r="J304" s="631"/>
      <c r="K304" s="21">
        <f t="shared" si="57"/>
        <v>1</v>
      </c>
      <c r="L304" s="631"/>
      <c r="M304" s="21">
        <f t="shared" si="58"/>
        <v>1</v>
      </c>
      <c r="N304" s="631"/>
      <c r="O304" s="21">
        <f t="shared" si="59"/>
        <v>1</v>
      </c>
      <c r="P304" s="631" t="s">
        <v>3553</v>
      </c>
      <c r="Q304" s="21">
        <f t="shared" si="60"/>
        <v>1.02</v>
      </c>
      <c r="R304" s="21">
        <f t="shared" ca="1" si="61"/>
        <v>14433</v>
      </c>
      <c r="S304" s="307">
        <f t="shared" ca="1" si="62"/>
        <v>72</v>
      </c>
      <c r="T304" s="3190">
        <f>面积表!A299</f>
        <v>0</v>
      </c>
    </row>
    <row r="305" spans="1:20">
      <c r="A305" s="3169" t="str">
        <f>面积表!D300</f>
        <v>1211</v>
      </c>
      <c r="B305" s="52">
        <f>面积表!E300</f>
        <v>49.62</v>
      </c>
      <c r="C305" s="21">
        <f t="shared" si="53"/>
        <v>1</v>
      </c>
      <c r="D305" s="2559" t="s">
        <v>4016</v>
      </c>
      <c r="E305" s="21">
        <f t="shared" si="54"/>
        <v>1</v>
      </c>
      <c r="F305" s="2559" t="s">
        <v>21</v>
      </c>
      <c r="G305" s="21">
        <f t="shared" si="55"/>
        <v>1</v>
      </c>
      <c r="H305" s="631">
        <v>3</v>
      </c>
      <c r="I305" s="21">
        <f t="shared" si="56"/>
        <v>1</v>
      </c>
      <c r="J305" s="631"/>
      <c r="K305" s="21">
        <f t="shared" si="57"/>
        <v>1</v>
      </c>
      <c r="L305" s="631"/>
      <c r="M305" s="21">
        <f t="shared" si="58"/>
        <v>1</v>
      </c>
      <c r="N305" s="631"/>
      <c r="O305" s="21">
        <f t="shared" si="59"/>
        <v>1</v>
      </c>
      <c r="P305" s="631" t="s">
        <v>3553</v>
      </c>
      <c r="Q305" s="21">
        <f t="shared" si="60"/>
        <v>1.02</v>
      </c>
      <c r="R305" s="21">
        <f t="shared" ca="1" si="61"/>
        <v>14433</v>
      </c>
      <c r="S305" s="307">
        <f t="shared" ca="1" si="62"/>
        <v>72</v>
      </c>
      <c r="T305" s="3190">
        <f>面积表!A300</f>
        <v>0</v>
      </c>
    </row>
    <row r="306" spans="1:20">
      <c r="A306" s="3169" t="str">
        <f>面积表!D301</f>
        <v>1212</v>
      </c>
      <c r="B306" s="52">
        <f>面积表!E301</f>
        <v>49.62</v>
      </c>
      <c r="C306" s="21">
        <f t="shared" si="53"/>
        <v>1</v>
      </c>
      <c r="D306" s="2559" t="s">
        <v>4016</v>
      </c>
      <c r="E306" s="21">
        <f t="shared" si="54"/>
        <v>1</v>
      </c>
      <c r="F306" s="2559" t="s">
        <v>21</v>
      </c>
      <c r="G306" s="21">
        <f t="shared" si="55"/>
        <v>1</v>
      </c>
      <c r="H306" s="631">
        <v>3</v>
      </c>
      <c r="I306" s="21">
        <f t="shared" si="56"/>
        <v>1</v>
      </c>
      <c r="J306" s="631"/>
      <c r="K306" s="21">
        <f t="shared" si="57"/>
        <v>1</v>
      </c>
      <c r="L306" s="631"/>
      <c r="M306" s="21">
        <f t="shared" si="58"/>
        <v>1</v>
      </c>
      <c r="N306" s="631"/>
      <c r="O306" s="21">
        <f t="shared" si="59"/>
        <v>1</v>
      </c>
      <c r="P306" s="631" t="s">
        <v>3553</v>
      </c>
      <c r="Q306" s="21">
        <f t="shared" si="60"/>
        <v>1.02</v>
      </c>
      <c r="R306" s="21">
        <f t="shared" ca="1" si="61"/>
        <v>14433</v>
      </c>
      <c r="S306" s="307">
        <f t="shared" ca="1" si="62"/>
        <v>72</v>
      </c>
      <c r="T306" s="3190">
        <f>面积表!A301</f>
        <v>0</v>
      </c>
    </row>
    <row r="307" spans="1:20">
      <c r="A307" s="3169" t="str">
        <f>面积表!D302</f>
        <v>1213</v>
      </c>
      <c r="B307" s="52">
        <f>面积表!E302</f>
        <v>49.62</v>
      </c>
      <c r="C307" s="21">
        <f t="shared" si="53"/>
        <v>1</v>
      </c>
      <c r="D307" s="2559" t="s">
        <v>4016</v>
      </c>
      <c r="E307" s="21">
        <f t="shared" si="54"/>
        <v>1</v>
      </c>
      <c r="F307" s="2559" t="s">
        <v>21</v>
      </c>
      <c r="G307" s="21">
        <f t="shared" si="55"/>
        <v>1</v>
      </c>
      <c r="H307" s="631">
        <v>3</v>
      </c>
      <c r="I307" s="21">
        <f t="shared" si="56"/>
        <v>1</v>
      </c>
      <c r="J307" s="631"/>
      <c r="K307" s="21">
        <f t="shared" si="57"/>
        <v>1</v>
      </c>
      <c r="L307" s="631"/>
      <c r="M307" s="21">
        <f t="shared" si="58"/>
        <v>1</v>
      </c>
      <c r="N307" s="631"/>
      <c r="O307" s="21">
        <f t="shared" si="59"/>
        <v>1</v>
      </c>
      <c r="P307" s="631" t="s">
        <v>3553</v>
      </c>
      <c r="Q307" s="21">
        <f t="shared" si="60"/>
        <v>1.02</v>
      </c>
      <c r="R307" s="21">
        <f t="shared" ca="1" si="61"/>
        <v>14433</v>
      </c>
      <c r="S307" s="307">
        <f t="shared" ca="1" si="62"/>
        <v>72</v>
      </c>
      <c r="T307" s="3190">
        <f>面积表!A302</f>
        <v>0</v>
      </c>
    </row>
    <row r="308" spans="1:20">
      <c r="A308" s="3169" t="str">
        <f>面积表!D303</f>
        <v>1214</v>
      </c>
      <c r="B308" s="52">
        <f>面积表!E303</f>
        <v>49.62</v>
      </c>
      <c r="C308" s="21">
        <f t="shared" si="53"/>
        <v>1</v>
      </c>
      <c r="D308" s="2559" t="s">
        <v>4016</v>
      </c>
      <c r="E308" s="21">
        <f t="shared" si="54"/>
        <v>1</v>
      </c>
      <c r="F308" s="2559" t="s">
        <v>21</v>
      </c>
      <c r="G308" s="21">
        <f t="shared" si="55"/>
        <v>1</v>
      </c>
      <c r="H308" s="631">
        <v>3</v>
      </c>
      <c r="I308" s="21">
        <f t="shared" si="56"/>
        <v>1</v>
      </c>
      <c r="J308" s="631"/>
      <c r="K308" s="21">
        <f t="shared" si="57"/>
        <v>1</v>
      </c>
      <c r="L308" s="631"/>
      <c r="M308" s="21">
        <f t="shared" si="58"/>
        <v>1</v>
      </c>
      <c r="N308" s="631"/>
      <c r="O308" s="21">
        <f t="shared" si="59"/>
        <v>1</v>
      </c>
      <c r="P308" s="631" t="s">
        <v>3553</v>
      </c>
      <c r="Q308" s="21">
        <f t="shared" si="60"/>
        <v>1.02</v>
      </c>
      <c r="R308" s="21">
        <f t="shared" ca="1" si="61"/>
        <v>14433</v>
      </c>
      <c r="S308" s="307">
        <f t="shared" ca="1" si="62"/>
        <v>72</v>
      </c>
      <c r="T308" s="3190">
        <f>面积表!A303</f>
        <v>0</v>
      </c>
    </row>
    <row r="309" spans="1:20">
      <c r="A309" s="3169" t="str">
        <f>面积表!D304</f>
        <v>1215</v>
      </c>
      <c r="B309" s="52">
        <f>面积表!E304</f>
        <v>49.62</v>
      </c>
      <c r="C309" s="21">
        <f t="shared" si="53"/>
        <v>1</v>
      </c>
      <c r="D309" s="2559" t="s">
        <v>4016</v>
      </c>
      <c r="E309" s="21">
        <f t="shared" si="54"/>
        <v>1</v>
      </c>
      <c r="F309" s="2559" t="s">
        <v>21</v>
      </c>
      <c r="G309" s="21">
        <f t="shared" si="55"/>
        <v>1</v>
      </c>
      <c r="H309" s="631">
        <v>3</v>
      </c>
      <c r="I309" s="21">
        <f t="shared" si="56"/>
        <v>1</v>
      </c>
      <c r="J309" s="631"/>
      <c r="K309" s="21">
        <f t="shared" si="57"/>
        <v>1</v>
      </c>
      <c r="L309" s="631"/>
      <c r="M309" s="21">
        <f t="shared" si="58"/>
        <v>1</v>
      </c>
      <c r="N309" s="631"/>
      <c r="O309" s="21">
        <f t="shared" si="59"/>
        <v>1</v>
      </c>
      <c r="P309" s="631" t="s">
        <v>3553</v>
      </c>
      <c r="Q309" s="21">
        <f t="shared" si="60"/>
        <v>1.02</v>
      </c>
      <c r="R309" s="21">
        <f t="shared" ca="1" si="61"/>
        <v>14433</v>
      </c>
      <c r="S309" s="307">
        <f t="shared" ca="1" si="62"/>
        <v>72</v>
      </c>
      <c r="T309" s="3190">
        <f>面积表!A304</f>
        <v>0</v>
      </c>
    </row>
    <row r="310" spans="1:20">
      <c r="A310" s="3169" t="str">
        <f>面积表!D305</f>
        <v>1216</v>
      </c>
      <c r="B310" s="52">
        <f>面积表!E305</f>
        <v>68.78</v>
      </c>
      <c r="C310" s="21">
        <f t="shared" si="53"/>
        <v>1.01</v>
      </c>
      <c r="D310" s="2559" t="s">
        <v>4016</v>
      </c>
      <c r="E310" s="21">
        <f t="shared" si="54"/>
        <v>1</v>
      </c>
      <c r="F310" s="2559" t="s">
        <v>21</v>
      </c>
      <c r="G310" s="21">
        <f t="shared" si="55"/>
        <v>1</v>
      </c>
      <c r="H310" s="631">
        <v>3</v>
      </c>
      <c r="I310" s="21">
        <f t="shared" si="56"/>
        <v>1</v>
      </c>
      <c r="J310" s="631"/>
      <c r="K310" s="21">
        <f t="shared" si="57"/>
        <v>1</v>
      </c>
      <c r="L310" s="631"/>
      <c r="M310" s="21">
        <f t="shared" si="58"/>
        <v>1</v>
      </c>
      <c r="N310" s="631"/>
      <c r="O310" s="21">
        <f t="shared" si="59"/>
        <v>1</v>
      </c>
      <c r="P310" s="631" t="s">
        <v>3553</v>
      </c>
      <c r="Q310" s="21">
        <f t="shared" si="60"/>
        <v>1.02</v>
      </c>
      <c r="R310" s="21">
        <f t="shared" ca="1" si="61"/>
        <v>14577</v>
      </c>
      <c r="S310" s="307">
        <f t="shared" ca="1" si="62"/>
        <v>100</v>
      </c>
      <c r="T310" s="3190">
        <f>面积表!A305</f>
        <v>0</v>
      </c>
    </row>
    <row r="311" spans="1:20">
      <c r="A311" s="3169" t="str">
        <f>面积表!D306</f>
        <v>1217</v>
      </c>
      <c r="B311" s="52">
        <f>面积表!E306</f>
        <v>38.1</v>
      </c>
      <c r="C311" s="21">
        <f t="shared" si="53"/>
        <v>1</v>
      </c>
      <c r="D311" s="2559" t="s">
        <v>4016</v>
      </c>
      <c r="E311" s="21">
        <f t="shared" si="54"/>
        <v>1</v>
      </c>
      <c r="F311" s="2559" t="s">
        <v>21</v>
      </c>
      <c r="G311" s="21">
        <f t="shared" si="55"/>
        <v>1</v>
      </c>
      <c r="H311" s="631">
        <v>3</v>
      </c>
      <c r="I311" s="21">
        <f t="shared" si="56"/>
        <v>1</v>
      </c>
      <c r="J311" s="631"/>
      <c r="K311" s="21">
        <f t="shared" si="57"/>
        <v>1</v>
      </c>
      <c r="L311" s="631"/>
      <c r="M311" s="21">
        <f t="shared" si="58"/>
        <v>1</v>
      </c>
      <c r="N311" s="631"/>
      <c r="O311" s="21">
        <f t="shared" si="59"/>
        <v>1</v>
      </c>
      <c r="P311" s="631" t="s">
        <v>3553</v>
      </c>
      <c r="Q311" s="21">
        <f t="shared" si="60"/>
        <v>1.02</v>
      </c>
      <c r="R311" s="21">
        <f t="shared" ca="1" si="61"/>
        <v>14433</v>
      </c>
      <c r="S311" s="307">
        <f t="shared" ca="1" si="62"/>
        <v>55</v>
      </c>
      <c r="T311" s="3190">
        <f>面积表!A306</f>
        <v>0</v>
      </c>
    </row>
    <row r="312" spans="1:20">
      <c r="A312" s="3169" t="str">
        <f>面积表!D307</f>
        <v>1218</v>
      </c>
      <c r="B312" s="52">
        <f>面积表!E307</f>
        <v>41.4</v>
      </c>
      <c r="C312" s="21">
        <f t="shared" si="53"/>
        <v>1</v>
      </c>
      <c r="D312" s="2559" t="s">
        <v>4016</v>
      </c>
      <c r="E312" s="21">
        <f t="shared" si="54"/>
        <v>1</v>
      </c>
      <c r="F312" s="2559" t="s">
        <v>21</v>
      </c>
      <c r="G312" s="21">
        <f t="shared" si="55"/>
        <v>1</v>
      </c>
      <c r="H312" s="631">
        <v>3</v>
      </c>
      <c r="I312" s="21">
        <f t="shared" si="56"/>
        <v>1</v>
      </c>
      <c r="J312" s="631"/>
      <c r="K312" s="21">
        <f t="shared" si="57"/>
        <v>1</v>
      </c>
      <c r="L312" s="631"/>
      <c r="M312" s="21">
        <f t="shared" si="58"/>
        <v>1</v>
      </c>
      <c r="N312" s="631"/>
      <c r="O312" s="21">
        <f t="shared" si="59"/>
        <v>1</v>
      </c>
      <c r="P312" s="631" t="s">
        <v>3553</v>
      </c>
      <c r="Q312" s="21">
        <f t="shared" si="60"/>
        <v>1.02</v>
      </c>
      <c r="R312" s="21">
        <f t="shared" ca="1" si="61"/>
        <v>14433</v>
      </c>
      <c r="S312" s="307">
        <f t="shared" ca="1" si="62"/>
        <v>60</v>
      </c>
      <c r="T312" s="3190">
        <f>面积表!A307</f>
        <v>0</v>
      </c>
    </row>
    <row r="313" spans="1:20">
      <c r="A313" s="3169" t="str">
        <f>面积表!D308</f>
        <v>1219</v>
      </c>
      <c r="B313" s="52">
        <f>面积表!E308</f>
        <v>44.09</v>
      </c>
      <c r="C313" s="21">
        <f t="shared" si="53"/>
        <v>1</v>
      </c>
      <c r="D313" s="2559" t="s">
        <v>4016</v>
      </c>
      <c r="E313" s="21">
        <f t="shared" si="54"/>
        <v>1</v>
      </c>
      <c r="F313" s="2559" t="s">
        <v>21</v>
      </c>
      <c r="G313" s="21">
        <f t="shared" si="55"/>
        <v>1</v>
      </c>
      <c r="H313" s="631">
        <v>3</v>
      </c>
      <c r="I313" s="21">
        <f t="shared" si="56"/>
        <v>1</v>
      </c>
      <c r="J313" s="631"/>
      <c r="K313" s="21">
        <f t="shared" si="57"/>
        <v>1</v>
      </c>
      <c r="L313" s="631"/>
      <c r="M313" s="21">
        <f t="shared" si="58"/>
        <v>1</v>
      </c>
      <c r="N313" s="631"/>
      <c r="O313" s="21">
        <f t="shared" si="59"/>
        <v>1</v>
      </c>
      <c r="P313" s="631" t="s">
        <v>3553</v>
      </c>
      <c r="Q313" s="21">
        <f t="shared" si="60"/>
        <v>1.02</v>
      </c>
      <c r="R313" s="21">
        <f t="shared" ca="1" si="61"/>
        <v>14433</v>
      </c>
      <c r="S313" s="307">
        <f t="shared" ca="1" si="62"/>
        <v>64</v>
      </c>
      <c r="T313" s="3190">
        <f>面积表!A308</f>
        <v>0</v>
      </c>
    </row>
    <row r="314" spans="1:20">
      <c r="A314" s="3169" t="str">
        <f>面积表!D309</f>
        <v>1220</v>
      </c>
      <c r="B314" s="52">
        <f>面积表!E309</f>
        <v>46.17</v>
      </c>
      <c r="C314" s="21">
        <f t="shared" si="53"/>
        <v>1</v>
      </c>
      <c r="D314" s="2559" t="s">
        <v>4016</v>
      </c>
      <c r="E314" s="21">
        <f t="shared" si="54"/>
        <v>1</v>
      </c>
      <c r="F314" s="2559" t="s">
        <v>21</v>
      </c>
      <c r="G314" s="21">
        <f t="shared" si="55"/>
        <v>1</v>
      </c>
      <c r="H314" s="631">
        <v>3</v>
      </c>
      <c r="I314" s="21">
        <f t="shared" si="56"/>
        <v>1</v>
      </c>
      <c r="J314" s="631"/>
      <c r="K314" s="21">
        <f t="shared" si="57"/>
        <v>1</v>
      </c>
      <c r="L314" s="631"/>
      <c r="M314" s="21">
        <f t="shared" si="58"/>
        <v>1</v>
      </c>
      <c r="N314" s="631"/>
      <c r="O314" s="21">
        <f t="shared" si="59"/>
        <v>1</v>
      </c>
      <c r="P314" s="631" t="s">
        <v>3553</v>
      </c>
      <c r="Q314" s="21">
        <f t="shared" si="60"/>
        <v>1.02</v>
      </c>
      <c r="R314" s="21">
        <f t="shared" ca="1" si="61"/>
        <v>14433</v>
      </c>
      <c r="S314" s="307">
        <f t="shared" ca="1" si="62"/>
        <v>67</v>
      </c>
      <c r="T314" s="3190">
        <f>面积表!A309</f>
        <v>0</v>
      </c>
    </row>
    <row r="315" spans="1:20">
      <c r="A315" s="3169" t="str">
        <f>面积表!D310</f>
        <v>1221</v>
      </c>
      <c r="B315" s="52">
        <f>面积表!E310</f>
        <v>47.65</v>
      </c>
      <c r="C315" s="21">
        <f t="shared" si="53"/>
        <v>1</v>
      </c>
      <c r="D315" s="2559" t="s">
        <v>4016</v>
      </c>
      <c r="E315" s="21">
        <f t="shared" si="54"/>
        <v>1</v>
      </c>
      <c r="F315" s="2559" t="s">
        <v>21</v>
      </c>
      <c r="G315" s="21">
        <f t="shared" si="55"/>
        <v>1</v>
      </c>
      <c r="H315" s="631">
        <v>3</v>
      </c>
      <c r="I315" s="21">
        <f t="shared" si="56"/>
        <v>1</v>
      </c>
      <c r="J315" s="631"/>
      <c r="K315" s="21">
        <f t="shared" si="57"/>
        <v>1</v>
      </c>
      <c r="L315" s="631"/>
      <c r="M315" s="21">
        <f t="shared" si="58"/>
        <v>1</v>
      </c>
      <c r="N315" s="631"/>
      <c r="O315" s="21">
        <f t="shared" si="59"/>
        <v>1</v>
      </c>
      <c r="P315" s="631" t="s">
        <v>3553</v>
      </c>
      <c r="Q315" s="21">
        <f t="shared" si="60"/>
        <v>1.02</v>
      </c>
      <c r="R315" s="21">
        <f t="shared" ca="1" si="61"/>
        <v>14433</v>
      </c>
      <c r="S315" s="307">
        <f t="shared" ca="1" si="62"/>
        <v>69</v>
      </c>
      <c r="T315" s="3190">
        <f>面积表!A310</f>
        <v>0</v>
      </c>
    </row>
    <row r="316" spans="1:20">
      <c r="A316" s="3169" t="str">
        <f>面积表!D311</f>
        <v>1222</v>
      </c>
      <c r="B316" s="52">
        <f>面积表!E311</f>
        <v>48.6</v>
      </c>
      <c r="C316" s="21">
        <f t="shared" si="53"/>
        <v>1</v>
      </c>
      <c r="D316" s="2559" t="s">
        <v>4016</v>
      </c>
      <c r="E316" s="21">
        <f t="shared" si="54"/>
        <v>1</v>
      </c>
      <c r="F316" s="2559" t="s">
        <v>21</v>
      </c>
      <c r="G316" s="21">
        <f t="shared" si="55"/>
        <v>1</v>
      </c>
      <c r="H316" s="631">
        <v>3</v>
      </c>
      <c r="I316" s="21">
        <f t="shared" si="56"/>
        <v>1</v>
      </c>
      <c r="J316" s="631"/>
      <c r="K316" s="21">
        <f t="shared" si="57"/>
        <v>1</v>
      </c>
      <c r="L316" s="631"/>
      <c r="M316" s="21">
        <f t="shared" si="58"/>
        <v>1</v>
      </c>
      <c r="N316" s="631"/>
      <c r="O316" s="21">
        <f t="shared" si="59"/>
        <v>1</v>
      </c>
      <c r="P316" s="631" t="s">
        <v>3553</v>
      </c>
      <c r="Q316" s="21">
        <f t="shared" si="60"/>
        <v>1.02</v>
      </c>
      <c r="R316" s="21">
        <f t="shared" ca="1" si="61"/>
        <v>14433</v>
      </c>
      <c r="S316" s="307">
        <f t="shared" ca="1" si="62"/>
        <v>70</v>
      </c>
      <c r="T316" s="3190">
        <f>面积表!A311</f>
        <v>0</v>
      </c>
    </row>
    <row r="317" spans="1:20">
      <c r="A317" s="3169" t="str">
        <f>面积表!D312</f>
        <v>1223</v>
      </c>
      <c r="B317" s="52">
        <f>面积表!E312</f>
        <v>48.89</v>
      </c>
      <c r="C317" s="21">
        <f t="shared" si="53"/>
        <v>1</v>
      </c>
      <c r="D317" s="2559" t="s">
        <v>4016</v>
      </c>
      <c r="E317" s="21">
        <f t="shared" si="54"/>
        <v>1</v>
      </c>
      <c r="F317" s="2559" t="s">
        <v>21</v>
      </c>
      <c r="G317" s="21">
        <f t="shared" si="55"/>
        <v>1</v>
      </c>
      <c r="H317" s="631">
        <v>3</v>
      </c>
      <c r="I317" s="21">
        <f t="shared" si="56"/>
        <v>1</v>
      </c>
      <c r="J317" s="631"/>
      <c r="K317" s="21">
        <f t="shared" si="57"/>
        <v>1</v>
      </c>
      <c r="L317" s="631"/>
      <c r="M317" s="21">
        <f t="shared" si="58"/>
        <v>1</v>
      </c>
      <c r="N317" s="631"/>
      <c r="O317" s="21">
        <f t="shared" si="59"/>
        <v>1</v>
      </c>
      <c r="P317" s="631" t="s">
        <v>3553</v>
      </c>
      <c r="Q317" s="21">
        <f t="shared" si="60"/>
        <v>1.02</v>
      </c>
      <c r="R317" s="21">
        <f t="shared" ca="1" si="61"/>
        <v>14433</v>
      </c>
      <c r="S317" s="307">
        <f t="shared" ca="1" si="62"/>
        <v>71</v>
      </c>
      <c r="T317" s="3190">
        <f>面积表!A312</f>
        <v>0</v>
      </c>
    </row>
    <row r="318" spans="1:20">
      <c r="A318" s="3169" t="str">
        <f>面积表!D313</f>
        <v>1224</v>
      </c>
      <c r="B318" s="52">
        <f>面积表!E313</f>
        <v>48.59</v>
      </c>
      <c r="C318" s="21">
        <f t="shared" si="53"/>
        <v>1</v>
      </c>
      <c r="D318" s="2559" t="s">
        <v>4016</v>
      </c>
      <c r="E318" s="21">
        <f t="shared" si="54"/>
        <v>1</v>
      </c>
      <c r="F318" s="2559" t="s">
        <v>21</v>
      </c>
      <c r="G318" s="21">
        <f t="shared" si="55"/>
        <v>1</v>
      </c>
      <c r="H318" s="631">
        <v>3</v>
      </c>
      <c r="I318" s="21">
        <f t="shared" si="56"/>
        <v>1</v>
      </c>
      <c r="J318" s="631"/>
      <c r="K318" s="21">
        <f t="shared" si="57"/>
        <v>1</v>
      </c>
      <c r="L318" s="631"/>
      <c r="M318" s="21">
        <f t="shared" si="58"/>
        <v>1</v>
      </c>
      <c r="N318" s="631"/>
      <c r="O318" s="21">
        <f t="shared" si="59"/>
        <v>1</v>
      </c>
      <c r="P318" s="631" t="s">
        <v>3553</v>
      </c>
      <c r="Q318" s="21">
        <f t="shared" si="60"/>
        <v>1.02</v>
      </c>
      <c r="R318" s="21">
        <f t="shared" ca="1" si="61"/>
        <v>14433</v>
      </c>
      <c r="S318" s="307">
        <f t="shared" ca="1" si="62"/>
        <v>70</v>
      </c>
      <c r="T318" s="3190">
        <f>面积表!A313</f>
        <v>0</v>
      </c>
    </row>
    <row r="319" spans="1:20">
      <c r="A319" s="3169" t="str">
        <f>面积表!D314</f>
        <v>1225</v>
      </c>
      <c r="B319" s="52">
        <f>面积表!E314</f>
        <v>47.73</v>
      </c>
      <c r="C319" s="21">
        <f t="shared" si="53"/>
        <v>1</v>
      </c>
      <c r="D319" s="2559" t="s">
        <v>4016</v>
      </c>
      <c r="E319" s="21">
        <f t="shared" si="54"/>
        <v>1</v>
      </c>
      <c r="F319" s="2559" t="s">
        <v>21</v>
      </c>
      <c r="G319" s="21">
        <f t="shared" si="55"/>
        <v>1</v>
      </c>
      <c r="H319" s="631">
        <v>3</v>
      </c>
      <c r="I319" s="21">
        <f t="shared" si="56"/>
        <v>1</v>
      </c>
      <c r="J319" s="631"/>
      <c r="K319" s="21">
        <f t="shared" si="57"/>
        <v>1</v>
      </c>
      <c r="L319" s="631"/>
      <c r="M319" s="21">
        <f t="shared" si="58"/>
        <v>1</v>
      </c>
      <c r="N319" s="631"/>
      <c r="O319" s="21">
        <f t="shared" si="59"/>
        <v>1</v>
      </c>
      <c r="P319" s="631" t="s">
        <v>3553</v>
      </c>
      <c r="Q319" s="21">
        <f t="shared" si="60"/>
        <v>1.02</v>
      </c>
      <c r="R319" s="21">
        <f t="shared" ca="1" si="61"/>
        <v>14433</v>
      </c>
      <c r="S319" s="307">
        <f t="shared" ca="1" si="62"/>
        <v>69</v>
      </c>
      <c r="T319" s="3190">
        <f>面积表!A314</f>
        <v>0</v>
      </c>
    </row>
    <row r="320" spans="1:20">
      <c r="A320" s="3169" t="str">
        <f>面积表!D315</f>
        <v>1226</v>
      </c>
      <c r="B320" s="52">
        <f>面积表!E315</f>
        <v>70.2</v>
      </c>
      <c r="C320" s="21">
        <f t="shared" si="53"/>
        <v>1.01</v>
      </c>
      <c r="D320" s="2559" t="s">
        <v>4016</v>
      </c>
      <c r="E320" s="21">
        <f t="shared" si="54"/>
        <v>1</v>
      </c>
      <c r="F320" s="2559" t="s">
        <v>21</v>
      </c>
      <c r="G320" s="21">
        <f t="shared" si="55"/>
        <v>1</v>
      </c>
      <c r="H320" s="631">
        <v>3</v>
      </c>
      <c r="I320" s="21">
        <f t="shared" si="56"/>
        <v>1</v>
      </c>
      <c r="J320" s="631"/>
      <c r="K320" s="21">
        <f t="shared" si="57"/>
        <v>1</v>
      </c>
      <c r="L320" s="631"/>
      <c r="M320" s="21">
        <f t="shared" si="58"/>
        <v>1</v>
      </c>
      <c r="N320" s="631"/>
      <c r="O320" s="21">
        <f t="shared" si="59"/>
        <v>1</v>
      </c>
      <c r="P320" s="631" t="s">
        <v>3553</v>
      </c>
      <c r="Q320" s="21">
        <f t="shared" si="60"/>
        <v>1.02</v>
      </c>
      <c r="R320" s="21">
        <f t="shared" ca="1" si="61"/>
        <v>14577</v>
      </c>
      <c r="S320" s="307">
        <f t="shared" ca="1" si="62"/>
        <v>102</v>
      </c>
      <c r="T320" s="3190">
        <f>面积表!A315</f>
        <v>0</v>
      </c>
    </row>
    <row r="321" spans="1:20">
      <c r="A321" s="3169" t="str">
        <f>面积表!D316</f>
        <v>1301</v>
      </c>
      <c r="B321" s="52">
        <f>面积表!E316</f>
        <v>51.46</v>
      </c>
      <c r="C321" s="21">
        <f t="shared" si="53"/>
        <v>1</v>
      </c>
      <c r="D321" s="2559" t="s">
        <v>4016</v>
      </c>
      <c r="E321" s="21">
        <f t="shared" si="54"/>
        <v>1</v>
      </c>
      <c r="F321" s="2559" t="s">
        <v>21</v>
      </c>
      <c r="G321" s="21">
        <f t="shared" si="55"/>
        <v>1</v>
      </c>
      <c r="H321" s="631">
        <v>3</v>
      </c>
      <c r="I321" s="21">
        <f t="shared" si="56"/>
        <v>1</v>
      </c>
      <c r="J321" s="631"/>
      <c r="K321" s="21">
        <f t="shared" si="57"/>
        <v>1</v>
      </c>
      <c r="L321" s="631"/>
      <c r="M321" s="21">
        <f t="shared" si="58"/>
        <v>1</v>
      </c>
      <c r="N321" s="631"/>
      <c r="O321" s="21">
        <f t="shared" si="59"/>
        <v>1</v>
      </c>
      <c r="P321" s="631" t="s">
        <v>3553</v>
      </c>
      <c r="Q321" s="21">
        <f t="shared" si="60"/>
        <v>1.02</v>
      </c>
      <c r="R321" s="21">
        <f t="shared" ca="1" si="61"/>
        <v>14433</v>
      </c>
      <c r="S321" s="307">
        <f t="shared" ref="S321:S384" ca="1" si="63">ROUND(R321*B321/10000,0)</f>
        <v>74</v>
      </c>
      <c r="T321" s="3190">
        <f>面积表!A316</f>
        <v>0</v>
      </c>
    </row>
    <row r="322" spans="1:20">
      <c r="A322" s="3169" t="str">
        <f>面积表!D317</f>
        <v>1302</v>
      </c>
      <c r="B322" s="52">
        <f>面积表!E317</f>
        <v>49.62</v>
      </c>
      <c r="C322" s="21">
        <f t="shared" si="53"/>
        <v>1</v>
      </c>
      <c r="D322" s="2559" t="s">
        <v>4016</v>
      </c>
      <c r="E322" s="21">
        <f t="shared" si="54"/>
        <v>1</v>
      </c>
      <c r="F322" s="2559" t="s">
        <v>21</v>
      </c>
      <c r="G322" s="21">
        <f t="shared" si="55"/>
        <v>1</v>
      </c>
      <c r="H322" s="631">
        <v>3</v>
      </c>
      <c r="I322" s="21">
        <f t="shared" si="56"/>
        <v>1</v>
      </c>
      <c r="J322" s="631"/>
      <c r="K322" s="21">
        <f t="shared" si="57"/>
        <v>1</v>
      </c>
      <c r="L322" s="631"/>
      <c r="M322" s="21">
        <f t="shared" si="58"/>
        <v>1</v>
      </c>
      <c r="N322" s="631"/>
      <c r="O322" s="21">
        <f t="shared" si="59"/>
        <v>1</v>
      </c>
      <c r="P322" s="631" t="s">
        <v>3553</v>
      </c>
      <c r="Q322" s="21">
        <f t="shared" si="60"/>
        <v>1.02</v>
      </c>
      <c r="R322" s="21">
        <f t="shared" ca="1" si="61"/>
        <v>14433</v>
      </c>
      <c r="S322" s="307">
        <f t="shared" ca="1" si="63"/>
        <v>72</v>
      </c>
      <c r="T322" s="3190">
        <f>面积表!A317</f>
        <v>0</v>
      </c>
    </row>
    <row r="323" spans="1:20">
      <c r="A323" s="3169" t="str">
        <f>面积表!D318</f>
        <v>1303</v>
      </c>
      <c r="B323" s="52">
        <f>面积表!E318</f>
        <v>49.62</v>
      </c>
      <c r="C323" s="21">
        <f t="shared" si="53"/>
        <v>1</v>
      </c>
      <c r="D323" s="2559" t="s">
        <v>4016</v>
      </c>
      <c r="E323" s="21">
        <f t="shared" si="54"/>
        <v>1</v>
      </c>
      <c r="F323" s="2559" t="s">
        <v>21</v>
      </c>
      <c r="G323" s="21">
        <f t="shared" si="55"/>
        <v>1</v>
      </c>
      <c r="H323" s="631">
        <v>3</v>
      </c>
      <c r="I323" s="21">
        <f t="shared" si="56"/>
        <v>1</v>
      </c>
      <c r="J323" s="631"/>
      <c r="K323" s="21">
        <f t="shared" si="57"/>
        <v>1</v>
      </c>
      <c r="L323" s="631"/>
      <c r="M323" s="21">
        <f t="shared" si="58"/>
        <v>1</v>
      </c>
      <c r="N323" s="631"/>
      <c r="O323" s="21">
        <f t="shared" si="59"/>
        <v>1</v>
      </c>
      <c r="P323" s="631" t="s">
        <v>3553</v>
      </c>
      <c r="Q323" s="21">
        <f t="shared" si="60"/>
        <v>1.02</v>
      </c>
      <c r="R323" s="21">
        <f t="shared" ca="1" si="61"/>
        <v>14433</v>
      </c>
      <c r="S323" s="307">
        <f t="shared" ca="1" si="63"/>
        <v>72</v>
      </c>
      <c r="T323" s="3190">
        <f>面积表!A318</f>
        <v>0</v>
      </c>
    </row>
    <row r="324" spans="1:20">
      <c r="A324" s="3169" t="str">
        <f>面积表!D319</f>
        <v>1304</v>
      </c>
      <c r="B324" s="52">
        <f>面积表!E319</f>
        <v>49.62</v>
      </c>
      <c r="C324" s="21">
        <f t="shared" si="53"/>
        <v>1</v>
      </c>
      <c r="D324" s="2559" t="s">
        <v>4016</v>
      </c>
      <c r="E324" s="21">
        <f t="shared" si="54"/>
        <v>1</v>
      </c>
      <c r="F324" s="2559" t="s">
        <v>21</v>
      </c>
      <c r="G324" s="21">
        <f t="shared" si="55"/>
        <v>1</v>
      </c>
      <c r="H324" s="631">
        <v>3</v>
      </c>
      <c r="I324" s="21">
        <f t="shared" si="56"/>
        <v>1</v>
      </c>
      <c r="J324" s="631"/>
      <c r="K324" s="21">
        <f t="shared" si="57"/>
        <v>1</v>
      </c>
      <c r="L324" s="631"/>
      <c r="M324" s="21">
        <f t="shared" si="58"/>
        <v>1</v>
      </c>
      <c r="N324" s="631"/>
      <c r="O324" s="21">
        <f t="shared" si="59"/>
        <v>1</v>
      </c>
      <c r="P324" s="631" t="s">
        <v>3553</v>
      </c>
      <c r="Q324" s="21">
        <f t="shared" si="60"/>
        <v>1.02</v>
      </c>
      <c r="R324" s="21">
        <f t="shared" ca="1" si="61"/>
        <v>14433</v>
      </c>
      <c r="S324" s="307">
        <f t="shared" ca="1" si="63"/>
        <v>72</v>
      </c>
      <c r="T324" s="3190">
        <f>面积表!A319</f>
        <v>0</v>
      </c>
    </row>
    <row r="325" spans="1:20">
      <c r="A325" s="3169" t="str">
        <f>面积表!D320</f>
        <v>1305</v>
      </c>
      <c r="B325" s="52">
        <f>面积表!E320</f>
        <v>49.62</v>
      </c>
      <c r="C325" s="21">
        <f t="shared" si="53"/>
        <v>1</v>
      </c>
      <c r="D325" s="2559" t="s">
        <v>4016</v>
      </c>
      <c r="E325" s="21">
        <f t="shared" si="54"/>
        <v>1</v>
      </c>
      <c r="F325" s="2559" t="s">
        <v>21</v>
      </c>
      <c r="G325" s="21">
        <f t="shared" si="55"/>
        <v>1</v>
      </c>
      <c r="H325" s="631">
        <v>3</v>
      </c>
      <c r="I325" s="21">
        <f t="shared" si="56"/>
        <v>1</v>
      </c>
      <c r="J325" s="631"/>
      <c r="K325" s="21">
        <f t="shared" si="57"/>
        <v>1</v>
      </c>
      <c r="L325" s="631"/>
      <c r="M325" s="21">
        <f t="shared" si="58"/>
        <v>1</v>
      </c>
      <c r="N325" s="631"/>
      <c r="O325" s="21">
        <f t="shared" si="59"/>
        <v>1</v>
      </c>
      <c r="P325" s="631" t="s">
        <v>3553</v>
      </c>
      <c r="Q325" s="21">
        <f t="shared" si="60"/>
        <v>1.02</v>
      </c>
      <c r="R325" s="21">
        <f t="shared" ca="1" si="61"/>
        <v>14433</v>
      </c>
      <c r="S325" s="307">
        <f t="shared" ca="1" si="63"/>
        <v>72</v>
      </c>
      <c r="T325" s="3190">
        <f>面积表!A320</f>
        <v>0</v>
      </c>
    </row>
    <row r="326" spans="1:20">
      <c r="A326" s="3169" t="str">
        <f>面积表!D321</f>
        <v>1306</v>
      </c>
      <c r="B326" s="52">
        <f>面积表!E321</f>
        <v>49.62</v>
      </c>
      <c r="C326" s="21">
        <f t="shared" si="53"/>
        <v>1</v>
      </c>
      <c r="D326" s="2559" t="s">
        <v>4016</v>
      </c>
      <c r="E326" s="21">
        <f t="shared" si="54"/>
        <v>1</v>
      </c>
      <c r="F326" s="2559" t="s">
        <v>21</v>
      </c>
      <c r="G326" s="21">
        <f t="shared" si="55"/>
        <v>1</v>
      </c>
      <c r="H326" s="631">
        <v>3</v>
      </c>
      <c r="I326" s="21">
        <f t="shared" si="56"/>
        <v>1</v>
      </c>
      <c r="J326" s="631"/>
      <c r="K326" s="21">
        <f t="shared" si="57"/>
        <v>1</v>
      </c>
      <c r="L326" s="631"/>
      <c r="M326" s="21">
        <f t="shared" si="58"/>
        <v>1</v>
      </c>
      <c r="N326" s="631"/>
      <c r="O326" s="21">
        <f t="shared" si="59"/>
        <v>1</v>
      </c>
      <c r="P326" s="631" t="s">
        <v>3553</v>
      </c>
      <c r="Q326" s="21">
        <f t="shared" si="60"/>
        <v>1.02</v>
      </c>
      <c r="R326" s="21">
        <f t="shared" ca="1" si="61"/>
        <v>14433</v>
      </c>
      <c r="S326" s="307">
        <f t="shared" ca="1" si="63"/>
        <v>72</v>
      </c>
      <c r="T326" s="3190">
        <f>面积表!A321</f>
        <v>0</v>
      </c>
    </row>
    <row r="327" spans="1:20">
      <c r="A327" s="3169" t="str">
        <f>面积表!D322</f>
        <v>1307</v>
      </c>
      <c r="B327" s="52">
        <f>面积表!E322</f>
        <v>49.62</v>
      </c>
      <c r="C327" s="21">
        <f t="shared" si="53"/>
        <v>1</v>
      </c>
      <c r="D327" s="2559" t="s">
        <v>4016</v>
      </c>
      <c r="E327" s="21">
        <f t="shared" si="54"/>
        <v>1</v>
      </c>
      <c r="F327" s="2559" t="s">
        <v>21</v>
      </c>
      <c r="G327" s="21">
        <f t="shared" si="55"/>
        <v>1</v>
      </c>
      <c r="H327" s="631">
        <v>3</v>
      </c>
      <c r="I327" s="21">
        <f t="shared" si="56"/>
        <v>1</v>
      </c>
      <c r="J327" s="631"/>
      <c r="K327" s="21">
        <f t="shared" si="57"/>
        <v>1</v>
      </c>
      <c r="L327" s="631"/>
      <c r="M327" s="21">
        <f t="shared" si="58"/>
        <v>1</v>
      </c>
      <c r="N327" s="631"/>
      <c r="O327" s="21">
        <f t="shared" si="59"/>
        <v>1</v>
      </c>
      <c r="P327" s="631" t="s">
        <v>3553</v>
      </c>
      <c r="Q327" s="21">
        <f t="shared" si="60"/>
        <v>1.02</v>
      </c>
      <c r="R327" s="21">
        <f t="shared" ca="1" si="61"/>
        <v>14433</v>
      </c>
      <c r="S327" s="307">
        <f t="shared" ca="1" si="63"/>
        <v>72</v>
      </c>
      <c r="T327" s="3190">
        <f>面积表!A322</f>
        <v>0</v>
      </c>
    </row>
    <row r="328" spans="1:20">
      <c r="A328" s="3169" t="str">
        <f>面积表!D323</f>
        <v>1308</v>
      </c>
      <c r="B328" s="52">
        <f>面积表!E323</f>
        <v>49.62</v>
      </c>
      <c r="C328" s="21">
        <f t="shared" si="53"/>
        <v>1</v>
      </c>
      <c r="D328" s="2559" t="s">
        <v>4016</v>
      </c>
      <c r="E328" s="21">
        <f t="shared" si="54"/>
        <v>1</v>
      </c>
      <c r="F328" s="2559" t="s">
        <v>21</v>
      </c>
      <c r="G328" s="21">
        <f t="shared" si="55"/>
        <v>1</v>
      </c>
      <c r="H328" s="631">
        <v>3</v>
      </c>
      <c r="I328" s="21">
        <f t="shared" si="56"/>
        <v>1</v>
      </c>
      <c r="J328" s="631"/>
      <c r="K328" s="21">
        <f t="shared" si="57"/>
        <v>1</v>
      </c>
      <c r="L328" s="631"/>
      <c r="M328" s="21">
        <f t="shared" si="58"/>
        <v>1</v>
      </c>
      <c r="N328" s="631"/>
      <c r="O328" s="21">
        <f t="shared" si="59"/>
        <v>1</v>
      </c>
      <c r="P328" s="631" t="s">
        <v>3553</v>
      </c>
      <c r="Q328" s="21">
        <f t="shared" si="60"/>
        <v>1.02</v>
      </c>
      <c r="R328" s="21">
        <f t="shared" ca="1" si="61"/>
        <v>14433</v>
      </c>
      <c r="S328" s="307">
        <f t="shared" ca="1" si="63"/>
        <v>72</v>
      </c>
      <c r="T328" s="3190">
        <f>面积表!A323</f>
        <v>0</v>
      </c>
    </row>
    <row r="329" spans="1:20">
      <c r="A329" s="3169" t="str">
        <f>面积表!D324</f>
        <v>1309</v>
      </c>
      <c r="B329" s="52">
        <f>面积表!E324</f>
        <v>49.62</v>
      </c>
      <c r="C329" s="21">
        <f t="shared" si="53"/>
        <v>1</v>
      </c>
      <c r="D329" s="2559" t="s">
        <v>4016</v>
      </c>
      <c r="E329" s="21">
        <f t="shared" si="54"/>
        <v>1</v>
      </c>
      <c r="F329" s="2559" t="s">
        <v>21</v>
      </c>
      <c r="G329" s="21">
        <f t="shared" si="55"/>
        <v>1</v>
      </c>
      <c r="H329" s="631">
        <v>3</v>
      </c>
      <c r="I329" s="21">
        <f t="shared" si="56"/>
        <v>1</v>
      </c>
      <c r="J329" s="631"/>
      <c r="K329" s="21">
        <f t="shared" si="57"/>
        <v>1</v>
      </c>
      <c r="L329" s="631"/>
      <c r="M329" s="21">
        <f t="shared" si="58"/>
        <v>1</v>
      </c>
      <c r="N329" s="631"/>
      <c r="O329" s="21">
        <f t="shared" si="59"/>
        <v>1</v>
      </c>
      <c r="P329" s="631" t="s">
        <v>3553</v>
      </c>
      <c r="Q329" s="21">
        <f t="shared" si="60"/>
        <v>1.02</v>
      </c>
      <c r="R329" s="21">
        <f t="shared" ca="1" si="61"/>
        <v>14433</v>
      </c>
      <c r="S329" s="307">
        <f t="shared" ca="1" si="63"/>
        <v>72</v>
      </c>
      <c r="T329" s="3190">
        <f>面积表!A324</f>
        <v>0</v>
      </c>
    </row>
    <row r="330" spans="1:20">
      <c r="A330" s="3169" t="str">
        <f>面积表!D325</f>
        <v>1310</v>
      </c>
      <c r="B330" s="52">
        <f>面积表!E325</f>
        <v>49.62</v>
      </c>
      <c r="C330" s="21">
        <f t="shared" si="53"/>
        <v>1</v>
      </c>
      <c r="D330" s="2559" t="s">
        <v>4016</v>
      </c>
      <c r="E330" s="21">
        <f t="shared" si="54"/>
        <v>1</v>
      </c>
      <c r="F330" s="2559" t="s">
        <v>21</v>
      </c>
      <c r="G330" s="21">
        <f t="shared" si="55"/>
        <v>1</v>
      </c>
      <c r="H330" s="631">
        <v>3</v>
      </c>
      <c r="I330" s="21">
        <f t="shared" si="56"/>
        <v>1</v>
      </c>
      <c r="J330" s="631"/>
      <c r="K330" s="21">
        <f t="shared" si="57"/>
        <v>1</v>
      </c>
      <c r="L330" s="631"/>
      <c r="M330" s="21">
        <f t="shared" si="58"/>
        <v>1</v>
      </c>
      <c r="N330" s="631"/>
      <c r="O330" s="21">
        <f t="shared" si="59"/>
        <v>1</v>
      </c>
      <c r="P330" s="631" t="s">
        <v>3553</v>
      </c>
      <c r="Q330" s="21">
        <f t="shared" si="60"/>
        <v>1.02</v>
      </c>
      <c r="R330" s="21">
        <f t="shared" ca="1" si="61"/>
        <v>14433</v>
      </c>
      <c r="S330" s="307">
        <f t="shared" ca="1" si="63"/>
        <v>72</v>
      </c>
      <c r="T330" s="3190">
        <f>面积表!A325</f>
        <v>0</v>
      </c>
    </row>
    <row r="331" spans="1:20">
      <c r="A331" s="3169" t="str">
        <f>面积表!D326</f>
        <v>1311</v>
      </c>
      <c r="B331" s="52">
        <f>面积表!E326</f>
        <v>49.62</v>
      </c>
      <c r="C331" s="21">
        <f t="shared" si="53"/>
        <v>1</v>
      </c>
      <c r="D331" s="2559" t="s">
        <v>4016</v>
      </c>
      <c r="E331" s="21">
        <f t="shared" si="54"/>
        <v>1</v>
      </c>
      <c r="F331" s="2559" t="s">
        <v>21</v>
      </c>
      <c r="G331" s="21">
        <f t="shared" si="55"/>
        <v>1</v>
      </c>
      <c r="H331" s="631">
        <v>3</v>
      </c>
      <c r="I331" s="21">
        <f t="shared" si="56"/>
        <v>1</v>
      </c>
      <c r="J331" s="631"/>
      <c r="K331" s="21">
        <f t="shared" si="57"/>
        <v>1</v>
      </c>
      <c r="L331" s="631"/>
      <c r="M331" s="21">
        <f t="shared" si="58"/>
        <v>1</v>
      </c>
      <c r="N331" s="631"/>
      <c r="O331" s="21">
        <f t="shared" si="59"/>
        <v>1</v>
      </c>
      <c r="P331" s="631" t="s">
        <v>3553</v>
      </c>
      <c r="Q331" s="21">
        <f t="shared" si="60"/>
        <v>1.02</v>
      </c>
      <c r="R331" s="21">
        <f t="shared" ca="1" si="61"/>
        <v>14433</v>
      </c>
      <c r="S331" s="307">
        <f t="shared" ca="1" si="63"/>
        <v>72</v>
      </c>
      <c r="T331" s="3190">
        <f>面积表!A326</f>
        <v>0</v>
      </c>
    </row>
    <row r="332" spans="1:20">
      <c r="A332" s="3169" t="str">
        <f>面积表!D327</f>
        <v>1312</v>
      </c>
      <c r="B332" s="52">
        <f>面积表!E327</f>
        <v>49.62</v>
      </c>
      <c r="C332" s="21">
        <f t="shared" si="53"/>
        <v>1</v>
      </c>
      <c r="D332" s="2559" t="s">
        <v>4016</v>
      </c>
      <c r="E332" s="21">
        <f t="shared" si="54"/>
        <v>1</v>
      </c>
      <c r="F332" s="2559" t="s">
        <v>21</v>
      </c>
      <c r="G332" s="21">
        <f t="shared" si="55"/>
        <v>1</v>
      </c>
      <c r="H332" s="631">
        <v>3</v>
      </c>
      <c r="I332" s="21">
        <f t="shared" si="56"/>
        <v>1</v>
      </c>
      <c r="J332" s="631"/>
      <c r="K332" s="21">
        <f t="shared" si="57"/>
        <v>1</v>
      </c>
      <c r="L332" s="631"/>
      <c r="M332" s="21">
        <f t="shared" si="58"/>
        <v>1</v>
      </c>
      <c r="N332" s="631"/>
      <c r="O332" s="21">
        <f t="shared" si="59"/>
        <v>1</v>
      </c>
      <c r="P332" s="631" t="s">
        <v>3553</v>
      </c>
      <c r="Q332" s="21">
        <f t="shared" si="60"/>
        <v>1.02</v>
      </c>
      <c r="R332" s="21">
        <f t="shared" ca="1" si="61"/>
        <v>14433</v>
      </c>
      <c r="S332" s="307">
        <f t="shared" ca="1" si="63"/>
        <v>72</v>
      </c>
      <c r="T332" s="3190">
        <f>面积表!A327</f>
        <v>0</v>
      </c>
    </row>
    <row r="333" spans="1:20">
      <c r="A333" s="3169" t="str">
        <f>面积表!D328</f>
        <v>1313</v>
      </c>
      <c r="B333" s="52">
        <f>面积表!E328</f>
        <v>49.62</v>
      </c>
      <c r="C333" s="21">
        <f t="shared" si="53"/>
        <v>1</v>
      </c>
      <c r="D333" s="2559" t="s">
        <v>4016</v>
      </c>
      <c r="E333" s="21">
        <f t="shared" si="54"/>
        <v>1</v>
      </c>
      <c r="F333" s="2559" t="s">
        <v>21</v>
      </c>
      <c r="G333" s="21">
        <f t="shared" si="55"/>
        <v>1</v>
      </c>
      <c r="H333" s="631">
        <v>3</v>
      </c>
      <c r="I333" s="21">
        <f t="shared" si="56"/>
        <v>1</v>
      </c>
      <c r="J333" s="631"/>
      <c r="K333" s="21">
        <f t="shared" si="57"/>
        <v>1</v>
      </c>
      <c r="L333" s="631"/>
      <c r="M333" s="21">
        <f t="shared" si="58"/>
        <v>1</v>
      </c>
      <c r="N333" s="631"/>
      <c r="O333" s="21">
        <f t="shared" si="59"/>
        <v>1</v>
      </c>
      <c r="P333" s="631" t="s">
        <v>3553</v>
      </c>
      <c r="Q333" s="21">
        <f t="shared" si="60"/>
        <v>1.02</v>
      </c>
      <c r="R333" s="21">
        <f t="shared" ca="1" si="61"/>
        <v>14433</v>
      </c>
      <c r="S333" s="307">
        <f t="shared" ca="1" si="63"/>
        <v>72</v>
      </c>
      <c r="T333" s="3190">
        <f>面积表!A328</f>
        <v>0</v>
      </c>
    </row>
    <row r="334" spans="1:20">
      <c r="A334" s="3169" t="str">
        <f>面积表!D329</f>
        <v>1314</v>
      </c>
      <c r="B334" s="52">
        <f>面积表!E329</f>
        <v>49.62</v>
      </c>
      <c r="C334" s="21">
        <f t="shared" si="53"/>
        <v>1</v>
      </c>
      <c r="D334" s="2559" t="s">
        <v>4016</v>
      </c>
      <c r="E334" s="21">
        <f t="shared" si="54"/>
        <v>1</v>
      </c>
      <c r="F334" s="2559" t="s">
        <v>21</v>
      </c>
      <c r="G334" s="21">
        <f t="shared" si="55"/>
        <v>1</v>
      </c>
      <c r="H334" s="631">
        <v>3</v>
      </c>
      <c r="I334" s="21">
        <f t="shared" si="56"/>
        <v>1</v>
      </c>
      <c r="J334" s="631"/>
      <c r="K334" s="21">
        <f t="shared" si="57"/>
        <v>1</v>
      </c>
      <c r="L334" s="631"/>
      <c r="M334" s="21">
        <f t="shared" si="58"/>
        <v>1</v>
      </c>
      <c r="N334" s="631"/>
      <c r="O334" s="21">
        <f t="shared" si="59"/>
        <v>1</v>
      </c>
      <c r="P334" s="631" t="s">
        <v>3553</v>
      </c>
      <c r="Q334" s="21">
        <f t="shared" si="60"/>
        <v>1.02</v>
      </c>
      <c r="R334" s="21">
        <f t="shared" ca="1" si="61"/>
        <v>14433</v>
      </c>
      <c r="S334" s="307">
        <f t="shared" ca="1" si="63"/>
        <v>72</v>
      </c>
      <c r="T334" s="3190">
        <f>面积表!A329</f>
        <v>0</v>
      </c>
    </row>
    <row r="335" spans="1:20">
      <c r="A335" s="3169" t="str">
        <f>面积表!D330</f>
        <v>1315</v>
      </c>
      <c r="B335" s="52">
        <f>面积表!E330</f>
        <v>49.62</v>
      </c>
      <c r="C335" s="21">
        <f t="shared" si="53"/>
        <v>1</v>
      </c>
      <c r="D335" s="2559" t="s">
        <v>4016</v>
      </c>
      <c r="E335" s="21">
        <f t="shared" si="54"/>
        <v>1</v>
      </c>
      <c r="F335" s="2559" t="s">
        <v>21</v>
      </c>
      <c r="G335" s="21">
        <f t="shared" si="55"/>
        <v>1</v>
      </c>
      <c r="H335" s="631">
        <v>3</v>
      </c>
      <c r="I335" s="21">
        <f t="shared" si="56"/>
        <v>1</v>
      </c>
      <c r="J335" s="631"/>
      <c r="K335" s="21">
        <f t="shared" si="57"/>
        <v>1</v>
      </c>
      <c r="L335" s="631"/>
      <c r="M335" s="21">
        <f t="shared" si="58"/>
        <v>1</v>
      </c>
      <c r="N335" s="631"/>
      <c r="O335" s="21">
        <f t="shared" si="59"/>
        <v>1</v>
      </c>
      <c r="P335" s="631" t="s">
        <v>3553</v>
      </c>
      <c r="Q335" s="21">
        <f t="shared" si="60"/>
        <v>1.02</v>
      </c>
      <c r="R335" s="21">
        <f t="shared" ca="1" si="61"/>
        <v>14433</v>
      </c>
      <c r="S335" s="307">
        <f t="shared" ca="1" si="63"/>
        <v>72</v>
      </c>
      <c r="T335" s="3190">
        <f>面积表!A330</f>
        <v>0</v>
      </c>
    </row>
    <row r="336" spans="1:20">
      <c r="A336" s="3169" t="str">
        <f>面积表!D331</f>
        <v>1316</v>
      </c>
      <c r="B336" s="52">
        <f>面积表!E331</f>
        <v>68.78</v>
      </c>
      <c r="C336" s="21">
        <f t="shared" si="53"/>
        <v>1.01</v>
      </c>
      <c r="D336" s="2559" t="s">
        <v>4016</v>
      </c>
      <c r="E336" s="21">
        <f t="shared" si="54"/>
        <v>1</v>
      </c>
      <c r="F336" s="2559" t="s">
        <v>21</v>
      </c>
      <c r="G336" s="21">
        <f t="shared" si="55"/>
        <v>1</v>
      </c>
      <c r="H336" s="631">
        <v>3</v>
      </c>
      <c r="I336" s="21">
        <f t="shared" si="56"/>
        <v>1</v>
      </c>
      <c r="J336" s="631"/>
      <c r="K336" s="21">
        <f t="shared" si="57"/>
        <v>1</v>
      </c>
      <c r="L336" s="631"/>
      <c r="M336" s="21">
        <f t="shared" si="58"/>
        <v>1</v>
      </c>
      <c r="N336" s="631"/>
      <c r="O336" s="21">
        <f t="shared" si="59"/>
        <v>1</v>
      </c>
      <c r="P336" s="631" t="s">
        <v>3553</v>
      </c>
      <c r="Q336" s="21">
        <f t="shared" si="60"/>
        <v>1.02</v>
      </c>
      <c r="R336" s="21">
        <f t="shared" ca="1" si="61"/>
        <v>14577</v>
      </c>
      <c r="S336" s="307">
        <f t="shared" ca="1" si="63"/>
        <v>100</v>
      </c>
      <c r="T336" s="3190">
        <f>面积表!A331</f>
        <v>0</v>
      </c>
    </row>
    <row r="337" spans="1:20">
      <c r="A337" s="3169" t="str">
        <f>面积表!D332</f>
        <v>1317</v>
      </c>
      <c r="B337" s="52">
        <f>面积表!E332</f>
        <v>38.1</v>
      </c>
      <c r="C337" s="21">
        <f t="shared" si="53"/>
        <v>1</v>
      </c>
      <c r="D337" s="2559" t="s">
        <v>4016</v>
      </c>
      <c r="E337" s="21">
        <f t="shared" si="54"/>
        <v>1</v>
      </c>
      <c r="F337" s="2559" t="s">
        <v>21</v>
      </c>
      <c r="G337" s="21">
        <f t="shared" si="55"/>
        <v>1</v>
      </c>
      <c r="H337" s="631">
        <v>3</v>
      </c>
      <c r="I337" s="21">
        <f t="shared" si="56"/>
        <v>1</v>
      </c>
      <c r="J337" s="631"/>
      <c r="K337" s="21">
        <f t="shared" si="57"/>
        <v>1</v>
      </c>
      <c r="L337" s="631"/>
      <c r="M337" s="21">
        <f t="shared" si="58"/>
        <v>1</v>
      </c>
      <c r="N337" s="631"/>
      <c r="O337" s="21">
        <f t="shared" si="59"/>
        <v>1</v>
      </c>
      <c r="P337" s="631" t="s">
        <v>3553</v>
      </c>
      <c r="Q337" s="21">
        <f t="shared" si="60"/>
        <v>1.02</v>
      </c>
      <c r="R337" s="21">
        <f t="shared" ca="1" si="61"/>
        <v>14433</v>
      </c>
      <c r="S337" s="307">
        <f t="shared" ca="1" si="63"/>
        <v>55</v>
      </c>
      <c r="T337" s="3190">
        <f>面积表!A332</f>
        <v>0</v>
      </c>
    </row>
    <row r="338" spans="1:20">
      <c r="A338" s="3169" t="str">
        <f>面积表!D333</f>
        <v>1318</v>
      </c>
      <c r="B338" s="52">
        <f>面积表!E333</f>
        <v>41.4</v>
      </c>
      <c r="C338" s="21">
        <f t="shared" si="53"/>
        <v>1</v>
      </c>
      <c r="D338" s="2559" t="s">
        <v>4016</v>
      </c>
      <c r="E338" s="21">
        <f t="shared" si="54"/>
        <v>1</v>
      </c>
      <c r="F338" s="2559" t="s">
        <v>21</v>
      </c>
      <c r="G338" s="21">
        <f t="shared" si="55"/>
        <v>1</v>
      </c>
      <c r="H338" s="631">
        <v>3</v>
      </c>
      <c r="I338" s="21">
        <f t="shared" si="56"/>
        <v>1</v>
      </c>
      <c r="J338" s="631"/>
      <c r="K338" s="21">
        <f t="shared" si="57"/>
        <v>1</v>
      </c>
      <c r="L338" s="631"/>
      <c r="M338" s="21">
        <f t="shared" si="58"/>
        <v>1</v>
      </c>
      <c r="N338" s="631"/>
      <c r="O338" s="21">
        <f t="shared" si="59"/>
        <v>1</v>
      </c>
      <c r="P338" s="631" t="s">
        <v>3553</v>
      </c>
      <c r="Q338" s="21">
        <f t="shared" si="60"/>
        <v>1.02</v>
      </c>
      <c r="R338" s="21">
        <f t="shared" ca="1" si="61"/>
        <v>14433</v>
      </c>
      <c r="S338" s="307">
        <f t="shared" ca="1" si="63"/>
        <v>60</v>
      </c>
      <c r="T338" s="3190">
        <f>面积表!A333</f>
        <v>0</v>
      </c>
    </row>
    <row r="339" spans="1:20">
      <c r="A339" s="3169" t="str">
        <f>面积表!D334</f>
        <v>1319</v>
      </c>
      <c r="B339" s="52">
        <f>面积表!E334</f>
        <v>44.09</v>
      </c>
      <c r="C339" s="21">
        <f t="shared" si="53"/>
        <v>1</v>
      </c>
      <c r="D339" s="2559" t="s">
        <v>4016</v>
      </c>
      <c r="E339" s="21">
        <f t="shared" si="54"/>
        <v>1</v>
      </c>
      <c r="F339" s="2559" t="s">
        <v>21</v>
      </c>
      <c r="G339" s="21">
        <f t="shared" si="55"/>
        <v>1</v>
      </c>
      <c r="H339" s="631">
        <v>3</v>
      </c>
      <c r="I339" s="21">
        <f t="shared" si="56"/>
        <v>1</v>
      </c>
      <c r="J339" s="631"/>
      <c r="K339" s="21">
        <f t="shared" si="57"/>
        <v>1</v>
      </c>
      <c r="L339" s="631"/>
      <c r="M339" s="21">
        <f t="shared" si="58"/>
        <v>1</v>
      </c>
      <c r="N339" s="631"/>
      <c r="O339" s="21">
        <f t="shared" si="59"/>
        <v>1</v>
      </c>
      <c r="P339" s="631" t="s">
        <v>3553</v>
      </c>
      <c r="Q339" s="21">
        <f t="shared" si="60"/>
        <v>1.02</v>
      </c>
      <c r="R339" s="21">
        <f t="shared" ca="1" si="61"/>
        <v>14433</v>
      </c>
      <c r="S339" s="307">
        <f t="shared" ca="1" si="63"/>
        <v>64</v>
      </c>
      <c r="T339" s="3190">
        <f>面积表!A334</f>
        <v>0</v>
      </c>
    </row>
    <row r="340" spans="1:20">
      <c r="A340" s="3169" t="str">
        <f>面积表!D335</f>
        <v>1320</v>
      </c>
      <c r="B340" s="52">
        <f>面积表!E335</f>
        <v>46.17</v>
      </c>
      <c r="C340" s="21">
        <f t="shared" si="53"/>
        <v>1</v>
      </c>
      <c r="D340" s="2559" t="s">
        <v>4016</v>
      </c>
      <c r="E340" s="21">
        <f t="shared" si="54"/>
        <v>1</v>
      </c>
      <c r="F340" s="2559" t="s">
        <v>21</v>
      </c>
      <c r="G340" s="21">
        <f t="shared" si="55"/>
        <v>1</v>
      </c>
      <c r="H340" s="631">
        <v>3</v>
      </c>
      <c r="I340" s="21">
        <f t="shared" si="56"/>
        <v>1</v>
      </c>
      <c r="J340" s="631"/>
      <c r="K340" s="21">
        <f t="shared" si="57"/>
        <v>1</v>
      </c>
      <c r="L340" s="631"/>
      <c r="M340" s="21">
        <f t="shared" si="58"/>
        <v>1</v>
      </c>
      <c r="N340" s="631"/>
      <c r="O340" s="21">
        <f t="shared" si="59"/>
        <v>1</v>
      </c>
      <c r="P340" s="631" t="s">
        <v>3553</v>
      </c>
      <c r="Q340" s="21">
        <f t="shared" si="60"/>
        <v>1.02</v>
      </c>
      <c r="R340" s="21">
        <f t="shared" ca="1" si="61"/>
        <v>14433</v>
      </c>
      <c r="S340" s="307">
        <f t="shared" ca="1" si="63"/>
        <v>67</v>
      </c>
      <c r="T340" s="3190">
        <f>面积表!A335</f>
        <v>0</v>
      </c>
    </row>
    <row r="341" spans="1:20">
      <c r="A341" s="3169" t="str">
        <f>面积表!D336</f>
        <v>1321</v>
      </c>
      <c r="B341" s="52">
        <f>面积表!E336</f>
        <v>47.65</v>
      </c>
      <c r="C341" s="21">
        <f t="shared" si="53"/>
        <v>1</v>
      </c>
      <c r="D341" s="2559" t="s">
        <v>4016</v>
      </c>
      <c r="E341" s="21">
        <f t="shared" si="54"/>
        <v>1</v>
      </c>
      <c r="F341" s="2559" t="s">
        <v>21</v>
      </c>
      <c r="G341" s="21">
        <f t="shared" si="55"/>
        <v>1</v>
      </c>
      <c r="H341" s="631">
        <v>3</v>
      </c>
      <c r="I341" s="21">
        <f t="shared" si="56"/>
        <v>1</v>
      </c>
      <c r="J341" s="631"/>
      <c r="K341" s="21">
        <f t="shared" si="57"/>
        <v>1</v>
      </c>
      <c r="L341" s="631"/>
      <c r="M341" s="21">
        <f t="shared" si="58"/>
        <v>1</v>
      </c>
      <c r="N341" s="631"/>
      <c r="O341" s="21">
        <f t="shared" si="59"/>
        <v>1</v>
      </c>
      <c r="P341" s="631" t="s">
        <v>3553</v>
      </c>
      <c r="Q341" s="21">
        <f t="shared" si="60"/>
        <v>1.02</v>
      </c>
      <c r="R341" s="21">
        <f t="shared" ca="1" si="61"/>
        <v>14433</v>
      </c>
      <c r="S341" s="307">
        <f t="shared" ca="1" si="63"/>
        <v>69</v>
      </c>
      <c r="T341" s="3190">
        <f>面积表!A336</f>
        <v>0</v>
      </c>
    </row>
    <row r="342" spans="1:20">
      <c r="A342" s="3169" t="str">
        <f>面积表!D337</f>
        <v>1322</v>
      </c>
      <c r="B342" s="52">
        <f>面积表!E337</f>
        <v>48.6</v>
      </c>
      <c r="C342" s="21">
        <f t="shared" si="53"/>
        <v>1</v>
      </c>
      <c r="D342" s="2559" t="s">
        <v>4016</v>
      </c>
      <c r="E342" s="21">
        <f t="shared" si="54"/>
        <v>1</v>
      </c>
      <c r="F342" s="2559" t="s">
        <v>21</v>
      </c>
      <c r="G342" s="21">
        <f t="shared" si="55"/>
        <v>1</v>
      </c>
      <c r="H342" s="631">
        <v>3</v>
      </c>
      <c r="I342" s="21">
        <f t="shared" si="56"/>
        <v>1</v>
      </c>
      <c r="J342" s="631"/>
      <c r="K342" s="21">
        <f t="shared" si="57"/>
        <v>1</v>
      </c>
      <c r="L342" s="631"/>
      <c r="M342" s="21">
        <f t="shared" si="58"/>
        <v>1</v>
      </c>
      <c r="N342" s="631"/>
      <c r="O342" s="21">
        <f t="shared" si="59"/>
        <v>1</v>
      </c>
      <c r="P342" s="631" t="s">
        <v>3553</v>
      </c>
      <c r="Q342" s="21">
        <f t="shared" si="60"/>
        <v>1.02</v>
      </c>
      <c r="R342" s="21">
        <f t="shared" ca="1" si="61"/>
        <v>14433</v>
      </c>
      <c r="S342" s="307">
        <f t="shared" ca="1" si="63"/>
        <v>70</v>
      </c>
      <c r="T342" s="3190">
        <f>面积表!A337</f>
        <v>0</v>
      </c>
    </row>
    <row r="343" spans="1:20">
      <c r="A343" s="3169" t="str">
        <f>面积表!D338</f>
        <v>1323</v>
      </c>
      <c r="B343" s="52">
        <f>面积表!E338</f>
        <v>48.89</v>
      </c>
      <c r="C343" s="21">
        <f t="shared" si="53"/>
        <v>1</v>
      </c>
      <c r="D343" s="2559" t="s">
        <v>4016</v>
      </c>
      <c r="E343" s="21">
        <f t="shared" si="54"/>
        <v>1</v>
      </c>
      <c r="F343" s="2559" t="s">
        <v>21</v>
      </c>
      <c r="G343" s="21">
        <f t="shared" si="55"/>
        <v>1</v>
      </c>
      <c r="H343" s="631">
        <v>3</v>
      </c>
      <c r="I343" s="21">
        <f t="shared" si="56"/>
        <v>1</v>
      </c>
      <c r="J343" s="631"/>
      <c r="K343" s="21">
        <f t="shared" si="57"/>
        <v>1</v>
      </c>
      <c r="L343" s="631"/>
      <c r="M343" s="21">
        <f t="shared" si="58"/>
        <v>1</v>
      </c>
      <c r="N343" s="631"/>
      <c r="O343" s="21">
        <f t="shared" si="59"/>
        <v>1</v>
      </c>
      <c r="P343" s="631" t="s">
        <v>3553</v>
      </c>
      <c r="Q343" s="21">
        <f t="shared" si="60"/>
        <v>1.02</v>
      </c>
      <c r="R343" s="21">
        <f t="shared" ca="1" si="61"/>
        <v>14433</v>
      </c>
      <c r="S343" s="307">
        <f t="shared" ca="1" si="63"/>
        <v>71</v>
      </c>
      <c r="T343" s="3190">
        <f>面积表!A338</f>
        <v>0</v>
      </c>
    </row>
    <row r="344" spans="1:20">
      <c r="A344" s="3169" t="str">
        <f>面积表!D339</f>
        <v>1324</v>
      </c>
      <c r="B344" s="52">
        <f>面积表!E339</f>
        <v>48.59</v>
      </c>
      <c r="C344" s="21">
        <f t="shared" si="53"/>
        <v>1</v>
      </c>
      <c r="D344" s="2559" t="s">
        <v>4016</v>
      </c>
      <c r="E344" s="21">
        <f t="shared" si="54"/>
        <v>1</v>
      </c>
      <c r="F344" s="2559" t="s">
        <v>21</v>
      </c>
      <c r="G344" s="21">
        <f t="shared" si="55"/>
        <v>1</v>
      </c>
      <c r="H344" s="631">
        <v>3</v>
      </c>
      <c r="I344" s="21">
        <f t="shared" si="56"/>
        <v>1</v>
      </c>
      <c r="J344" s="631"/>
      <c r="K344" s="21">
        <f t="shared" si="57"/>
        <v>1</v>
      </c>
      <c r="L344" s="631"/>
      <c r="M344" s="21">
        <f t="shared" si="58"/>
        <v>1</v>
      </c>
      <c r="N344" s="631"/>
      <c r="O344" s="21">
        <f t="shared" si="59"/>
        <v>1</v>
      </c>
      <c r="P344" s="631" t="s">
        <v>3553</v>
      </c>
      <c r="Q344" s="21">
        <f t="shared" si="60"/>
        <v>1.02</v>
      </c>
      <c r="R344" s="21">
        <f t="shared" ca="1" si="61"/>
        <v>14433</v>
      </c>
      <c r="S344" s="307">
        <f t="shared" ca="1" si="63"/>
        <v>70</v>
      </c>
      <c r="T344" s="3190">
        <f>面积表!A339</f>
        <v>0</v>
      </c>
    </row>
    <row r="345" spans="1:20">
      <c r="A345" s="3169" t="str">
        <f>面积表!D340</f>
        <v>1325</v>
      </c>
      <c r="B345" s="52">
        <f>面积表!E340</f>
        <v>47.73</v>
      </c>
      <c r="C345" s="21">
        <f t="shared" si="53"/>
        <v>1</v>
      </c>
      <c r="D345" s="2559" t="s">
        <v>4016</v>
      </c>
      <c r="E345" s="21">
        <f t="shared" si="54"/>
        <v>1</v>
      </c>
      <c r="F345" s="2559" t="s">
        <v>21</v>
      </c>
      <c r="G345" s="21">
        <f t="shared" si="55"/>
        <v>1</v>
      </c>
      <c r="H345" s="631">
        <v>3</v>
      </c>
      <c r="I345" s="21">
        <f t="shared" si="56"/>
        <v>1</v>
      </c>
      <c r="J345" s="631"/>
      <c r="K345" s="21">
        <f t="shared" si="57"/>
        <v>1</v>
      </c>
      <c r="L345" s="631"/>
      <c r="M345" s="21">
        <f t="shared" si="58"/>
        <v>1</v>
      </c>
      <c r="N345" s="631"/>
      <c r="O345" s="21">
        <f t="shared" si="59"/>
        <v>1</v>
      </c>
      <c r="P345" s="631" t="s">
        <v>3553</v>
      </c>
      <c r="Q345" s="21">
        <f t="shared" si="60"/>
        <v>1.02</v>
      </c>
      <c r="R345" s="21">
        <f t="shared" ca="1" si="61"/>
        <v>14433</v>
      </c>
      <c r="S345" s="307">
        <f t="shared" ca="1" si="63"/>
        <v>69</v>
      </c>
      <c r="T345" s="3190">
        <f>面积表!A340</f>
        <v>0</v>
      </c>
    </row>
    <row r="346" spans="1:20">
      <c r="A346" s="3169" t="str">
        <f>面积表!D341</f>
        <v>1326</v>
      </c>
      <c r="B346" s="52">
        <f>面积表!E341</f>
        <v>70.2</v>
      </c>
      <c r="C346" s="21">
        <f t="shared" ref="C346:C409" si="64">IF(B346="",1,(LOOKUP(B346,$3:$3,$4:$4)-LOOKUP($B$24,$3:$3,$4:$4)+100)/100)</f>
        <v>1.01</v>
      </c>
      <c r="D346" s="2559" t="s">
        <v>4016</v>
      </c>
      <c r="E346" s="21">
        <f t="shared" ref="E346:E409" si="65">(SUMIF($5:$5,D346,$6:$6)-SUMIF($5:$5,$D$24,$6:$6)+100)/100</f>
        <v>1</v>
      </c>
      <c r="F346" s="2559" t="s">
        <v>21</v>
      </c>
      <c r="G346" s="21">
        <f t="shared" ref="G346:G409" si="66">(SUMIF($7:$7,F346,$8:$8)-SUMIF($7:$7,$F$24,$8:$8)+100)/100</f>
        <v>1</v>
      </c>
      <c r="H346" s="631">
        <v>3</v>
      </c>
      <c r="I346" s="21">
        <f t="shared" ref="I346:I409" si="67">(SUMIF($9:$9,H346,$10:$10)-SUMIF($9:$9,$H$24,$10:$10)+100)/100</f>
        <v>1</v>
      </c>
      <c r="J346" s="631"/>
      <c r="K346" s="21">
        <f t="shared" ref="K346:K409" si="68">(SUMIF($11:$11,J346,$12:$12)-SUMIF($11:$11,$J$24,$12:$12)+100)/100</f>
        <v>1</v>
      </c>
      <c r="L346" s="631"/>
      <c r="M346" s="21">
        <f t="shared" ref="M346:M409" si="69">(SUMIF($13:$13,L346,$14:$14)-SUMIF($13:$13,$L$24,$14:$14)+100)/100</f>
        <v>1</v>
      </c>
      <c r="N346" s="631"/>
      <c r="O346" s="21">
        <f t="shared" ref="O346:O409" si="70">(SUMIF($15:$15,N346,$16:$16)-SUMIF($15:$15,$N$24,$16:$16)+100)/100</f>
        <v>1</v>
      </c>
      <c r="P346" s="631" t="s">
        <v>3553</v>
      </c>
      <c r="Q346" s="21">
        <f t="shared" ref="Q346:Q409" si="71">(SUMIF($17:$17,P346,$18:$18)-SUMIF($17:$17,$P$24,$18:$18)+100)/100</f>
        <v>1.02</v>
      </c>
      <c r="R346" s="21">
        <f t="shared" ref="R346:R409" ca="1" si="72">IF(B346="",0,ROUND($R$24*C346*E346*G346*I346*K346*M346*O346*Q346,0))</f>
        <v>14577</v>
      </c>
      <c r="S346" s="307">
        <f t="shared" ca="1" si="63"/>
        <v>102</v>
      </c>
      <c r="T346" s="3190">
        <f>面积表!A341</f>
        <v>0</v>
      </c>
    </row>
    <row r="347" spans="1:20">
      <c r="A347" s="3169" t="str">
        <f>面积表!D342</f>
        <v>1401</v>
      </c>
      <c r="B347" s="52">
        <f>面积表!E342</f>
        <v>51.46</v>
      </c>
      <c r="C347" s="21">
        <f t="shared" si="64"/>
        <v>1</v>
      </c>
      <c r="D347" s="2559" t="s">
        <v>4016</v>
      </c>
      <c r="E347" s="21">
        <f t="shared" si="65"/>
        <v>1</v>
      </c>
      <c r="F347" s="2559" t="s">
        <v>21</v>
      </c>
      <c r="G347" s="21">
        <f t="shared" si="66"/>
        <v>1</v>
      </c>
      <c r="H347" s="631">
        <v>3</v>
      </c>
      <c r="I347" s="21">
        <f t="shared" si="67"/>
        <v>1</v>
      </c>
      <c r="J347" s="631"/>
      <c r="K347" s="21">
        <f t="shared" si="68"/>
        <v>1</v>
      </c>
      <c r="L347" s="631"/>
      <c r="M347" s="21">
        <f t="shared" si="69"/>
        <v>1</v>
      </c>
      <c r="N347" s="631"/>
      <c r="O347" s="21">
        <f t="shared" si="70"/>
        <v>1</v>
      </c>
      <c r="P347" s="631" t="s">
        <v>3553</v>
      </c>
      <c r="Q347" s="21">
        <f t="shared" si="71"/>
        <v>1.02</v>
      </c>
      <c r="R347" s="21">
        <f t="shared" ca="1" si="72"/>
        <v>14433</v>
      </c>
      <c r="S347" s="307">
        <f t="shared" ca="1" si="63"/>
        <v>74</v>
      </c>
      <c r="T347" s="3190">
        <f>面积表!A342</f>
        <v>0</v>
      </c>
    </row>
    <row r="348" spans="1:20">
      <c r="A348" s="3169" t="str">
        <f>面积表!D343</f>
        <v>1402</v>
      </c>
      <c r="B348" s="52">
        <f>面积表!E343</f>
        <v>49.62</v>
      </c>
      <c r="C348" s="21">
        <f t="shared" si="64"/>
        <v>1</v>
      </c>
      <c r="D348" s="2559" t="s">
        <v>4016</v>
      </c>
      <c r="E348" s="21">
        <f t="shared" si="65"/>
        <v>1</v>
      </c>
      <c r="F348" s="2559" t="s">
        <v>21</v>
      </c>
      <c r="G348" s="21">
        <f t="shared" si="66"/>
        <v>1</v>
      </c>
      <c r="H348" s="631">
        <v>3</v>
      </c>
      <c r="I348" s="21">
        <f t="shared" si="67"/>
        <v>1</v>
      </c>
      <c r="J348" s="631"/>
      <c r="K348" s="21">
        <f t="shared" si="68"/>
        <v>1</v>
      </c>
      <c r="L348" s="631"/>
      <c r="M348" s="21">
        <f t="shared" si="69"/>
        <v>1</v>
      </c>
      <c r="N348" s="631"/>
      <c r="O348" s="21">
        <f t="shared" si="70"/>
        <v>1</v>
      </c>
      <c r="P348" s="631" t="s">
        <v>3553</v>
      </c>
      <c r="Q348" s="21">
        <f t="shared" si="71"/>
        <v>1.02</v>
      </c>
      <c r="R348" s="21">
        <f t="shared" ca="1" si="72"/>
        <v>14433</v>
      </c>
      <c r="S348" s="307">
        <f t="shared" ca="1" si="63"/>
        <v>72</v>
      </c>
      <c r="T348" s="3190">
        <f>面积表!A343</f>
        <v>0</v>
      </c>
    </row>
    <row r="349" spans="1:20">
      <c r="A349" s="3169" t="str">
        <f>面积表!D344</f>
        <v>1403</v>
      </c>
      <c r="B349" s="52">
        <f>面积表!E344</f>
        <v>49.62</v>
      </c>
      <c r="C349" s="21">
        <f t="shared" si="64"/>
        <v>1</v>
      </c>
      <c r="D349" s="2559" t="s">
        <v>4016</v>
      </c>
      <c r="E349" s="21">
        <f t="shared" si="65"/>
        <v>1</v>
      </c>
      <c r="F349" s="2559" t="s">
        <v>21</v>
      </c>
      <c r="G349" s="21">
        <f t="shared" si="66"/>
        <v>1</v>
      </c>
      <c r="H349" s="631">
        <v>3</v>
      </c>
      <c r="I349" s="21">
        <f t="shared" si="67"/>
        <v>1</v>
      </c>
      <c r="J349" s="631"/>
      <c r="K349" s="21">
        <f t="shared" si="68"/>
        <v>1</v>
      </c>
      <c r="L349" s="631"/>
      <c r="M349" s="21">
        <f t="shared" si="69"/>
        <v>1</v>
      </c>
      <c r="N349" s="631"/>
      <c r="O349" s="21">
        <f t="shared" si="70"/>
        <v>1</v>
      </c>
      <c r="P349" s="631" t="s">
        <v>3553</v>
      </c>
      <c r="Q349" s="21">
        <f t="shared" si="71"/>
        <v>1.02</v>
      </c>
      <c r="R349" s="21">
        <f t="shared" ca="1" si="72"/>
        <v>14433</v>
      </c>
      <c r="S349" s="307">
        <f t="shared" ca="1" si="63"/>
        <v>72</v>
      </c>
      <c r="T349" s="3190">
        <f>面积表!A344</f>
        <v>0</v>
      </c>
    </row>
    <row r="350" spans="1:20">
      <c r="A350" s="3169" t="str">
        <f>面积表!D345</f>
        <v>1404</v>
      </c>
      <c r="B350" s="52">
        <f>面积表!E345</f>
        <v>49.62</v>
      </c>
      <c r="C350" s="21">
        <f t="shared" si="64"/>
        <v>1</v>
      </c>
      <c r="D350" s="2559" t="s">
        <v>4016</v>
      </c>
      <c r="E350" s="21">
        <f t="shared" si="65"/>
        <v>1</v>
      </c>
      <c r="F350" s="2559" t="s">
        <v>21</v>
      </c>
      <c r="G350" s="21">
        <f t="shared" si="66"/>
        <v>1</v>
      </c>
      <c r="H350" s="631">
        <v>3</v>
      </c>
      <c r="I350" s="21">
        <f t="shared" si="67"/>
        <v>1</v>
      </c>
      <c r="J350" s="631"/>
      <c r="K350" s="21">
        <f t="shared" si="68"/>
        <v>1</v>
      </c>
      <c r="L350" s="631"/>
      <c r="M350" s="21">
        <f t="shared" si="69"/>
        <v>1</v>
      </c>
      <c r="N350" s="631"/>
      <c r="O350" s="21">
        <f t="shared" si="70"/>
        <v>1</v>
      </c>
      <c r="P350" s="631" t="s">
        <v>3553</v>
      </c>
      <c r="Q350" s="21">
        <f t="shared" si="71"/>
        <v>1.02</v>
      </c>
      <c r="R350" s="21">
        <f t="shared" ca="1" si="72"/>
        <v>14433</v>
      </c>
      <c r="S350" s="307">
        <f t="shared" ca="1" si="63"/>
        <v>72</v>
      </c>
      <c r="T350" s="3190">
        <f>面积表!A345</f>
        <v>0</v>
      </c>
    </row>
    <row r="351" spans="1:20">
      <c r="A351" s="3169" t="str">
        <f>面积表!D346</f>
        <v>1405</v>
      </c>
      <c r="B351" s="52">
        <f>面积表!E346</f>
        <v>49.62</v>
      </c>
      <c r="C351" s="21">
        <f t="shared" si="64"/>
        <v>1</v>
      </c>
      <c r="D351" s="2559" t="s">
        <v>4016</v>
      </c>
      <c r="E351" s="21">
        <f t="shared" si="65"/>
        <v>1</v>
      </c>
      <c r="F351" s="2559" t="s">
        <v>21</v>
      </c>
      <c r="G351" s="21">
        <f t="shared" si="66"/>
        <v>1</v>
      </c>
      <c r="H351" s="631">
        <v>3</v>
      </c>
      <c r="I351" s="21">
        <f t="shared" si="67"/>
        <v>1</v>
      </c>
      <c r="J351" s="631"/>
      <c r="K351" s="21">
        <f t="shared" si="68"/>
        <v>1</v>
      </c>
      <c r="L351" s="631"/>
      <c r="M351" s="21">
        <f t="shared" si="69"/>
        <v>1</v>
      </c>
      <c r="N351" s="631"/>
      <c r="O351" s="21">
        <f t="shared" si="70"/>
        <v>1</v>
      </c>
      <c r="P351" s="631" t="s">
        <v>3553</v>
      </c>
      <c r="Q351" s="21">
        <f t="shared" si="71"/>
        <v>1.02</v>
      </c>
      <c r="R351" s="21">
        <f t="shared" ca="1" si="72"/>
        <v>14433</v>
      </c>
      <c r="S351" s="307">
        <f t="shared" ca="1" si="63"/>
        <v>72</v>
      </c>
      <c r="T351" s="3190">
        <f>面积表!A346</f>
        <v>0</v>
      </c>
    </row>
    <row r="352" spans="1:20">
      <c r="A352" s="3169" t="str">
        <f>面积表!D347</f>
        <v>1406</v>
      </c>
      <c r="B352" s="52">
        <f>面积表!E347</f>
        <v>49.62</v>
      </c>
      <c r="C352" s="21">
        <f t="shared" si="64"/>
        <v>1</v>
      </c>
      <c r="D352" s="2559" t="s">
        <v>4016</v>
      </c>
      <c r="E352" s="21">
        <f t="shared" si="65"/>
        <v>1</v>
      </c>
      <c r="F352" s="2559" t="s">
        <v>21</v>
      </c>
      <c r="G352" s="21">
        <f t="shared" si="66"/>
        <v>1</v>
      </c>
      <c r="H352" s="631">
        <v>3</v>
      </c>
      <c r="I352" s="21">
        <f t="shared" si="67"/>
        <v>1</v>
      </c>
      <c r="J352" s="631"/>
      <c r="K352" s="21">
        <f t="shared" si="68"/>
        <v>1</v>
      </c>
      <c r="L352" s="631"/>
      <c r="M352" s="21">
        <f t="shared" si="69"/>
        <v>1</v>
      </c>
      <c r="N352" s="631"/>
      <c r="O352" s="21">
        <f t="shared" si="70"/>
        <v>1</v>
      </c>
      <c r="P352" s="631" t="s">
        <v>3553</v>
      </c>
      <c r="Q352" s="21">
        <f t="shared" si="71"/>
        <v>1.02</v>
      </c>
      <c r="R352" s="21">
        <f t="shared" ca="1" si="72"/>
        <v>14433</v>
      </c>
      <c r="S352" s="307">
        <f t="shared" ca="1" si="63"/>
        <v>72</v>
      </c>
      <c r="T352" s="3190">
        <f>面积表!A347</f>
        <v>0</v>
      </c>
    </row>
    <row r="353" spans="1:20">
      <c r="A353" s="3169" t="str">
        <f>面积表!D348</f>
        <v>1407</v>
      </c>
      <c r="B353" s="52">
        <f>面积表!E348</f>
        <v>49.62</v>
      </c>
      <c r="C353" s="21">
        <f t="shared" si="64"/>
        <v>1</v>
      </c>
      <c r="D353" s="2559" t="s">
        <v>4016</v>
      </c>
      <c r="E353" s="21">
        <f t="shared" si="65"/>
        <v>1</v>
      </c>
      <c r="F353" s="2559" t="s">
        <v>21</v>
      </c>
      <c r="G353" s="21">
        <f t="shared" si="66"/>
        <v>1</v>
      </c>
      <c r="H353" s="631">
        <v>3</v>
      </c>
      <c r="I353" s="21">
        <f t="shared" si="67"/>
        <v>1</v>
      </c>
      <c r="J353" s="631"/>
      <c r="K353" s="21">
        <f t="shared" si="68"/>
        <v>1</v>
      </c>
      <c r="L353" s="631"/>
      <c r="M353" s="21">
        <f t="shared" si="69"/>
        <v>1</v>
      </c>
      <c r="N353" s="631"/>
      <c r="O353" s="21">
        <f t="shared" si="70"/>
        <v>1</v>
      </c>
      <c r="P353" s="631" t="s">
        <v>3553</v>
      </c>
      <c r="Q353" s="21">
        <f t="shared" si="71"/>
        <v>1.02</v>
      </c>
      <c r="R353" s="21">
        <f t="shared" ca="1" si="72"/>
        <v>14433</v>
      </c>
      <c r="S353" s="307">
        <f t="shared" ca="1" si="63"/>
        <v>72</v>
      </c>
      <c r="T353" s="3190">
        <f>面积表!A348</f>
        <v>0</v>
      </c>
    </row>
    <row r="354" spans="1:20">
      <c r="A354" s="3169" t="str">
        <f>面积表!D349</f>
        <v>1408</v>
      </c>
      <c r="B354" s="52">
        <f>面积表!E349</f>
        <v>49.62</v>
      </c>
      <c r="C354" s="21">
        <f t="shared" si="64"/>
        <v>1</v>
      </c>
      <c r="D354" s="2559" t="s">
        <v>4016</v>
      </c>
      <c r="E354" s="21">
        <f t="shared" si="65"/>
        <v>1</v>
      </c>
      <c r="F354" s="2559" t="s">
        <v>21</v>
      </c>
      <c r="G354" s="21">
        <f t="shared" si="66"/>
        <v>1</v>
      </c>
      <c r="H354" s="631">
        <v>3</v>
      </c>
      <c r="I354" s="21">
        <f t="shared" si="67"/>
        <v>1</v>
      </c>
      <c r="J354" s="631"/>
      <c r="K354" s="21">
        <f t="shared" si="68"/>
        <v>1</v>
      </c>
      <c r="L354" s="631"/>
      <c r="M354" s="21">
        <f t="shared" si="69"/>
        <v>1</v>
      </c>
      <c r="N354" s="631"/>
      <c r="O354" s="21">
        <f t="shared" si="70"/>
        <v>1</v>
      </c>
      <c r="P354" s="631" t="s">
        <v>3553</v>
      </c>
      <c r="Q354" s="21">
        <f t="shared" si="71"/>
        <v>1.02</v>
      </c>
      <c r="R354" s="21">
        <f t="shared" ca="1" si="72"/>
        <v>14433</v>
      </c>
      <c r="S354" s="307">
        <f t="shared" ca="1" si="63"/>
        <v>72</v>
      </c>
      <c r="T354" s="3190">
        <f>面积表!A349</f>
        <v>0</v>
      </c>
    </row>
    <row r="355" spans="1:20">
      <c r="A355" s="3169" t="str">
        <f>面积表!D350</f>
        <v>1409</v>
      </c>
      <c r="B355" s="52">
        <f>面积表!E350</f>
        <v>49.62</v>
      </c>
      <c r="C355" s="21">
        <f t="shared" si="64"/>
        <v>1</v>
      </c>
      <c r="D355" s="2559" t="s">
        <v>4016</v>
      </c>
      <c r="E355" s="21">
        <f t="shared" si="65"/>
        <v>1</v>
      </c>
      <c r="F355" s="2559" t="s">
        <v>21</v>
      </c>
      <c r="G355" s="21">
        <f t="shared" si="66"/>
        <v>1</v>
      </c>
      <c r="H355" s="631">
        <v>3</v>
      </c>
      <c r="I355" s="21">
        <f t="shared" si="67"/>
        <v>1</v>
      </c>
      <c r="J355" s="631"/>
      <c r="K355" s="21">
        <f t="shared" si="68"/>
        <v>1</v>
      </c>
      <c r="L355" s="631"/>
      <c r="M355" s="21">
        <f t="shared" si="69"/>
        <v>1</v>
      </c>
      <c r="N355" s="631"/>
      <c r="O355" s="21">
        <f t="shared" si="70"/>
        <v>1</v>
      </c>
      <c r="P355" s="631" t="s">
        <v>3553</v>
      </c>
      <c r="Q355" s="21">
        <f t="shared" si="71"/>
        <v>1.02</v>
      </c>
      <c r="R355" s="21">
        <f t="shared" ca="1" si="72"/>
        <v>14433</v>
      </c>
      <c r="S355" s="307">
        <f t="shared" ca="1" si="63"/>
        <v>72</v>
      </c>
      <c r="T355" s="3190">
        <f>面积表!A350</f>
        <v>0</v>
      </c>
    </row>
    <row r="356" spans="1:20">
      <c r="A356" s="3169" t="str">
        <f>面积表!D351</f>
        <v>1410</v>
      </c>
      <c r="B356" s="52">
        <f>面积表!E351</f>
        <v>49.62</v>
      </c>
      <c r="C356" s="21">
        <f t="shared" si="64"/>
        <v>1</v>
      </c>
      <c r="D356" s="2559" t="s">
        <v>4016</v>
      </c>
      <c r="E356" s="21">
        <f t="shared" si="65"/>
        <v>1</v>
      </c>
      <c r="F356" s="2559" t="s">
        <v>21</v>
      </c>
      <c r="G356" s="21">
        <f t="shared" si="66"/>
        <v>1</v>
      </c>
      <c r="H356" s="631">
        <v>3</v>
      </c>
      <c r="I356" s="21">
        <f t="shared" si="67"/>
        <v>1</v>
      </c>
      <c r="J356" s="631"/>
      <c r="K356" s="21">
        <f t="shared" si="68"/>
        <v>1</v>
      </c>
      <c r="L356" s="631"/>
      <c r="M356" s="21">
        <f t="shared" si="69"/>
        <v>1</v>
      </c>
      <c r="N356" s="631"/>
      <c r="O356" s="21">
        <f t="shared" si="70"/>
        <v>1</v>
      </c>
      <c r="P356" s="631" t="s">
        <v>3553</v>
      </c>
      <c r="Q356" s="21">
        <f t="shared" si="71"/>
        <v>1.02</v>
      </c>
      <c r="R356" s="21">
        <f t="shared" ca="1" si="72"/>
        <v>14433</v>
      </c>
      <c r="S356" s="307">
        <f t="shared" ca="1" si="63"/>
        <v>72</v>
      </c>
      <c r="T356" s="3190">
        <f>面积表!A351</f>
        <v>0</v>
      </c>
    </row>
    <row r="357" spans="1:20">
      <c r="A357" s="3169" t="str">
        <f>面积表!D352</f>
        <v>1411</v>
      </c>
      <c r="B357" s="52">
        <f>面积表!E352</f>
        <v>49.62</v>
      </c>
      <c r="C357" s="21">
        <f t="shared" si="64"/>
        <v>1</v>
      </c>
      <c r="D357" s="2559" t="s">
        <v>4016</v>
      </c>
      <c r="E357" s="21">
        <f t="shared" si="65"/>
        <v>1</v>
      </c>
      <c r="F357" s="2559" t="s">
        <v>21</v>
      </c>
      <c r="G357" s="21">
        <f t="shared" si="66"/>
        <v>1</v>
      </c>
      <c r="H357" s="631">
        <v>3</v>
      </c>
      <c r="I357" s="21">
        <f t="shared" si="67"/>
        <v>1</v>
      </c>
      <c r="J357" s="631"/>
      <c r="K357" s="21">
        <f t="shared" si="68"/>
        <v>1</v>
      </c>
      <c r="L357" s="631"/>
      <c r="M357" s="21">
        <f t="shared" si="69"/>
        <v>1</v>
      </c>
      <c r="N357" s="631"/>
      <c r="O357" s="21">
        <f t="shared" si="70"/>
        <v>1</v>
      </c>
      <c r="P357" s="631" t="s">
        <v>3553</v>
      </c>
      <c r="Q357" s="21">
        <f t="shared" si="71"/>
        <v>1.02</v>
      </c>
      <c r="R357" s="21">
        <f t="shared" ca="1" si="72"/>
        <v>14433</v>
      </c>
      <c r="S357" s="307">
        <f t="shared" ca="1" si="63"/>
        <v>72</v>
      </c>
      <c r="T357" s="3190">
        <f>面积表!A352</f>
        <v>0</v>
      </c>
    </row>
    <row r="358" spans="1:20">
      <c r="A358" s="3169" t="str">
        <f>面积表!D353</f>
        <v>1412</v>
      </c>
      <c r="B358" s="52">
        <f>面积表!E353</f>
        <v>49.62</v>
      </c>
      <c r="C358" s="21">
        <f t="shared" si="64"/>
        <v>1</v>
      </c>
      <c r="D358" s="2559" t="s">
        <v>4016</v>
      </c>
      <c r="E358" s="21">
        <f t="shared" si="65"/>
        <v>1</v>
      </c>
      <c r="F358" s="2559" t="s">
        <v>21</v>
      </c>
      <c r="G358" s="21">
        <f t="shared" si="66"/>
        <v>1</v>
      </c>
      <c r="H358" s="631">
        <v>3</v>
      </c>
      <c r="I358" s="21">
        <f t="shared" si="67"/>
        <v>1</v>
      </c>
      <c r="J358" s="631"/>
      <c r="K358" s="21">
        <f t="shared" si="68"/>
        <v>1</v>
      </c>
      <c r="L358" s="631"/>
      <c r="M358" s="21">
        <f t="shared" si="69"/>
        <v>1</v>
      </c>
      <c r="N358" s="631"/>
      <c r="O358" s="21">
        <f t="shared" si="70"/>
        <v>1</v>
      </c>
      <c r="P358" s="631" t="s">
        <v>3553</v>
      </c>
      <c r="Q358" s="21">
        <f t="shared" si="71"/>
        <v>1.02</v>
      </c>
      <c r="R358" s="21">
        <f t="shared" ca="1" si="72"/>
        <v>14433</v>
      </c>
      <c r="S358" s="307">
        <f t="shared" ca="1" si="63"/>
        <v>72</v>
      </c>
      <c r="T358" s="3190">
        <f>面积表!A353</f>
        <v>0</v>
      </c>
    </row>
    <row r="359" spans="1:20">
      <c r="A359" s="3169" t="str">
        <f>面积表!D354</f>
        <v>1413</v>
      </c>
      <c r="B359" s="52">
        <f>面积表!E354</f>
        <v>49.62</v>
      </c>
      <c r="C359" s="21">
        <f t="shared" si="64"/>
        <v>1</v>
      </c>
      <c r="D359" s="2559" t="s">
        <v>4016</v>
      </c>
      <c r="E359" s="21">
        <f t="shared" si="65"/>
        <v>1</v>
      </c>
      <c r="F359" s="2559" t="s">
        <v>21</v>
      </c>
      <c r="G359" s="21">
        <f t="shared" si="66"/>
        <v>1</v>
      </c>
      <c r="H359" s="631">
        <v>3</v>
      </c>
      <c r="I359" s="21">
        <f t="shared" si="67"/>
        <v>1</v>
      </c>
      <c r="J359" s="631"/>
      <c r="K359" s="21">
        <f t="shared" si="68"/>
        <v>1</v>
      </c>
      <c r="L359" s="631"/>
      <c r="M359" s="21">
        <f t="shared" si="69"/>
        <v>1</v>
      </c>
      <c r="N359" s="631"/>
      <c r="O359" s="21">
        <f t="shared" si="70"/>
        <v>1</v>
      </c>
      <c r="P359" s="631" t="s">
        <v>3553</v>
      </c>
      <c r="Q359" s="21">
        <f t="shared" si="71"/>
        <v>1.02</v>
      </c>
      <c r="R359" s="21">
        <f t="shared" ca="1" si="72"/>
        <v>14433</v>
      </c>
      <c r="S359" s="307">
        <f t="shared" ca="1" si="63"/>
        <v>72</v>
      </c>
      <c r="T359" s="3190">
        <f>面积表!A354</f>
        <v>0</v>
      </c>
    </row>
    <row r="360" spans="1:20">
      <c r="A360" s="3169" t="str">
        <f>面积表!D355</f>
        <v>1414</v>
      </c>
      <c r="B360" s="52">
        <f>面积表!E355</f>
        <v>49.62</v>
      </c>
      <c r="C360" s="21">
        <f t="shared" si="64"/>
        <v>1</v>
      </c>
      <c r="D360" s="2559" t="s">
        <v>4016</v>
      </c>
      <c r="E360" s="21">
        <f t="shared" si="65"/>
        <v>1</v>
      </c>
      <c r="F360" s="2559" t="s">
        <v>21</v>
      </c>
      <c r="G360" s="21">
        <f t="shared" si="66"/>
        <v>1</v>
      </c>
      <c r="H360" s="631">
        <v>3</v>
      </c>
      <c r="I360" s="21">
        <f t="shared" si="67"/>
        <v>1</v>
      </c>
      <c r="J360" s="631"/>
      <c r="K360" s="21">
        <f t="shared" si="68"/>
        <v>1</v>
      </c>
      <c r="L360" s="631"/>
      <c r="M360" s="21">
        <f t="shared" si="69"/>
        <v>1</v>
      </c>
      <c r="N360" s="631"/>
      <c r="O360" s="21">
        <f t="shared" si="70"/>
        <v>1</v>
      </c>
      <c r="P360" s="631" t="s">
        <v>3553</v>
      </c>
      <c r="Q360" s="21">
        <f t="shared" si="71"/>
        <v>1.02</v>
      </c>
      <c r="R360" s="21">
        <f t="shared" ca="1" si="72"/>
        <v>14433</v>
      </c>
      <c r="S360" s="307">
        <f t="shared" ca="1" si="63"/>
        <v>72</v>
      </c>
      <c r="T360" s="3190">
        <f>面积表!A355</f>
        <v>0</v>
      </c>
    </row>
    <row r="361" spans="1:20">
      <c r="A361" s="3169" t="str">
        <f>面积表!D356</f>
        <v>1415</v>
      </c>
      <c r="B361" s="52">
        <f>面积表!E356</f>
        <v>49.62</v>
      </c>
      <c r="C361" s="21">
        <f t="shared" si="64"/>
        <v>1</v>
      </c>
      <c r="D361" s="2559" t="s">
        <v>4016</v>
      </c>
      <c r="E361" s="21">
        <f t="shared" si="65"/>
        <v>1</v>
      </c>
      <c r="F361" s="2559" t="s">
        <v>21</v>
      </c>
      <c r="G361" s="21">
        <f t="shared" si="66"/>
        <v>1</v>
      </c>
      <c r="H361" s="631">
        <v>3</v>
      </c>
      <c r="I361" s="21">
        <f t="shared" si="67"/>
        <v>1</v>
      </c>
      <c r="J361" s="631"/>
      <c r="K361" s="21">
        <f t="shared" si="68"/>
        <v>1</v>
      </c>
      <c r="L361" s="631"/>
      <c r="M361" s="21">
        <f t="shared" si="69"/>
        <v>1</v>
      </c>
      <c r="N361" s="631"/>
      <c r="O361" s="21">
        <f t="shared" si="70"/>
        <v>1</v>
      </c>
      <c r="P361" s="631" t="s">
        <v>3553</v>
      </c>
      <c r="Q361" s="21">
        <f t="shared" si="71"/>
        <v>1.02</v>
      </c>
      <c r="R361" s="21">
        <f t="shared" ca="1" si="72"/>
        <v>14433</v>
      </c>
      <c r="S361" s="307">
        <f t="shared" ca="1" si="63"/>
        <v>72</v>
      </c>
      <c r="T361" s="3190">
        <f>面积表!A356</f>
        <v>0</v>
      </c>
    </row>
    <row r="362" spans="1:20">
      <c r="A362" s="3169" t="str">
        <f>面积表!D357</f>
        <v>1416</v>
      </c>
      <c r="B362" s="52">
        <f>面积表!E357</f>
        <v>68.78</v>
      </c>
      <c r="C362" s="21">
        <f t="shared" si="64"/>
        <v>1.01</v>
      </c>
      <c r="D362" s="2559" t="s">
        <v>4016</v>
      </c>
      <c r="E362" s="21">
        <f t="shared" si="65"/>
        <v>1</v>
      </c>
      <c r="F362" s="2559" t="s">
        <v>21</v>
      </c>
      <c r="G362" s="21">
        <f t="shared" si="66"/>
        <v>1</v>
      </c>
      <c r="H362" s="631">
        <v>3</v>
      </c>
      <c r="I362" s="21">
        <f t="shared" si="67"/>
        <v>1</v>
      </c>
      <c r="J362" s="631"/>
      <c r="K362" s="21">
        <f t="shared" si="68"/>
        <v>1</v>
      </c>
      <c r="L362" s="631"/>
      <c r="M362" s="21">
        <f t="shared" si="69"/>
        <v>1</v>
      </c>
      <c r="N362" s="631"/>
      <c r="O362" s="21">
        <f t="shared" si="70"/>
        <v>1</v>
      </c>
      <c r="P362" s="631" t="s">
        <v>3553</v>
      </c>
      <c r="Q362" s="21">
        <f t="shared" si="71"/>
        <v>1.02</v>
      </c>
      <c r="R362" s="21">
        <f t="shared" ca="1" si="72"/>
        <v>14577</v>
      </c>
      <c r="S362" s="307">
        <f t="shared" ca="1" si="63"/>
        <v>100</v>
      </c>
      <c r="T362" s="3190">
        <f>面积表!A357</f>
        <v>0</v>
      </c>
    </row>
    <row r="363" spans="1:20">
      <c r="A363" s="3169" t="str">
        <f>面积表!D358</f>
        <v>1417</v>
      </c>
      <c r="B363" s="52">
        <f>面积表!E358</f>
        <v>38.1</v>
      </c>
      <c r="C363" s="21">
        <f t="shared" si="64"/>
        <v>1</v>
      </c>
      <c r="D363" s="2559" t="s">
        <v>4016</v>
      </c>
      <c r="E363" s="21">
        <f t="shared" si="65"/>
        <v>1</v>
      </c>
      <c r="F363" s="2559" t="s">
        <v>21</v>
      </c>
      <c r="G363" s="21">
        <f t="shared" si="66"/>
        <v>1</v>
      </c>
      <c r="H363" s="631">
        <v>3</v>
      </c>
      <c r="I363" s="21">
        <f t="shared" si="67"/>
        <v>1</v>
      </c>
      <c r="J363" s="631"/>
      <c r="K363" s="21">
        <f t="shared" si="68"/>
        <v>1</v>
      </c>
      <c r="L363" s="631"/>
      <c r="M363" s="21">
        <f t="shared" si="69"/>
        <v>1</v>
      </c>
      <c r="N363" s="631"/>
      <c r="O363" s="21">
        <f t="shared" si="70"/>
        <v>1</v>
      </c>
      <c r="P363" s="631" t="s">
        <v>3553</v>
      </c>
      <c r="Q363" s="21">
        <f t="shared" si="71"/>
        <v>1.02</v>
      </c>
      <c r="R363" s="21">
        <f t="shared" ca="1" si="72"/>
        <v>14433</v>
      </c>
      <c r="S363" s="307">
        <f t="shared" ca="1" si="63"/>
        <v>55</v>
      </c>
      <c r="T363" s="3190">
        <f>面积表!A358</f>
        <v>0</v>
      </c>
    </row>
    <row r="364" spans="1:20">
      <c r="A364" s="3169" t="str">
        <f>面积表!D359</f>
        <v>1418</v>
      </c>
      <c r="B364" s="52">
        <f>面积表!E359</f>
        <v>41.4</v>
      </c>
      <c r="C364" s="21">
        <f t="shared" si="64"/>
        <v>1</v>
      </c>
      <c r="D364" s="2559" t="s">
        <v>4016</v>
      </c>
      <c r="E364" s="21">
        <f t="shared" si="65"/>
        <v>1</v>
      </c>
      <c r="F364" s="2559" t="s">
        <v>21</v>
      </c>
      <c r="G364" s="21">
        <f t="shared" si="66"/>
        <v>1</v>
      </c>
      <c r="H364" s="631">
        <v>3</v>
      </c>
      <c r="I364" s="21">
        <f t="shared" si="67"/>
        <v>1</v>
      </c>
      <c r="J364" s="631"/>
      <c r="K364" s="21">
        <f t="shared" si="68"/>
        <v>1</v>
      </c>
      <c r="L364" s="631"/>
      <c r="M364" s="21">
        <f t="shared" si="69"/>
        <v>1</v>
      </c>
      <c r="N364" s="631"/>
      <c r="O364" s="21">
        <f t="shared" si="70"/>
        <v>1</v>
      </c>
      <c r="P364" s="631" t="s">
        <v>3553</v>
      </c>
      <c r="Q364" s="21">
        <f t="shared" si="71"/>
        <v>1.02</v>
      </c>
      <c r="R364" s="21">
        <f t="shared" ca="1" si="72"/>
        <v>14433</v>
      </c>
      <c r="S364" s="307">
        <f t="shared" ca="1" si="63"/>
        <v>60</v>
      </c>
      <c r="T364" s="3190">
        <f>面积表!A359</f>
        <v>0</v>
      </c>
    </row>
    <row r="365" spans="1:20">
      <c r="A365" s="3169" t="str">
        <f>面积表!D360</f>
        <v>1419</v>
      </c>
      <c r="B365" s="52">
        <f>面积表!E360</f>
        <v>44.09</v>
      </c>
      <c r="C365" s="21">
        <f t="shared" si="64"/>
        <v>1</v>
      </c>
      <c r="D365" s="2559" t="s">
        <v>4016</v>
      </c>
      <c r="E365" s="21">
        <f t="shared" si="65"/>
        <v>1</v>
      </c>
      <c r="F365" s="2559" t="s">
        <v>21</v>
      </c>
      <c r="G365" s="21">
        <f t="shared" si="66"/>
        <v>1</v>
      </c>
      <c r="H365" s="631">
        <v>3</v>
      </c>
      <c r="I365" s="21">
        <f t="shared" si="67"/>
        <v>1</v>
      </c>
      <c r="J365" s="631"/>
      <c r="K365" s="21">
        <f t="shared" si="68"/>
        <v>1</v>
      </c>
      <c r="L365" s="631"/>
      <c r="M365" s="21">
        <f t="shared" si="69"/>
        <v>1</v>
      </c>
      <c r="N365" s="631"/>
      <c r="O365" s="21">
        <f t="shared" si="70"/>
        <v>1</v>
      </c>
      <c r="P365" s="631" t="s">
        <v>3553</v>
      </c>
      <c r="Q365" s="21">
        <f t="shared" si="71"/>
        <v>1.02</v>
      </c>
      <c r="R365" s="21">
        <f t="shared" ca="1" si="72"/>
        <v>14433</v>
      </c>
      <c r="S365" s="307">
        <f t="shared" ca="1" si="63"/>
        <v>64</v>
      </c>
      <c r="T365" s="3190">
        <f>面积表!A360</f>
        <v>0</v>
      </c>
    </row>
    <row r="366" spans="1:20">
      <c r="A366" s="3169" t="str">
        <f>面积表!D361</f>
        <v>1420</v>
      </c>
      <c r="B366" s="52">
        <f>面积表!E361</f>
        <v>46.17</v>
      </c>
      <c r="C366" s="21">
        <f t="shared" si="64"/>
        <v>1</v>
      </c>
      <c r="D366" s="2559" t="s">
        <v>4016</v>
      </c>
      <c r="E366" s="21">
        <f t="shared" si="65"/>
        <v>1</v>
      </c>
      <c r="F366" s="2559" t="s">
        <v>21</v>
      </c>
      <c r="G366" s="21">
        <f t="shared" si="66"/>
        <v>1</v>
      </c>
      <c r="H366" s="631">
        <v>3</v>
      </c>
      <c r="I366" s="21">
        <f t="shared" si="67"/>
        <v>1</v>
      </c>
      <c r="J366" s="631"/>
      <c r="K366" s="21">
        <f t="shared" si="68"/>
        <v>1</v>
      </c>
      <c r="L366" s="631"/>
      <c r="M366" s="21">
        <f t="shared" si="69"/>
        <v>1</v>
      </c>
      <c r="N366" s="631"/>
      <c r="O366" s="21">
        <f t="shared" si="70"/>
        <v>1</v>
      </c>
      <c r="P366" s="631" t="s">
        <v>3553</v>
      </c>
      <c r="Q366" s="21">
        <f t="shared" si="71"/>
        <v>1.02</v>
      </c>
      <c r="R366" s="21">
        <f t="shared" ca="1" si="72"/>
        <v>14433</v>
      </c>
      <c r="S366" s="307">
        <f t="shared" ca="1" si="63"/>
        <v>67</v>
      </c>
      <c r="T366" s="3190">
        <f>面积表!A361</f>
        <v>0</v>
      </c>
    </row>
    <row r="367" spans="1:20">
      <c r="A367" s="3169" t="str">
        <f>面积表!D362</f>
        <v>1421</v>
      </c>
      <c r="B367" s="52">
        <f>面积表!E362</f>
        <v>47.65</v>
      </c>
      <c r="C367" s="21">
        <f t="shared" si="64"/>
        <v>1</v>
      </c>
      <c r="D367" s="2559" t="s">
        <v>4016</v>
      </c>
      <c r="E367" s="21">
        <f t="shared" si="65"/>
        <v>1</v>
      </c>
      <c r="F367" s="2559" t="s">
        <v>21</v>
      </c>
      <c r="G367" s="21">
        <f t="shared" si="66"/>
        <v>1</v>
      </c>
      <c r="H367" s="631">
        <v>3</v>
      </c>
      <c r="I367" s="21">
        <f t="shared" si="67"/>
        <v>1</v>
      </c>
      <c r="J367" s="631"/>
      <c r="K367" s="21">
        <f t="shared" si="68"/>
        <v>1</v>
      </c>
      <c r="L367" s="631"/>
      <c r="M367" s="21">
        <f t="shared" si="69"/>
        <v>1</v>
      </c>
      <c r="N367" s="631"/>
      <c r="O367" s="21">
        <f t="shared" si="70"/>
        <v>1</v>
      </c>
      <c r="P367" s="631" t="s">
        <v>3553</v>
      </c>
      <c r="Q367" s="21">
        <f t="shared" si="71"/>
        <v>1.02</v>
      </c>
      <c r="R367" s="21">
        <f t="shared" ca="1" si="72"/>
        <v>14433</v>
      </c>
      <c r="S367" s="307">
        <f t="shared" ca="1" si="63"/>
        <v>69</v>
      </c>
      <c r="T367" s="3190">
        <f>面积表!A362</f>
        <v>0</v>
      </c>
    </row>
    <row r="368" spans="1:20">
      <c r="A368" s="3169" t="str">
        <f>面积表!D363</f>
        <v>1422</v>
      </c>
      <c r="B368" s="52">
        <f>面积表!E363</f>
        <v>48.6</v>
      </c>
      <c r="C368" s="21">
        <f t="shared" si="64"/>
        <v>1</v>
      </c>
      <c r="D368" s="2559" t="s">
        <v>4016</v>
      </c>
      <c r="E368" s="21">
        <f t="shared" si="65"/>
        <v>1</v>
      </c>
      <c r="F368" s="2559" t="s">
        <v>21</v>
      </c>
      <c r="G368" s="21">
        <f t="shared" si="66"/>
        <v>1</v>
      </c>
      <c r="H368" s="631">
        <v>3</v>
      </c>
      <c r="I368" s="21">
        <f t="shared" si="67"/>
        <v>1</v>
      </c>
      <c r="J368" s="631"/>
      <c r="K368" s="21">
        <f t="shared" si="68"/>
        <v>1</v>
      </c>
      <c r="L368" s="631"/>
      <c r="M368" s="21">
        <f t="shared" si="69"/>
        <v>1</v>
      </c>
      <c r="N368" s="631"/>
      <c r="O368" s="21">
        <f t="shared" si="70"/>
        <v>1</v>
      </c>
      <c r="P368" s="631" t="s">
        <v>3553</v>
      </c>
      <c r="Q368" s="21">
        <f t="shared" si="71"/>
        <v>1.02</v>
      </c>
      <c r="R368" s="21">
        <f t="shared" ca="1" si="72"/>
        <v>14433</v>
      </c>
      <c r="S368" s="307">
        <f t="shared" ca="1" si="63"/>
        <v>70</v>
      </c>
      <c r="T368" s="3190">
        <f>面积表!A363</f>
        <v>0</v>
      </c>
    </row>
    <row r="369" spans="1:20">
      <c r="A369" s="3169" t="str">
        <f>面积表!D364</f>
        <v>1423</v>
      </c>
      <c r="B369" s="52">
        <f>面积表!E364</f>
        <v>48.89</v>
      </c>
      <c r="C369" s="21">
        <f t="shared" si="64"/>
        <v>1</v>
      </c>
      <c r="D369" s="2559" t="s">
        <v>4016</v>
      </c>
      <c r="E369" s="21">
        <f t="shared" si="65"/>
        <v>1</v>
      </c>
      <c r="F369" s="2559" t="s">
        <v>21</v>
      </c>
      <c r="G369" s="21">
        <f t="shared" si="66"/>
        <v>1</v>
      </c>
      <c r="H369" s="631">
        <v>3</v>
      </c>
      <c r="I369" s="21">
        <f t="shared" si="67"/>
        <v>1</v>
      </c>
      <c r="J369" s="631"/>
      <c r="K369" s="21">
        <f t="shared" si="68"/>
        <v>1</v>
      </c>
      <c r="L369" s="631"/>
      <c r="M369" s="21">
        <f t="shared" si="69"/>
        <v>1</v>
      </c>
      <c r="N369" s="631"/>
      <c r="O369" s="21">
        <f t="shared" si="70"/>
        <v>1</v>
      </c>
      <c r="P369" s="631" t="s">
        <v>3553</v>
      </c>
      <c r="Q369" s="21">
        <f t="shared" si="71"/>
        <v>1.02</v>
      </c>
      <c r="R369" s="21">
        <f t="shared" ca="1" si="72"/>
        <v>14433</v>
      </c>
      <c r="S369" s="307">
        <f t="shared" ca="1" si="63"/>
        <v>71</v>
      </c>
      <c r="T369" s="3190">
        <f>面积表!A364</f>
        <v>0</v>
      </c>
    </row>
    <row r="370" spans="1:20">
      <c r="A370" s="3169" t="str">
        <f>面积表!D365</f>
        <v>1424</v>
      </c>
      <c r="B370" s="52">
        <f>面积表!E365</f>
        <v>48.59</v>
      </c>
      <c r="C370" s="21">
        <f t="shared" si="64"/>
        <v>1</v>
      </c>
      <c r="D370" s="2559" t="s">
        <v>4016</v>
      </c>
      <c r="E370" s="21">
        <f t="shared" si="65"/>
        <v>1</v>
      </c>
      <c r="F370" s="2559" t="s">
        <v>21</v>
      </c>
      <c r="G370" s="21">
        <f t="shared" si="66"/>
        <v>1</v>
      </c>
      <c r="H370" s="631">
        <v>3</v>
      </c>
      <c r="I370" s="21">
        <f t="shared" si="67"/>
        <v>1</v>
      </c>
      <c r="J370" s="631"/>
      <c r="K370" s="21">
        <f t="shared" si="68"/>
        <v>1</v>
      </c>
      <c r="L370" s="631"/>
      <c r="M370" s="21">
        <f t="shared" si="69"/>
        <v>1</v>
      </c>
      <c r="N370" s="631"/>
      <c r="O370" s="21">
        <f t="shared" si="70"/>
        <v>1</v>
      </c>
      <c r="P370" s="631" t="s">
        <v>3553</v>
      </c>
      <c r="Q370" s="21">
        <f t="shared" si="71"/>
        <v>1.02</v>
      </c>
      <c r="R370" s="21">
        <f t="shared" ca="1" si="72"/>
        <v>14433</v>
      </c>
      <c r="S370" s="307">
        <f t="shared" ca="1" si="63"/>
        <v>70</v>
      </c>
      <c r="T370" s="3190">
        <f>面积表!A365</f>
        <v>0</v>
      </c>
    </row>
    <row r="371" spans="1:20">
      <c r="A371" s="3169" t="str">
        <f>面积表!D366</f>
        <v>1425</v>
      </c>
      <c r="B371" s="52">
        <f>面积表!E366</f>
        <v>47.73</v>
      </c>
      <c r="C371" s="21">
        <f t="shared" si="64"/>
        <v>1</v>
      </c>
      <c r="D371" s="2559" t="s">
        <v>4016</v>
      </c>
      <c r="E371" s="21">
        <f t="shared" si="65"/>
        <v>1</v>
      </c>
      <c r="F371" s="2559" t="s">
        <v>21</v>
      </c>
      <c r="G371" s="21">
        <f t="shared" si="66"/>
        <v>1</v>
      </c>
      <c r="H371" s="631">
        <v>3</v>
      </c>
      <c r="I371" s="21">
        <f t="shared" si="67"/>
        <v>1</v>
      </c>
      <c r="J371" s="631"/>
      <c r="K371" s="21">
        <f t="shared" si="68"/>
        <v>1</v>
      </c>
      <c r="L371" s="631"/>
      <c r="M371" s="21">
        <f t="shared" si="69"/>
        <v>1</v>
      </c>
      <c r="N371" s="631"/>
      <c r="O371" s="21">
        <f t="shared" si="70"/>
        <v>1</v>
      </c>
      <c r="P371" s="631" t="s">
        <v>3553</v>
      </c>
      <c r="Q371" s="21">
        <f t="shared" si="71"/>
        <v>1.02</v>
      </c>
      <c r="R371" s="21">
        <f t="shared" ca="1" si="72"/>
        <v>14433</v>
      </c>
      <c r="S371" s="307">
        <f t="shared" ca="1" si="63"/>
        <v>69</v>
      </c>
      <c r="T371" s="3190">
        <f>面积表!A366</f>
        <v>0</v>
      </c>
    </row>
    <row r="372" spans="1:20">
      <c r="A372" s="3169" t="str">
        <f>面积表!D367</f>
        <v>1426</v>
      </c>
      <c r="B372" s="52">
        <f>面积表!E367</f>
        <v>70.2</v>
      </c>
      <c r="C372" s="21">
        <f t="shared" si="64"/>
        <v>1.01</v>
      </c>
      <c r="D372" s="2559" t="s">
        <v>4016</v>
      </c>
      <c r="E372" s="21">
        <f t="shared" si="65"/>
        <v>1</v>
      </c>
      <c r="F372" s="2559" t="s">
        <v>21</v>
      </c>
      <c r="G372" s="21">
        <f t="shared" si="66"/>
        <v>1</v>
      </c>
      <c r="H372" s="631">
        <v>3</v>
      </c>
      <c r="I372" s="21">
        <f t="shared" si="67"/>
        <v>1</v>
      </c>
      <c r="J372" s="631"/>
      <c r="K372" s="21">
        <f t="shared" si="68"/>
        <v>1</v>
      </c>
      <c r="L372" s="631"/>
      <c r="M372" s="21">
        <f t="shared" si="69"/>
        <v>1</v>
      </c>
      <c r="N372" s="631"/>
      <c r="O372" s="21">
        <f t="shared" si="70"/>
        <v>1</v>
      </c>
      <c r="P372" s="631" t="s">
        <v>3553</v>
      </c>
      <c r="Q372" s="21">
        <f t="shared" si="71"/>
        <v>1.02</v>
      </c>
      <c r="R372" s="21">
        <f t="shared" ca="1" si="72"/>
        <v>14577</v>
      </c>
      <c r="S372" s="307">
        <f t="shared" ca="1" si="63"/>
        <v>102</v>
      </c>
      <c r="T372" s="3190">
        <f>面积表!A367</f>
        <v>0</v>
      </c>
    </row>
    <row r="373" spans="1:20">
      <c r="A373" s="3169" t="str">
        <f>面积表!D368</f>
        <v>1501</v>
      </c>
      <c r="B373" s="52">
        <f>面积表!E368</f>
        <v>51.46</v>
      </c>
      <c r="C373" s="21">
        <f t="shared" si="64"/>
        <v>1</v>
      </c>
      <c r="D373" s="2559" t="s">
        <v>4016</v>
      </c>
      <c r="E373" s="21">
        <f t="shared" si="65"/>
        <v>1</v>
      </c>
      <c r="F373" s="2559" t="s">
        <v>21</v>
      </c>
      <c r="G373" s="21">
        <f t="shared" si="66"/>
        <v>1</v>
      </c>
      <c r="H373" s="631">
        <v>3</v>
      </c>
      <c r="I373" s="21">
        <f t="shared" si="67"/>
        <v>1</v>
      </c>
      <c r="J373" s="631"/>
      <c r="K373" s="21">
        <f t="shared" si="68"/>
        <v>1</v>
      </c>
      <c r="L373" s="631"/>
      <c r="M373" s="21">
        <f t="shared" si="69"/>
        <v>1</v>
      </c>
      <c r="N373" s="631"/>
      <c r="O373" s="21">
        <f t="shared" si="70"/>
        <v>1</v>
      </c>
      <c r="P373" s="631" t="s">
        <v>3553</v>
      </c>
      <c r="Q373" s="21">
        <f t="shared" si="71"/>
        <v>1.02</v>
      </c>
      <c r="R373" s="21">
        <f t="shared" ca="1" si="72"/>
        <v>14433</v>
      </c>
      <c r="S373" s="307">
        <f t="shared" ca="1" si="63"/>
        <v>74</v>
      </c>
      <c r="T373" s="3190">
        <f>面积表!A368</f>
        <v>0</v>
      </c>
    </row>
    <row r="374" spans="1:20">
      <c r="A374" s="3169" t="str">
        <f>面积表!D369</f>
        <v>1502</v>
      </c>
      <c r="B374" s="52">
        <f>面积表!E369</f>
        <v>49.62</v>
      </c>
      <c r="C374" s="21">
        <f t="shared" si="64"/>
        <v>1</v>
      </c>
      <c r="D374" s="2559" t="s">
        <v>4016</v>
      </c>
      <c r="E374" s="21">
        <f t="shared" si="65"/>
        <v>1</v>
      </c>
      <c r="F374" s="2559" t="s">
        <v>21</v>
      </c>
      <c r="G374" s="21">
        <f t="shared" si="66"/>
        <v>1</v>
      </c>
      <c r="H374" s="631">
        <v>3</v>
      </c>
      <c r="I374" s="21">
        <f t="shared" si="67"/>
        <v>1</v>
      </c>
      <c r="J374" s="631"/>
      <c r="K374" s="21">
        <f t="shared" si="68"/>
        <v>1</v>
      </c>
      <c r="L374" s="631"/>
      <c r="M374" s="21">
        <f t="shared" si="69"/>
        <v>1</v>
      </c>
      <c r="N374" s="631"/>
      <c r="O374" s="21">
        <f t="shared" si="70"/>
        <v>1</v>
      </c>
      <c r="P374" s="631" t="s">
        <v>3553</v>
      </c>
      <c r="Q374" s="21">
        <f t="shared" si="71"/>
        <v>1.02</v>
      </c>
      <c r="R374" s="21">
        <f t="shared" ca="1" si="72"/>
        <v>14433</v>
      </c>
      <c r="S374" s="307">
        <f t="shared" ca="1" si="63"/>
        <v>72</v>
      </c>
      <c r="T374" s="3190">
        <f>面积表!A369</f>
        <v>0</v>
      </c>
    </row>
    <row r="375" spans="1:20">
      <c r="A375" s="3169" t="str">
        <f>面积表!D370</f>
        <v>1503</v>
      </c>
      <c r="B375" s="52">
        <f>面积表!E370</f>
        <v>49.62</v>
      </c>
      <c r="C375" s="21">
        <f t="shared" si="64"/>
        <v>1</v>
      </c>
      <c r="D375" s="2559" t="s">
        <v>4016</v>
      </c>
      <c r="E375" s="21">
        <f t="shared" si="65"/>
        <v>1</v>
      </c>
      <c r="F375" s="2559" t="s">
        <v>21</v>
      </c>
      <c r="G375" s="21">
        <f t="shared" si="66"/>
        <v>1</v>
      </c>
      <c r="H375" s="631">
        <v>3</v>
      </c>
      <c r="I375" s="21">
        <f t="shared" si="67"/>
        <v>1</v>
      </c>
      <c r="J375" s="631"/>
      <c r="K375" s="21">
        <f t="shared" si="68"/>
        <v>1</v>
      </c>
      <c r="L375" s="631"/>
      <c r="M375" s="21">
        <f t="shared" si="69"/>
        <v>1</v>
      </c>
      <c r="N375" s="631"/>
      <c r="O375" s="21">
        <f t="shared" si="70"/>
        <v>1</v>
      </c>
      <c r="P375" s="631" t="s">
        <v>3553</v>
      </c>
      <c r="Q375" s="21">
        <f t="shared" si="71"/>
        <v>1.02</v>
      </c>
      <c r="R375" s="21">
        <f t="shared" ca="1" si="72"/>
        <v>14433</v>
      </c>
      <c r="S375" s="307">
        <f t="shared" ca="1" si="63"/>
        <v>72</v>
      </c>
      <c r="T375" s="3190">
        <f>面积表!A370</f>
        <v>0</v>
      </c>
    </row>
    <row r="376" spans="1:20">
      <c r="A376" s="3169" t="str">
        <f>面积表!D371</f>
        <v>1504</v>
      </c>
      <c r="B376" s="52">
        <f>面积表!E371</f>
        <v>49.62</v>
      </c>
      <c r="C376" s="21">
        <f t="shared" si="64"/>
        <v>1</v>
      </c>
      <c r="D376" s="2559" t="s">
        <v>4016</v>
      </c>
      <c r="E376" s="21">
        <f t="shared" si="65"/>
        <v>1</v>
      </c>
      <c r="F376" s="2559" t="s">
        <v>21</v>
      </c>
      <c r="G376" s="21">
        <f t="shared" si="66"/>
        <v>1</v>
      </c>
      <c r="H376" s="631">
        <v>3</v>
      </c>
      <c r="I376" s="21">
        <f t="shared" si="67"/>
        <v>1</v>
      </c>
      <c r="J376" s="631"/>
      <c r="K376" s="21">
        <f t="shared" si="68"/>
        <v>1</v>
      </c>
      <c r="L376" s="631"/>
      <c r="M376" s="21">
        <f t="shared" si="69"/>
        <v>1</v>
      </c>
      <c r="N376" s="631"/>
      <c r="O376" s="21">
        <f t="shared" si="70"/>
        <v>1</v>
      </c>
      <c r="P376" s="631" t="s">
        <v>3553</v>
      </c>
      <c r="Q376" s="21">
        <f t="shared" si="71"/>
        <v>1.02</v>
      </c>
      <c r="R376" s="21">
        <f t="shared" ca="1" si="72"/>
        <v>14433</v>
      </c>
      <c r="S376" s="307">
        <f t="shared" ca="1" si="63"/>
        <v>72</v>
      </c>
      <c r="T376" s="3190">
        <f>面积表!A371</f>
        <v>0</v>
      </c>
    </row>
    <row r="377" spans="1:20">
      <c r="A377" s="3169" t="str">
        <f>面积表!D372</f>
        <v>1505</v>
      </c>
      <c r="B377" s="52">
        <f>面积表!E372</f>
        <v>49.62</v>
      </c>
      <c r="C377" s="21">
        <f t="shared" si="64"/>
        <v>1</v>
      </c>
      <c r="D377" s="2559" t="s">
        <v>4016</v>
      </c>
      <c r="E377" s="21">
        <f t="shared" si="65"/>
        <v>1</v>
      </c>
      <c r="F377" s="2559" t="s">
        <v>21</v>
      </c>
      <c r="G377" s="21">
        <f t="shared" si="66"/>
        <v>1</v>
      </c>
      <c r="H377" s="631">
        <v>3</v>
      </c>
      <c r="I377" s="21">
        <f t="shared" si="67"/>
        <v>1</v>
      </c>
      <c r="J377" s="631"/>
      <c r="K377" s="21">
        <f t="shared" si="68"/>
        <v>1</v>
      </c>
      <c r="L377" s="631"/>
      <c r="M377" s="21">
        <f t="shared" si="69"/>
        <v>1</v>
      </c>
      <c r="N377" s="631"/>
      <c r="O377" s="21">
        <f t="shared" si="70"/>
        <v>1</v>
      </c>
      <c r="P377" s="631" t="s">
        <v>3553</v>
      </c>
      <c r="Q377" s="21">
        <f t="shared" si="71"/>
        <v>1.02</v>
      </c>
      <c r="R377" s="21">
        <f t="shared" ca="1" si="72"/>
        <v>14433</v>
      </c>
      <c r="S377" s="307">
        <f t="shared" ca="1" si="63"/>
        <v>72</v>
      </c>
      <c r="T377" s="3190">
        <f>面积表!A372</f>
        <v>0</v>
      </c>
    </row>
    <row r="378" spans="1:20">
      <c r="A378" s="3169" t="str">
        <f>面积表!D373</f>
        <v>1506</v>
      </c>
      <c r="B378" s="52">
        <f>面积表!E373</f>
        <v>49.62</v>
      </c>
      <c r="C378" s="21">
        <f t="shared" si="64"/>
        <v>1</v>
      </c>
      <c r="D378" s="2559" t="s">
        <v>4016</v>
      </c>
      <c r="E378" s="21">
        <f t="shared" si="65"/>
        <v>1</v>
      </c>
      <c r="F378" s="2559" t="s">
        <v>21</v>
      </c>
      <c r="G378" s="21">
        <f t="shared" si="66"/>
        <v>1</v>
      </c>
      <c r="H378" s="631">
        <v>3</v>
      </c>
      <c r="I378" s="21">
        <f t="shared" si="67"/>
        <v>1</v>
      </c>
      <c r="J378" s="631"/>
      <c r="K378" s="21">
        <f t="shared" si="68"/>
        <v>1</v>
      </c>
      <c r="L378" s="631"/>
      <c r="M378" s="21">
        <f t="shared" si="69"/>
        <v>1</v>
      </c>
      <c r="N378" s="631"/>
      <c r="O378" s="21">
        <f t="shared" si="70"/>
        <v>1</v>
      </c>
      <c r="P378" s="631" t="s">
        <v>3553</v>
      </c>
      <c r="Q378" s="21">
        <f t="shared" si="71"/>
        <v>1.02</v>
      </c>
      <c r="R378" s="21">
        <f t="shared" ca="1" si="72"/>
        <v>14433</v>
      </c>
      <c r="S378" s="307">
        <f t="shared" ca="1" si="63"/>
        <v>72</v>
      </c>
      <c r="T378" s="3190">
        <f>面积表!A373</f>
        <v>0</v>
      </c>
    </row>
    <row r="379" spans="1:20">
      <c r="A379" s="3169" t="str">
        <f>面积表!D374</f>
        <v>1507</v>
      </c>
      <c r="B379" s="52">
        <f>面积表!E374</f>
        <v>49.62</v>
      </c>
      <c r="C379" s="21">
        <f t="shared" si="64"/>
        <v>1</v>
      </c>
      <c r="D379" s="2559" t="s">
        <v>4016</v>
      </c>
      <c r="E379" s="21">
        <f t="shared" si="65"/>
        <v>1</v>
      </c>
      <c r="F379" s="2559" t="s">
        <v>21</v>
      </c>
      <c r="G379" s="21">
        <f t="shared" si="66"/>
        <v>1</v>
      </c>
      <c r="H379" s="631">
        <v>3</v>
      </c>
      <c r="I379" s="21">
        <f t="shared" si="67"/>
        <v>1</v>
      </c>
      <c r="J379" s="631"/>
      <c r="K379" s="21">
        <f t="shared" si="68"/>
        <v>1</v>
      </c>
      <c r="L379" s="631"/>
      <c r="M379" s="21">
        <f t="shared" si="69"/>
        <v>1</v>
      </c>
      <c r="N379" s="631"/>
      <c r="O379" s="21">
        <f t="shared" si="70"/>
        <v>1</v>
      </c>
      <c r="P379" s="631" t="s">
        <v>3553</v>
      </c>
      <c r="Q379" s="21">
        <f t="shared" si="71"/>
        <v>1.02</v>
      </c>
      <c r="R379" s="21">
        <f t="shared" ca="1" si="72"/>
        <v>14433</v>
      </c>
      <c r="S379" s="307">
        <f t="shared" ca="1" si="63"/>
        <v>72</v>
      </c>
      <c r="T379" s="3190">
        <f>面积表!A374</f>
        <v>0</v>
      </c>
    </row>
    <row r="380" spans="1:20">
      <c r="A380" s="3169" t="str">
        <f>面积表!D375</f>
        <v>1508</v>
      </c>
      <c r="B380" s="52">
        <f>面积表!E375</f>
        <v>49.62</v>
      </c>
      <c r="C380" s="21">
        <f t="shared" si="64"/>
        <v>1</v>
      </c>
      <c r="D380" s="2559" t="s">
        <v>4016</v>
      </c>
      <c r="E380" s="21">
        <f t="shared" si="65"/>
        <v>1</v>
      </c>
      <c r="F380" s="2559" t="s">
        <v>21</v>
      </c>
      <c r="G380" s="21">
        <f t="shared" si="66"/>
        <v>1</v>
      </c>
      <c r="H380" s="631">
        <v>3</v>
      </c>
      <c r="I380" s="21">
        <f t="shared" si="67"/>
        <v>1</v>
      </c>
      <c r="J380" s="631"/>
      <c r="K380" s="21">
        <f t="shared" si="68"/>
        <v>1</v>
      </c>
      <c r="L380" s="631"/>
      <c r="M380" s="21">
        <f t="shared" si="69"/>
        <v>1</v>
      </c>
      <c r="N380" s="631"/>
      <c r="O380" s="21">
        <f t="shared" si="70"/>
        <v>1</v>
      </c>
      <c r="P380" s="631" t="s">
        <v>3553</v>
      </c>
      <c r="Q380" s="21">
        <f t="shared" si="71"/>
        <v>1.02</v>
      </c>
      <c r="R380" s="21">
        <f t="shared" ca="1" si="72"/>
        <v>14433</v>
      </c>
      <c r="S380" s="307">
        <f t="shared" ca="1" si="63"/>
        <v>72</v>
      </c>
      <c r="T380" s="3190">
        <f>面积表!A375</f>
        <v>0</v>
      </c>
    </row>
    <row r="381" spans="1:20">
      <c r="A381" s="3169" t="str">
        <f>面积表!D376</f>
        <v>1509</v>
      </c>
      <c r="B381" s="52">
        <f>面积表!E376</f>
        <v>49.62</v>
      </c>
      <c r="C381" s="21">
        <f t="shared" si="64"/>
        <v>1</v>
      </c>
      <c r="D381" s="2559" t="s">
        <v>4016</v>
      </c>
      <c r="E381" s="21">
        <f t="shared" si="65"/>
        <v>1</v>
      </c>
      <c r="F381" s="2559" t="s">
        <v>21</v>
      </c>
      <c r="G381" s="21">
        <f t="shared" si="66"/>
        <v>1</v>
      </c>
      <c r="H381" s="631">
        <v>3</v>
      </c>
      <c r="I381" s="21">
        <f t="shared" si="67"/>
        <v>1</v>
      </c>
      <c r="J381" s="631"/>
      <c r="K381" s="21">
        <f t="shared" si="68"/>
        <v>1</v>
      </c>
      <c r="L381" s="631"/>
      <c r="M381" s="21">
        <f t="shared" si="69"/>
        <v>1</v>
      </c>
      <c r="N381" s="631"/>
      <c r="O381" s="21">
        <f t="shared" si="70"/>
        <v>1</v>
      </c>
      <c r="P381" s="631" t="s">
        <v>3553</v>
      </c>
      <c r="Q381" s="21">
        <f t="shared" si="71"/>
        <v>1.02</v>
      </c>
      <c r="R381" s="21">
        <f t="shared" ca="1" si="72"/>
        <v>14433</v>
      </c>
      <c r="S381" s="307">
        <f t="shared" ca="1" si="63"/>
        <v>72</v>
      </c>
      <c r="T381" s="3190">
        <f>面积表!A376</f>
        <v>0</v>
      </c>
    </row>
    <row r="382" spans="1:20">
      <c r="A382" s="3169" t="str">
        <f>面积表!D377</f>
        <v>1510</v>
      </c>
      <c r="B382" s="52">
        <f>面积表!E377</f>
        <v>49.62</v>
      </c>
      <c r="C382" s="21">
        <f t="shared" si="64"/>
        <v>1</v>
      </c>
      <c r="D382" s="2559" t="s">
        <v>4016</v>
      </c>
      <c r="E382" s="21">
        <f t="shared" si="65"/>
        <v>1</v>
      </c>
      <c r="F382" s="2559" t="s">
        <v>21</v>
      </c>
      <c r="G382" s="21">
        <f t="shared" si="66"/>
        <v>1</v>
      </c>
      <c r="H382" s="631">
        <v>3</v>
      </c>
      <c r="I382" s="21">
        <f t="shared" si="67"/>
        <v>1</v>
      </c>
      <c r="J382" s="631"/>
      <c r="K382" s="21">
        <f t="shared" si="68"/>
        <v>1</v>
      </c>
      <c r="L382" s="631"/>
      <c r="M382" s="21">
        <f t="shared" si="69"/>
        <v>1</v>
      </c>
      <c r="N382" s="631"/>
      <c r="O382" s="21">
        <f t="shared" si="70"/>
        <v>1</v>
      </c>
      <c r="P382" s="631" t="s">
        <v>3553</v>
      </c>
      <c r="Q382" s="21">
        <f t="shared" si="71"/>
        <v>1.02</v>
      </c>
      <c r="R382" s="21">
        <f t="shared" ca="1" si="72"/>
        <v>14433</v>
      </c>
      <c r="S382" s="307">
        <f t="shared" ca="1" si="63"/>
        <v>72</v>
      </c>
      <c r="T382" s="3190">
        <f>面积表!A377</f>
        <v>0</v>
      </c>
    </row>
    <row r="383" spans="1:20">
      <c r="A383" s="3169" t="str">
        <f>面积表!D378</f>
        <v>1511</v>
      </c>
      <c r="B383" s="52">
        <f>面积表!E378</f>
        <v>49.62</v>
      </c>
      <c r="C383" s="21">
        <f t="shared" si="64"/>
        <v>1</v>
      </c>
      <c r="D383" s="2559" t="s">
        <v>4016</v>
      </c>
      <c r="E383" s="21">
        <f t="shared" si="65"/>
        <v>1</v>
      </c>
      <c r="F383" s="2559" t="s">
        <v>21</v>
      </c>
      <c r="G383" s="21">
        <f t="shared" si="66"/>
        <v>1</v>
      </c>
      <c r="H383" s="631">
        <v>3</v>
      </c>
      <c r="I383" s="21">
        <f t="shared" si="67"/>
        <v>1</v>
      </c>
      <c r="J383" s="631"/>
      <c r="K383" s="21">
        <f t="shared" si="68"/>
        <v>1</v>
      </c>
      <c r="L383" s="631"/>
      <c r="M383" s="21">
        <f t="shared" si="69"/>
        <v>1</v>
      </c>
      <c r="N383" s="631"/>
      <c r="O383" s="21">
        <f t="shared" si="70"/>
        <v>1</v>
      </c>
      <c r="P383" s="631" t="s">
        <v>3553</v>
      </c>
      <c r="Q383" s="21">
        <f t="shared" si="71"/>
        <v>1.02</v>
      </c>
      <c r="R383" s="21">
        <f t="shared" ca="1" si="72"/>
        <v>14433</v>
      </c>
      <c r="S383" s="307">
        <f t="shared" ca="1" si="63"/>
        <v>72</v>
      </c>
      <c r="T383" s="3190">
        <f>面积表!A378</f>
        <v>0</v>
      </c>
    </row>
    <row r="384" spans="1:20">
      <c r="A384" s="3169" t="str">
        <f>面积表!D379</f>
        <v>1512</v>
      </c>
      <c r="B384" s="52">
        <f>面积表!E379</f>
        <v>49.62</v>
      </c>
      <c r="C384" s="21">
        <f t="shared" si="64"/>
        <v>1</v>
      </c>
      <c r="D384" s="2559" t="s">
        <v>4016</v>
      </c>
      <c r="E384" s="21">
        <f t="shared" si="65"/>
        <v>1</v>
      </c>
      <c r="F384" s="2559" t="s">
        <v>21</v>
      </c>
      <c r="G384" s="21">
        <f t="shared" si="66"/>
        <v>1</v>
      </c>
      <c r="H384" s="631">
        <v>3</v>
      </c>
      <c r="I384" s="21">
        <f t="shared" si="67"/>
        <v>1</v>
      </c>
      <c r="J384" s="631"/>
      <c r="K384" s="21">
        <f t="shared" si="68"/>
        <v>1</v>
      </c>
      <c r="L384" s="631"/>
      <c r="M384" s="21">
        <f t="shared" si="69"/>
        <v>1</v>
      </c>
      <c r="N384" s="631"/>
      <c r="O384" s="21">
        <f t="shared" si="70"/>
        <v>1</v>
      </c>
      <c r="P384" s="631" t="s">
        <v>3553</v>
      </c>
      <c r="Q384" s="21">
        <f t="shared" si="71"/>
        <v>1.02</v>
      </c>
      <c r="R384" s="21">
        <f t="shared" ca="1" si="72"/>
        <v>14433</v>
      </c>
      <c r="S384" s="307">
        <f t="shared" ca="1" si="63"/>
        <v>72</v>
      </c>
      <c r="T384" s="3190">
        <f>面积表!A379</f>
        <v>0</v>
      </c>
    </row>
    <row r="385" spans="1:20">
      <c r="A385" s="3169" t="str">
        <f>面积表!D380</f>
        <v>1513</v>
      </c>
      <c r="B385" s="52">
        <f>面积表!E380</f>
        <v>49.62</v>
      </c>
      <c r="C385" s="21">
        <f t="shared" si="64"/>
        <v>1</v>
      </c>
      <c r="D385" s="2559" t="s">
        <v>4016</v>
      </c>
      <c r="E385" s="21">
        <f t="shared" si="65"/>
        <v>1</v>
      </c>
      <c r="F385" s="2559" t="s">
        <v>21</v>
      </c>
      <c r="G385" s="21">
        <f t="shared" si="66"/>
        <v>1</v>
      </c>
      <c r="H385" s="631">
        <v>3</v>
      </c>
      <c r="I385" s="21">
        <f t="shared" si="67"/>
        <v>1</v>
      </c>
      <c r="J385" s="631"/>
      <c r="K385" s="21">
        <f t="shared" si="68"/>
        <v>1</v>
      </c>
      <c r="L385" s="631"/>
      <c r="M385" s="21">
        <f t="shared" si="69"/>
        <v>1</v>
      </c>
      <c r="N385" s="631"/>
      <c r="O385" s="21">
        <f t="shared" si="70"/>
        <v>1</v>
      </c>
      <c r="P385" s="631" t="s">
        <v>3553</v>
      </c>
      <c r="Q385" s="21">
        <f t="shared" si="71"/>
        <v>1.02</v>
      </c>
      <c r="R385" s="21">
        <f t="shared" ca="1" si="72"/>
        <v>14433</v>
      </c>
      <c r="S385" s="307">
        <f t="shared" ref="S385:S422" ca="1" si="73">ROUND(R385*B385/10000,0)</f>
        <v>72</v>
      </c>
      <c r="T385" s="3190">
        <f>面积表!A380</f>
        <v>0</v>
      </c>
    </row>
    <row r="386" spans="1:20">
      <c r="A386" s="3169" t="str">
        <f>面积表!D381</f>
        <v>1514</v>
      </c>
      <c r="B386" s="52">
        <f>面积表!E381</f>
        <v>49.62</v>
      </c>
      <c r="C386" s="21">
        <f t="shared" si="64"/>
        <v>1</v>
      </c>
      <c r="D386" s="2559" t="s">
        <v>4016</v>
      </c>
      <c r="E386" s="21">
        <f t="shared" si="65"/>
        <v>1</v>
      </c>
      <c r="F386" s="2559" t="s">
        <v>21</v>
      </c>
      <c r="G386" s="21">
        <f t="shared" si="66"/>
        <v>1</v>
      </c>
      <c r="H386" s="631">
        <v>3</v>
      </c>
      <c r="I386" s="21">
        <f t="shared" si="67"/>
        <v>1</v>
      </c>
      <c r="J386" s="631"/>
      <c r="K386" s="21">
        <f t="shared" si="68"/>
        <v>1</v>
      </c>
      <c r="L386" s="631"/>
      <c r="M386" s="21">
        <f t="shared" si="69"/>
        <v>1</v>
      </c>
      <c r="N386" s="631"/>
      <c r="O386" s="21">
        <f t="shared" si="70"/>
        <v>1</v>
      </c>
      <c r="P386" s="631" t="s">
        <v>3553</v>
      </c>
      <c r="Q386" s="21">
        <f t="shared" si="71"/>
        <v>1.02</v>
      </c>
      <c r="R386" s="21">
        <f t="shared" ca="1" si="72"/>
        <v>14433</v>
      </c>
      <c r="S386" s="307">
        <f t="shared" ca="1" si="73"/>
        <v>72</v>
      </c>
      <c r="T386" s="3190">
        <f>面积表!A381</f>
        <v>0</v>
      </c>
    </row>
    <row r="387" spans="1:20">
      <c r="A387" s="3169" t="str">
        <f>面积表!D382</f>
        <v>1515</v>
      </c>
      <c r="B387" s="52">
        <f>面积表!E382</f>
        <v>49.62</v>
      </c>
      <c r="C387" s="21">
        <f t="shared" si="64"/>
        <v>1</v>
      </c>
      <c r="D387" s="2559" t="s">
        <v>4016</v>
      </c>
      <c r="E387" s="21">
        <f t="shared" si="65"/>
        <v>1</v>
      </c>
      <c r="F387" s="2559" t="s">
        <v>21</v>
      </c>
      <c r="G387" s="21">
        <f t="shared" si="66"/>
        <v>1</v>
      </c>
      <c r="H387" s="631">
        <v>3</v>
      </c>
      <c r="I387" s="21">
        <f t="shared" si="67"/>
        <v>1</v>
      </c>
      <c r="J387" s="631"/>
      <c r="K387" s="21">
        <f t="shared" si="68"/>
        <v>1</v>
      </c>
      <c r="L387" s="631"/>
      <c r="M387" s="21">
        <f t="shared" si="69"/>
        <v>1</v>
      </c>
      <c r="N387" s="631"/>
      <c r="O387" s="21">
        <f t="shared" si="70"/>
        <v>1</v>
      </c>
      <c r="P387" s="631" t="s">
        <v>3553</v>
      </c>
      <c r="Q387" s="21">
        <f t="shared" si="71"/>
        <v>1.02</v>
      </c>
      <c r="R387" s="21">
        <f t="shared" ca="1" si="72"/>
        <v>14433</v>
      </c>
      <c r="S387" s="307">
        <f t="shared" ca="1" si="73"/>
        <v>72</v>
      </c>
      <c r="T387" s="3190">
        <f>面积表!A382</f>
        <v>0</v>
      </c>
    </row>
    <row r="388" spans="1:20">
      <c r="A388" s="3169" t="str">
        <f>面积表!D383</f>
        <v>1516</v>
      </c>
      <c r="B388" s="52">
        <f>面积表!E383</f>
        <v>68.78</v>
      </c>
      <c r="C388" s="21">
        <f t="shared" si="64"/>
        <v>1.01</v>
      </c>
      <c r="D388" s="2559" t="s">
        <v>4016</v>
      </c>
      <c r="E388" s="21">
        <f t="shared" si="65"/>
        <v>1</v>
      </c>
      <c r="F388" s="2559" t="s">
        <v>21</v>
      </c>
      <c r="G388" s="21">
        <f t="shared" si="66"/>
        <v>1</v>
      </c>
      <c r="H388" s="631">
        <v>3</v>
      </c>
      <c r="I388" s="21">
        <f t="shared" si="67"/>
        <v>1</v>
      </c>
      <c r="J388" s="631"/>
      <c r="K388" s="21">
        <f t="shared" si="68"/>
        <v>1</v>
      </c>
      <c r="L388" s="631"/>
      <c r="M388" s="21">
        <f t="shared" si="69"/>
        <v>1</v>
      </c>
      <c r="N388" s="631"/>
      <c r="O388" s="21">
        <f t="shared" si="70"/>
        <v>1</v>
      </c>
      <c r="P388" s="631" t="s">
        <v>3553</v>
      </c>
      <c r="Q388" s="21">
        <f t="shared" si="71"/>
        <v>1.02</v>
      </c>
      <c r="R388" s="21">
        <f t="shared" ca="1" si="72"/>
        <v>14577</v>
      </c>
      <c r="S388" s="307">
        <f t="shared" ca="1" si="73"/>
        <v>100</v>
      </c>
      <c r="T388" s="3190">
        <f>面积表!A383</f>
        <v>0</v>
      </c>
    </row>
    <row r="389" spans="1:20">
      <c r="A389" s="3169" t="str">
        <f>面积表!D384</f>
        <v>1517</v>
      </c>
      <c r="B389" s="52">
        <f>面积表!E384</f>
        <v>38.1</v>
      </c>
      <c r="C389" s="21">
        <f t="shared" si="64"/>
        <v>1</v>
      </c>
      <c r="D389" s="2559" t="s">
        <v>4016</v>
      </c>
      <c r="E389" s="21">
        <f t="shared" si="65"/>
        <v>1</v>
      </c>
      <c r="F389" s="2559" t="s">
        <v>21</v>
      </c>
      <c r="G389" s="21">
        <f t="shared" si="66"/>
        <v>1</v>
      </c>
      <c r="H389" s="631">
        <v>3</v>
      </c>
      <c r="I389" s="21">
        <f t="shared" si="67"/>
        <v>1</v>
      </c>
      <c r="J389" s="631"/>
      <c r="K389" s="21">
        <f t="shared" si="68"/>
        <v>1</v>
      </c>
      <c r="L389" s="631"/>
      <c r="M389" s="21">
        <f t="shared" si="69"/>
        <v>1</v>
      </c>
      <c r="N389" s="631"/>
      <c r="O389" s="21">
        <f t="shared" si="70"/>
        <v>1</v>
      </c>
      <c r="P389" s="631" t="s">
        <v>3553</v>
      </c>
      <c r="Q389" s="21">
        <f t="shared" si="71"/>
        <v>1.02</v>
      </c>
      <c r="R389" s="21">
        <f t="shared" ca="1" si="72"/>
        <v>14433</v>
      </c>
      <c r="S389" s="307">
        <f t="shared" ca="1" si="73"/>
        <v>55</v>
      </c>
      <c r="T389" s="3190">
        <f>面积表!A384</f>
        <v>0</v>
      </c>
    </row>
    <row r="390" spans="1:20">
      <c r="A390" s="3169" t="str">
        <f>面积表!D385</f>
        <v>1518</v>
      </c>
      <c r="B390" s="52">
        <f>面积表!E385</f>
        <v>41.4</v>
      </c>
      <c r="C390" s="21">
        <f t="shared" si="64"/>
        <v>1</v>
      </c>
      <c r="D390" s="2559" t="s">
        <v>4016</v>
      </c>
      <c r="E390" s="21">
        <f t="shared" si="65"/>
        <v>1</v>
      </c>
      <c r="F390" s="2559" t="s">
        <v>21</v>
      </c>
      <c r="G390" s="21">
        <f t="shared" si="66"/>
        <v>1</v>
      </c>
      <c r="H390" s="631">
        <v>3</v>
      </c>
      <c r="I390" s="21">
        <f t="shared" si="67"/>
        <v>1</v>
      </c>
      <c r="J390" s="631"/>
      <c r="K390" s="21">
        <f t="shared" si="68"/>
        <v>1</v>
      </c>
      <c r="L390" s="631"/>
      <c r="M390" s="21">
        <f t="shared" si="69"/>
        <v>1</v>
      </c>
      <c r="N390" s="631"/>
      <c r="O390" s="21">
        <f t="shared" si="70"/>
        <v>1</v>
      </c>
      <c r="P390" s="631" t="s">
        <v>3553</v>
      </c>
      <c r="Q390" s="21">
        <f t="shared" si="71"/>
        <v>1.02</v>
      </c>
      <c r="R390" s="21">
        <f t="shared" ca="1" si="72"/>
        <v>14433</v>
      </c>
      <c r="S390" s="307">
        <f t="shared" ca="1" si="73"/>
        <v>60</v>
      </c>
      <c r="T390" s="3190">
        <f>面积表!A385</f>
        <v>0</v>
      </c>
    </row>
    <row r="391" spans="1:20">
      <c r="A391" s="3169" t="str">
        <f>面积表!D386</f>
        <v>1519</v>
      </c>
      <c r="B391" s="52">
        <f>面积表!E386</f>
        <v>44.09</v>
      </c>
      <c r="C391" s="21">
        <f t="shared" si="64"/>
        <v>1</v>
      </c>
      <c r="D391" s="2559" t="s">
        <v>4016</v>
      </c>
      <c r="E391" s="21">
        <f t="shared" si="65"/>
        <v>1</v>
      </c>
      <c r="F391" s="2559" t="s">
        <v>21</v>
      </c>
      <c r="G391" s="21">
        <f t="shared" si="66"/>
        <v>1</v>
      </c>
      <c r="H391" s="631">
        <v>3</v>
      </c>
      <c r="I391" s="21">
        <f t="shared" si="67"/>
        <v>1</v>
      </c>
      <c r="J391" s="631"/>
      <c r="K391" s="21">
        <f t="shared" si="68"/>
        <v>1</v>
      </c>
      <c r="L391" s="631"/>
      <c r="M391" s="21">
        <f t="shared" si="69"/>
        <v>1</v>
      </c>
      <c r="N391" s="631"/>
      <c r="O391" s="21">
        <f t="shared" si="70"/>
        <v>1</v>
      </c>
      <c r="P391" s="631" t="s">
        <v>3553</v>
      </c>
      <c r="Q391" s="21">
        <f t="shared" si="71"/>
        <v>1.02</v>
      </c>
      <c r="R391" s="21">
        <f t="shared" ca="1" si="72"/>
        <v>14433</v>
      </c>
      <c r="S391" s="307">
        <f t="shared" ca="1" si="73"/>
        <v>64</v>
      </c>
      <c r="T391" s="3190">
        <f>面积表!A386</f>
        <v>0</v>
      </c>
    </row>
    <row r="392" spans="1:20">
      <c r="A392" s="3169" t="str">
        <f>面积表!D387</f>
        <v>1520</v>
      </c>
      <c r="B392" s="52">
        <f>面积表!E387</f>
        <v>46.17</v>
      </c>
      <c r="C392" s="21">
        <f t="shared" si="64"/>
        <v>1</v>
      </c>
      <c r="D392" s="2559" t="s">
        <v>4016</v>
      </c>
      <c r="E392" s="21">
        <f t="shared" si="65"/>
        <v>1</v>
      </c>
      <c r="F392" s="2559" t="s">
        <v>21</v>
      </c>
      <c r="G392" s="21">
        <f t="shared" si="66"/>
        <v>1</v>
      </c>
      <c r="H392" s="631">
        <v>3</v>
      </c>
      <c r="I392" s="21">
        <f t="shared" si="67"/>
        <v>1</v>
      </c>
      <c r="J392" s="631"/>
      <c r="K392" s="21">
        <f t="shared" si="68"/>
        <v>1</v>
      </c>
      <c r="L392" s="631"/>
      <c r="M392" s="21">
        <f t="shared" si="69"/>
        <v>1</v>
      </c>
      <c r="N392" s="631"/>
      <c r="O392" s="21">
        <f t="shared" si="70"/>
        <v>1</v>
      </c>
      <c r="P392" s="631" t="s">
        <v>3553</v>
      </c>
      <c r="Q392" s="21">
        <f t="shared" si="71"/>
        <v>1.02</v>
      </c>
      <c r="R392" s="21">
        <f t="shared" ca="1" si="72"/>
        <v>14433</v>
      </c>
      <c r="S392" s="307">
        <f t="shared" ca="1" si="73"/>
        <v>67</v>
      </c>
      <c r="T392" s="3190">
        <f>面积表!A387</f>
        <v>0</v>
      </c>
    </row>
    <row r="393" spans="1:20">
      <c r="A393" s="3169" t="str">
        <f>面积表!D388</f>
        <v>1521</v>
      </c>
      <c r="B393" s="52">
        <f>面积表!E388</f>
        <v>47.65</v>
      </c>
      <c r="C393" s="21">
        <f t="shared" si="64"/>
        <v>1</v>
      </c>
      <c r="D393" s="2559" t="s">
        <v>4016</v>
      </c>
      <c r="E393" s="21">
        <f t="shared" si="65"/>
        <v>1</v>
      </c>
      <c r="F393" s="2559" t="s">
        <v>21</v>
      </c>
      <c r="G393" s="21">
        <f t="shared" si="66"/>
        <v>1</v>
      </c>
      <c r="H393" s="631">
        <v>3</v>
      </c>
      <c r="I393" s="21">
        <f t="shared" si="67"/>
        <v>1</v>
      </c>
      <c r="J393" s="631"/>
      <c r="K393" s="21">
        <f t="shared" si="68"/>
        <v>1</v>
      </c>
      <c r="L393" s="631"/>
      <c r="M393" s="21">
        <f t="shared" si="69"/>
        <v>1</v>
      </c>
      <c r="N393" s="631"/>
      <c r="O393" s="21">
        <f t="shared" si="70"/>
        <v>1</v>
      </c>
      <c r="P393" s="631" t="s">
        <v>3553</v>
      </c>
      <c r="Q393" s="21">
        <f t="shared" si="71"/>
        <v>1.02</v>
      </c>
      <c r="R393" s="21">
        <f t="shared" ca="1" si="72"/>
        <v>14433</v>
      </c>
      <c r="S393" s="307">
        <f t="shared" ca="1" si="73"/>
        <v>69</v>
      </c>
      <c r="T393" s="3190">
        <f>面积表!A388</f>
        <v>0</v>
      </c>
    </row>
    <row r="394" spans="1:20">
      <c r="A394" s="3169" t="str">
        <f>面积表!D389</f>
        <v>1522</v>
      </c>
      <c r="B394" s="52">
        <f>面积表!E389</f>
        <v>48.6</v>
      </c>
      <c r="C394" s="21">
        <f t="shared" si="64"/>
        <v>1</v>
      </c>
      <c r="D394" s="2559" t="s">
        <v>4016</v>
      </c>
      <c r="E394" s="21">
        <f t="shared" si="65"/>
        <v>1</v>
      </c>
      <c r="F394" s="2559" t="s">
        <v>21</v>
      </c>
      <c r="G394" s="21">
        <f t="shared" si="66"/>
        <v>1</v>
      </c>
      <c r="H394" s="631">
        <v>3</v>
      </c>
      <c r="I394" s="21">
        <f t="shared" si="67"/>
        <v>1</v>
      </c>
      <c r="J394" s="631"/>
      <c r="K394" s="21">
        <f t="shared" si="68"/>
        <v>1</v>
      </c>
      <c r="L394" s="631"/>
      <c r="M394" s="21">
        <f t="shared" si="69"/>
        <v>1</v>
      </c>
      <c r="N394" s="631"/>
      <c r="O394" s="21">
        <f t="shared" si="70"/>
        <v>1</v>
      </c>
      <c r="P394" s="631" t="s">
        <v>3553</v>
      </c>
      <c r="Q394" s="21">
        <f t="shared" si="71"/>
        <v>1.02</v>
      </c>
      <c r="R394" s="21">
        <f t="shared" ca="1" si="72"/>
        <v>14433</v>
      </c>
      <c r="S394" s="307">
        <f t="shared" ca="1" si="73"/>
        <v>70</v>
      </c>
      <c r="T394" s="3190">
        <f>面积表!A389</f>
        <v>0</v>
      </c>
    </row>
    <row r="395" spans="1:20">
      <c r="A395" s="3169" t="str">
        <f>面积表!D390</f>
        <v>1523</v>
      </c>
      <c r="B395" s="52">
        <f>面积表!E390</f>
        <v>48.89</v>
      </c>
      <c r="C395" s="21">
        <f t="shared" si="64"/>
        <v>1</v>
      </c>
      <c r="D395" s="2559" t="s">
        <v>4016</v>
      </c>
      <c r="E395" s="21">
        <f t="shared" si="65"/>
        <v>1</v>
      </c>
      <c r="F395" s="2559" t="s">
        <v>21</v>
      </c>
      <c r="G395" s="21">
        <f t="shared" si="66"/>
        <v>1</v>
      </c>
      <c r="H395" s="631">
        <v>3</v>
      </c>
      <c r="I395" s="21">
        <f t="shared" si="67"/>
        <v>1</v>
      </c>
      <c r="J395" s="631"/>
      <c r="K395" s="21">
        <f t="shared" si="68"/>
        <v>1</v>
      </c>
      <c r="L395" s="631"/>
      <c r="M395" s="21">
        <f t="shared" si="69"/>
        <v>1</v>
      </c>
      <c r="N395" s="631"/>
      <c r="O395" s="21">
        <f t="shared" si="70"/>
        <v>1</v>
      </c>
      <c r="P395" s="631" t="s">
        <v>3553</v>
      </c>
      <c r="Q395" s="21">
        <f t="shared" si="71"/>
        <v>1.02</v>
      </c>
      <c r="R395" s="21">
        <f t="shared" ca="1" si="72"/>
        <v>14433</v>
      </c>
      <c r="S395" s="307">
        <f t="shared" ca="1" si="73"/>
        <v>71</v>
      </c>
      <c r="T395" s="3190">
        <f>面积表!A390</f>
        <v>0</v>
      </c>
    </row>
    <row r="396" spans="1:20">
      <c r="A396" s="3169" t="str">
        <f>面积表!D391</f>
        <v>1524</v>
      </c>
      <c r="B396" s="52">
        <f>面积表!E391</f>
        <v>48.59</v>
      </c>
      <c r="C396" s="21">
        <f t="shared" si="64"/>
        <v>1</v>
      </c>
      <c r="D396" s="2559" t="s">
        <v>4016</v>
      </c>
      <c r="E396" s="21">
        <f t="shared" si="65"/>
        <v>1</v>
      </c>
      <c r="F396" s="2559" t="s">
        <v>21</v>
      </c>
      <c r="G396" s="21">
        <f t="shared" si="66"/>
        <v>1</v>
      </c>
      <c r="H396" s="631">
        <v>3</v>
      </c>
      <c r="I396" s="21">
        <f t="shared" si="67"/>
        <v>1</v>
      </c>
      <c r="J396" s="631"/>
      <c r="K396" s="21">
        <f t="shared" si="68"/>
        <v>1</v>
      </c>
      <c r="L396" s="631"/>
      <c r="M396" s="21">
        <f t="shared" si="69"/>
        <v>1</v>
      </c>
      <c r="N396" s="631"/>
      <c r="O396" s="21">
        <f t="shared" si="70"/>
        <v>1</v>
      </c>
      <c r="P396" s="631" t="s">
        <v>3553</v>
      </c>
      <c r="Q396" s="21">
        <f t="shared" si="71"/>
        <v>1.02</v>
      </c>
      <c r="R396" s="21">
        <f t="shared" ca="1" si="72"/>
        <v>14433</v>
      </c>
      <c r="S396" s="307">
        <f t="shared" ca="1" si="73"/>
        <v>70</v>
      </c>
      <c r="T396" s="3190">
        <f>面积表!A391</f>
        <v>0</v>
      </c>
    </row>
    <row r="397" spans="1:20">
      <c r="A397" s="3169" t="str">
        <f>面积表!D392</f>
        <v>1525</v>
      </c>
      <c r="B397" s="52">
        <f>面积表!E392</f>
        <v>47.73</v>
      </c>
      <c r="C397" s="21">
        <f t="shared" si="64"/>
        <v>1</v>
      </c>
      <c r="D397" s="2559" t="s">
        <v>4016</v>
      </c>
      <c r="E397" s="21">
        <f t="shared" si="65"/>
        <v>1</v>
      </c>
      <c r="F397" s="2559" t="s">
        <v>21</v>
      </c>
      <c r="G397" s="21">
        <f t="shared" si="66"/>
        <v>1</v>
      </c>
      <c r="H397" s="631">
        <v>3</v>
      </c>
      <c r="I397" s="21">
        <f t="shared" si="67"/>
        <v>1</v>
      </c>
      <c r="J397" s="631"/>
      <c r="K397" s="21">
        <f t="shared" si="68"/>
        <v>1</v>
      </c>
      <c r="L397" s="631"/>
      <c r="M397" s="21">
        <f t="shared" si="69"/>
        <v>1</v>
      </c>
      <c r="N397" s="631"/>
      <c r="O397" s="21">
        <f t="shared" si="70"/>
        <v>1</v>
      </c>
      <c r="P397" s="631" t="s">
        <v>3553</v>
      </c>
      <c r="Q397" s="21">
        <f t="shared" si="71"/>
        <v>1.02</v>
      </c>
      <c r="R397" s="21">
        <f t="shared" ca="1" si="72"/>
        <v>14433</v>
      </c>
      <c r="S397" s="307">
        <f t="shared" ca="1" si="73"/>
        <v>69</v>
      </c>
      <c r="T397" s="3190">
        <f>面积表!A392</f>
        <v>0</v>
      </c>
    </row>
    <row r="398" spans="1:20">
      <c r="A398" s="3169" t="str">
        <f>面积表!D393</f>
        <v>1526</v>
      </c>
      <c r="B398" s="52">
        <f>面积表!E393</f>
        <v>70.2</v>
      </c>
      <c r="C398" s="21">
        <f t="shared" si="64"/>
        <v>1.01</v>
      </c>
      <c r="D398" s="2559" t="s">
        <v>4016</v>
      </c>
      <c r="E398" s="21">
        <f t="shared" si="65"/>
        <v>1</v>
      </c>
      <c r="F398" s="2559" t="s">
        <v>21</v>
      </c>
      <c r="G398" s="21">
        <f t="shared" si="66"/>
        <v>1</v>
      </c>
      <c r="H398" s="631">
        <v>3</v>
      </c>
      <c r="I398" s="21">
        <f t="shared" si="67"/>
        <v>1</v>
      </c>
      <c r="J398" s="631"/>
      <c r="K398" s="21">
        <f t="shared" si="68"/>
        <v>1</v>
      </c>
      <c r="L398" s="631"/>
      <c r="M398" s="21">
        <f t="shared" si="69"/>
        <v>1</v>
      </c>
      <c r="N398" s="631"/>
      <c r="O398" s="21">
        <f t="shared" si="70"/>
        <v>1</v>
      </c>
      <c r="P398" s="631" t="s">
        <v>3553</v>
      </c>
      <c r="Q398" s="21">
        <f t="shared" si="71"/>
        <v>1.02</v>
      </c>
      <c r="R398" s="21">
        <f t="shared" ca="1" si="72"/>
        <v>14577</v>
      </c>
      <c r="S398" s="307">
        <f t="shared" ca="1" si="73"/>
        <v>102</v>
      </c>
      <c r="T398" s="3190">
        <f>面积表!A393</f>
        <v>0</v>
      </c>
    </row>
    <row r="399" spans="1:20">
      <c r="A399" s="3169" t="str">
        <f>面积表!D394</f>
        <v>1601</v>
      </c>
      <c r="B399" s="52">
        <f>面积表!E394</f>
        <v>51.46</v>
      </c>
      <c r="C399" s="21">
        <f t="shared" si="64"/>
        <v>1</v>
      </c>
      <c r="D399" s="2559" t="s">
        <v>4016</v>
      </c>
      <c r="E399" s="21">
        <f t="shared" si="65"/>
        <v>1</v>
      </c>
      <c r="F399" s="2559" t="s">
        <v>21</v>
      </c>
      <c r="G399" s="21">
        <f t="shared" si="66"/>
        <v>1</v>
      </c>
      <c r="H399" s="631">
        <v>3</v>
      </c>
      <c r="I399" s="21">
        <f t="shared" si="67"/>
        <v>1</v>
      </c>
      <c r="J399" s="631"/>
      <c r="K399" s="21">
        <f t="shared" si="68"/>
        <v>1</v>
      </c>
      <c r="L399" s="631"/>
      <c r="M399" s="21">
        <f t="shared" si="69"/>
        <v>1</v>
      </c>
      <c r="N399" s="631"/>
      <c r="O399" s="21">
        <f t="shared" si="70"/>
        <v>1</v>
      </c>
      <c r="P399" s="631" t="s">
        <v>3553</v>
      </c>
      <c r="Q399" s="21">
        <f t="shared" si="71"/>
        <v>1.02</v>
      </c>
      <c r="R399" s="21">
        <f t="shared" ca="1" si="72"/>
        <v>14433</v>
      </c>
      <c r="S399" s="307">
        <f t="shared" ca="1" si="73"/>
        <v>74</v>
      </c>
      <c r="T399" s="3190">
        <f>面积表!A394</f>
        <v>0</v>
      </c>
    </row>
    <row r="400" spans="1:20">
      <c r="A400" s="3169" t="str">
        <f>面积表!D395</f>
        <v>1602</v>
      </c>
      <c r="B400" s="52">
        <f>面积表!E395</f>
        <v>49.62</v>
      </c>
      <c r="C400" s="21">
        <f t="shared" si="64"/>
        <v>1</v>
      </c>
      <c r="D400" s="2559" t="s">
        <v>4016</v>
      </c>
      <c r="E400" s="21">
        <f t="shared" si="65"/>
        <v>1</v>
      </c>
      <c r="F400" s="2559" t="s">
        <v>21</v>
      </c>
      <c r="G400" s="21">
        <f t="shared" si="66"/>
        <v>1</v>
      </c>
      <c r="H400" s="631">
        <v>3</v>
      </c>
      <c r="I400" s="21">
        <f t="shared" si="67"/>
        <v>1</v>
      </c>
      <c r="J400" s="631"/>
      <c r="K400" s="21">
        <f t="shared" si="68"/>
        <v>1</v>
      </c>
      <c r="L400" s="631"/>
      <c r="M400" s="21">
        <f t="shared" si="69"/>
        <v>1</v>
      </c>
      <c r="N400" s="631"/>
      <c r="O400" s="21">
        <f t="shared" si="70"/>
        <v>1</v>
      </c>
      <c r="P400" s="631" t="s">
        <v>3553</v>
      </c>
      <c r="Q400" s="21">
        <f t="shared" si="71"/>
        <v>1.02</v>
      </c>
      <c r="R400" s="21">
        <f t="shared" ca="1" si="72"/>
        <v>14433</v>
      </c>
      <c r="S400" s="307">
        <f t="shared" ca="1" si="73"/>
        <v>72</v>
      </c>
      <c r="T400" s="3190">
        <f>面积表!A395</f>
        <v>0</v>
      </c>
    </row>
    <row r="401" spans="1:20">
      <c r="A401" s="3169" t="str">
        <f>面积表!D396</f>
        <v>1603</v>
      </c>
      <c r="B401" s="52">
        <f>面积表!E396</f>
        <v>49.62</v>
      </c>
      <c r="C401" s="21">
        <f t="shared" si="64"/>
        <v>1</v>
      </c>
      <c r="D401" s="2559" t="s">
        <v>4016</v>
      </c>
      <c r="E401" s="21">
        <f t="shared" si="65"/>
        <v>1</v>
      </c>
      <c r="F401" s="2559" t="s">
        <v>21</v>
      </c>
      <c r="G401" s="21">
        <f t="shared" si="66"/>
        <v>1</v>
      </c>
      <c r="H401" s="631">
        <v>3</v>
      </c>
      <c r="I401" s="21">
        <f t="shared" si="67"/>
        <v>1</v>
      </c>
      <c r="J401" s="631"/>
      <c r="K401" s="21">
        <f t="shared" si="68"/>
        <v>1</v>
      </c>
      <c r="L401" s="631"/>
      <c r="M401" s="21">
        <f t="shared" si="69"/>
        <v>1</v>
      </c>
      <c r="N401" s="631"/>
      <c r="O401" s="21">
        <f t="shared" si="70"/>
        <v>1</v>
      </c>
      <c r="P401" s="631" t="s">
        <v>3553</v>
      </c>
      <c r="Q401" s="21">
        <f t="shared" si="71"/>
        <v>1.02</v>
      </c>
      <c r="R401" s="21">
        <f t="shared" ca="1" si="72"/>
        <v>14433</v>
      </c>
      <c r="S401" s="307">
        <f t="shared" ca="1" si="73"/>
        <v>72</v>
      </c>
      <c r="T401" s="3190">
        <f>面积表!A396</f>
        <v>0</v>
      </c>
    </row>
    <row r="402" spans="1:20">
      <c r="A402" s="3169" t="str">
        <f>面积表!D397</f>
        <v>1604</v>
      </c>
      <c r="B402" s="52">
        <f>面积表!E397</f>
        <v>49.62</v>
      </c>
      <c r="C402" s="21">
        <f t="shared" si="64"/>
        <v>1</v>
      </c>
      <c r="D402" s="2559" t="s">
        <v>4016</v>
      </c>
      <c r="E402" s="21">
        <f t="shared" si="65"/>
        <v>1</v>
      </c>
      <c r="F402" s="2559" t="s">
        <v>21</v>
      </c>
      <c r="G402" s="21">
        <f t="shared" si="66"/>
        <v>1</v>
      </c>
      <c r="H402" s="631">
        <v>3</v>
      </c>
      <c r="I402" s="21">
        <f t="shared" si="67"/>
        <v>1</v>
      </c>
      <c r="J402" s="631"/>
      <c r="K402" s="21">
        <f t="shared" si="68"/>
        <v>1</v>
      </c>
      <c r="L402" s="631"/>
      <c r="M402" s="21">
        <f t="shared" si="69"/>
        <v>1</v>
      </c>
      <c r="N402" s="631"/>
      <c r="O402" s="21">
        <f t="shared" si="70"/>
        <v>1</v>
      </c>
      <c r="P402" s="631" t="s">
        <v>3553</v>
      </c>
      <c r="Q402" s="21">
        <f t="shared" si="71"/>
        <v>1.02</v>
      </c>
      <c r="R402" s="21">
        <f t="shared" ca="1" si="72"/>
        <v>14433</v>
      </c>
      <c r="S402" s="307">
        <f t="shared" ca="1" si="73"/>
        <v>72</v>
      </c>
      <c r="T402" s="3190">
        <f>面积表!A397</f>
        <v>0</v>
      </c>
    </row>
    <row r="403" spans="1:20">
      <c r="A403" s="3169" t="str">
        <f>面积表!D398</f>
        <v>1605</v>
      </c>
      <c r="B403" s="52">
        <f>面积表!E398</f>
        <v>49.62</v>
      </c>
      <c r="C403" s="21">
        <f t="shared" si="64"/>
        <v>1</v>
      </c>
      <c r="D403" s="2559" t="s">
        <v>4016</v>
      </c>
      <c r="E403" s="21">
        <f t="shared" si="65"/>
        <v>1</v>
      </c>
      <c r="F403" s="2559" t="s">
        <v>21</v>
      </c>
      <c r="G403" s="21">
        <f t="shared" si="66"/>
        <v>1</v>
      </c>
      <c r="H403" s="631">
        <v>3</v>
      </c>
      <c r="I403" s="21">
        <f t="shared" si="67"/>
        <v>1</v>
      </c>
      <c r="J403" s="631"/>
      <c r="K403" s="21">
        <f t="shared" si="68"/>
        <v>1</v>
      </c>
      <c r="L403" s="631"/>
      <c r="M403" s="21">
        <f t="shared" si="69"/>
        <v>1</v>
      </c>
      <c r="N403" s="631"/>
      <c r="O403" s="21">
        <f t="shared" si="70"/>
        <v>1</v>
      </c>
      <c r="P403" s="631" t="s">
        <v>3553</v>
      </c>
      <c r="Q403" s="21">
        <f t="shared" si="71"/>
        <v>1.02</v>
      </c>
      <c r="R403" s="21">
        <f t="shared" ca="1" si="72"/>
        <v>14433</v>
      </c>
      <c r="S403" s="307">
        <f t="shared" ca="1" si="73"/>
        <v>72</v>
      </c>
      <c r="T403" s="3190">
        <f>面积表!A398</f>
        <v>0</v>
      </c>
    </row>
    <row r="404" spans="1:20">
      <c r="A404" s="3169" t="str">
        <f>面积表!D399</f>
        <v>1606</v>
      </c>
      <c r="B404" s="52">
        <f>面积表!E399</f>
        <v>49.62</v>
      </c>
      <c r="C404" s="21">
        <f t="shared" si="64"/>
        <v>1</v>
      </c>
      <c r="D404" s="2559" t="s">
        <v>4016</v>
      </c>
      <c r="E404" s="21">
        <f t="shared" si="65"/>
        <v>1</v>
      </c>
      <c r="F404" s="2559" t="s">
        <v>21</v>
      </c>
      <c r="G404" s="21">
        <f t="shared" si="66"/>
        <v>1</v>
      </c>
      <c r="H404" s="631">
        <v>3</v>
      </c>
      <c r="I404" s="21">
        <f t="shared" si="67"/>
        <v>1</v>
      </c>
      <c r="J404" s="631"/>
      <c r="K404" s="21">
        <f t="shared" si="68"/>
        <v>1</v>
      </c>
      <c r="L404" s="631"/>
      <c r="M404" s="21">
        <f t="shared" si="69"/>
        <v>1</v>
      </c>
      <c r="N404" s="631"/>
      <c r="O404" s="21">
        <f t="shared" si="70"/>
        <v>1</v>
      </c>
      <c r="P404" s="631" t="s">
        <v>3553</v>
      </c>
      <c r="Q404" s="21">
        <f t="shared" si="71"/>
        <v>1.02</v>
      </c>
      <c r="R404" s="21">
        <f t="shared" ca="1" si="72"/>
        <v>14433</v>
      </c>
      <c r="S404" s="307">
        <f t="shared" ca="1" si="73"/>
        <v>72</v>
      </c>
      <c r="T404" s="3190">
        <f>面积表!A399</f>
        <v>0</v>
      </c>
    </row>
    <row r="405" spans="1:20">
      <c r="A405" s="3169" t="str">
        <f>面积表!D400</f>
        <v>1607</v>
      </c>
      <c r="B405" s="52">
        <f>面积表!E400</f>
        <v>49.62</v>
      </c>
      <c r="C405" s="21">
        <f t="shared" si="64"/>
        <v>1</v>
      </c>
      <c r="D405" s="2559" t="s">
        <v>4016</v>
      </c>
      <c r="E405" s="21">
        <f t="shared" si="65"/>
        <v>1</v>
      </c>
      <c r="F405" s="2559" t="s">
        <v>21</v>
      </c>
      <c r="G405" s="21">
        <f t="shared" si="66"/>
        <v>1</v>
      </c>
      <c r="H405" s="631">
        <v>3</v>
      </c>
      <c r="I405" s="21">
        <f t="shared" si="67"/>
        <v>1</v>
      </c>
      <c r="J405" s="631"/>
      <c r="K405" s="21">
        <f t="shared" si="68"/>
        <v>1</v>
      </c>
      <c r="L405" s="631"/>
      <c r="M405" s="21">
        <f t="shared" si="69"/>
        <v>1</v>
      </c>
      <c r="N405" s="631"/>
      <c r="O405" s="21">
        <f t="shared" si="70"/>
        <v>1</v>
      </c>
      <c r="P405" s="631" t="s">
        <v>3553</v>
      </c>
      <c r="Q405" s="21">
        <f t="shared" si="71"/>
        <v>1.02</v>
      </c>
      <c r="R405" s="21">
        <f t="shared" ca="1" si="72"/>
        <v>14433</v>
      </c>
      <c r="S405" s="307">
        <f t="shared" ca="1" si="73"/>
        <v>72</v>
      </c>
      <c r="T405" s="3190">
        <f>面积表!A400</f>
        <v>0</v>
      </c>
    </row>
    <row r="406" spans="1:20">
      <c r="A406" s="3169" t="str">
        <f>面积表!D401</f>
        <v>1608</v>
      </c>
      <c r="B406" s="52">
        <f>面积表!E401</f>
        <v>49.62</v>
      </c>
      <c r="C406" s="21">
        <f t="shared" si="64"/>
        <v>1</v>
      </c>
      <c r="D406" s="2559" t="s">
        <v>4016</v>
      </c>
      <c r="E406" s="21">
        <f t="shared" si="65"/>
        <v>1</v>
      </c>
      <c r="F406" s="2559" t="s">
        <v>21</v>
      </c>
      <c r="G406" s="21">
        <f t="shared" si="66"/>
        <v>1</v>
      </c>
      <c r="H406" s="631">
        <v>3</v>
      </c>
      <c r="I406" s="21">
        <f t="shared" si="67"/>
        <v>1</v>
      </c>
      <c r="J406" s="631"/>
      <c r="K406" s="21">
        <f t="shared" si="68"/>
        <v>1</v>
      </c>
      <c r="L406" s="631"/>
      <c r="M406" s="21">
        <f t="shared" si="69"/>
        <v>1</v>
      </c>
      <c r="N406" s="631"/>
      <c r="O406" s="21">
        <f t="shared" si="70"/>
        <v>1</v>
      </c>
      <c r="P406" s="631" t="s">
        <v>3553</v>
      </c>
      <c r="Q406" s="21">
        <f t="shared" si="71"/>
        <v>1.02</v>
      </c>
      <c r="R406" s="21">
        <f t="shared" ca="1" si="72"/>
        <v>14433</v>
      </c>
      <c r="S406" s="307">
        <f t="shared" ca="1" si="73"/>
        <v>72</v>
      </c>
      <c r="T406" s="3190">
        <f>面积表!A401</f>
        <v>0</v>
      </c>
    </row>
    <row r="407" spans="1:20">
      <c r="A407" s="3169" t="str">
        <f>面积表!D402</f>
        <v>1609</v>
      </c>
      <c r="B407" s="52">
        <f>面积表!E402</f>
        <v>49.62</v>
      </c>
      <c r="C407" s="21">
        <f t="shared" si="64"/>
        <v>1</v>
      </c>
      <c r="D407" s="2559" t="s">
        <v>4016</v>
      </c>
      <c r="E407" s="21">
        <f t="shared" si="65"/>
        <v>1</v>
      </c>
      <c r="F407" s="2559" t="s">
        <v>21</v>
      </c>
      <c r="G407" s="21">
        <f t="shared" si="66"/>
        <v>1</v>
      </c>
      <c r="H407" s="631">
        <v>3</v>
      </c>
      <c r="I407" s="21">
        <f t="shared" si="67"/>
        <v>1</v>
      </c>
      <c r="J407" s="631"/>
      <c r="K407" s="21">
        <f t="shared" si="68"/>
        <v>1</v>
      </c>
      <c r="L407" s="631"/>
      <c r="M407" s="21">
        <f t="shared" si="69"/>
        <v>1</v>
      </c>
      <c r="N407" s="631"/>
      <c r="O407" s="21">
        <f t="shared" si="70"/>
        <v>1</v>
      </c>
      <c r="P407" s="631" t="s">
        <v>3553</v>
      </c>
      <c r="Q407" s="21">
        <f t="shared" si="71"/>
        <v>1.02</v>
      </c>
      <c r="R407" s="21">
        <f t="shared" ca="1" si="72"/>
        <v>14433</v>
      </c>
      <c r="S407" s="307">
        <f t="shared" ca="1" si="73"/>
        <v>72</v>
      </c>
      <c r="T407" s="3190">
        <f>面积表!A402</f>
        <v>0</v>
      </c>
    </row>
    <row r="408" spans="1:20">
      <c r="A408" s="3169" t="str">
        <f>面积表!D403</f>
        <v>1610</v>
      </c>
      <c r="B408" s="52">
        <f>面积表!E403</f>
        <v>49.62</v>
      </c>
      <c r="C408" s="21">
        <f t="shared" si="64"/>
        <v>1</v>
      </c>
      <c r="D408" s="2559" t="s">
        <v>4016</v>
      </c>
      <c r="E408" s="21">
        <f t="shared" si="65"/>
        <v>1</v>
      </c>
      <c r="F408" s="2559" t="s">
        <v>21</v>
      </c>
      <c r="G408" s="21">
        <f t="shared" si="66"/>
        <v>1</v>
      </c>
      <c r="H408" s="631">
        <v>3</v>
      </c>
      <c r="I408" s="21">
        <f t="shared" si="67"/>
        <v>1</v>
      </c>
      <c r="J408" s="631"/>
      <c r="K408" s="21">
        <f t="shared" si="68"/>
        <v>1</v>
      </c>
      <c r="L408" s="631"/>
      <c r="M408" s="21">
        <f t="shared" si="69"/>
        <v>1</v>
      </c>
      <c r="N408" s="631"/>
      <c r="O408" s="21">
        <f t="shared" si="70"/>
        <v>1</v>
      </c>
      <c r="P408" s="631" t="s">
        <v>3553</v>
      </c>
      <c r="Q408" s="21">
        <f t="shared" si="71"/>
        <v>1.02</v>
      </c>
      <c r="R408" s="21">
        <f t="shared" ca="1" si="72"/>
        <v>14433</v>
      </c>
      <c r="S408" s="307">
        <f t="shared" ca="1" si="73"/>
        <v>72</v>
      </c>
      <c r="T408" s="3190">
        <f>面积表!A403</f>
        <v>0</v>
      </c>
    </row>
    <row r="409" spans="1:20">
      <c r="A409" s="3169" t="str">
        <f>面积表!D404</f>
        <v>1611</v>
      </c>
      <c r="B409" s="52">
        <f>面积表!E404</f>
        <v>49.62</v>
      </c>
      <c r="C409" s="21">
        <f t="shared" si="64"/>
        <v>1</v>
      </c>
      <c r="D409" s="2559" t="s">
        <v>4016</v>
      </c>
      <c r="E409" s="21">
        <f t="shared" si="65"/>
        <v>1</v>
      </c>
      <c r="F409" s="2559" t="s">
        <v>21</v>
      </c>
      <c r="G409" s="21">
        <f t="shared" si="66"/>
        <v>1</v>
      </c>
      <c r="H409" s="631">
        <v>3</v>
      </c>
      <c r="I409" s="21">
        <f t="shared" si="67"/>
        <v>1</v>
      </c>
      <c r="J409" s="631"/>
      <c r="K409" s="21">
        <f t="shared" si="68"/>
        <v>1</v>
      </c>
      <c r="L409" s="631"/>
      <c r="M409" s="21">
        <f t="shared" si="69"/>
        <v>1</v>
      </c>
      <c r="N409" s="631"/>
      <c r="O409" s="21">
        <f t="shared" si="70"/>
        <v>1</v>
      </c>
      <c r="P409" s="631" t="s">
        <v>3553</v>
      </c>
      <c r="Q409" s="21">
        <f t="shared" si="71"/>
        <v>1.02</v>
      </c>
      <c r="R409" s="21">
        <f t="shared" ca="1" si="72"/>
        <v>14433</v>
      </c>
      <c r="S409" s="307">
        <f t="shared" ca="1" si="73"/>
        <v>72</v>
      </c>
      <c r="T409" s="3190">
        <f>面积表!A404</f>
        <v>0</v>
      </c>
    </row>
    <row r="410" spans="1:20">
      <c r="A410" s="3169" t="str">
        <f>面积表!D405</f>
        <v>1612</v>
      </c>
      <c r="B410" s="52">
        <f>面积表!E405</f>
        <v>49.62</v>
      </c>
      <c r="C410" s="21">
        <f t="shared" ref="C410:C473" si="74">IF(B410="",1,(LOOKUP(B410,$3:$3,$4:$4)-LOOKUP($B$24,$3:$3,$4:$4)+100)/100)</f>
        <v>1</v>
      </c>
      <c r="D410" s="2559" t="s">
        <v>4016</v>
      </c>
      <c r="E410" s="21">
        <f t="shared" ref="E410:E473" si="75">(SUMIF($5:$5,D410,$6:$6)-SUMIF($5:$5,$D$24,$6:$6)+100)/100</f>
        <v>1</v>
      </c>
      <c r="F410" s="2559" t="s">
        <v>21</v>
      </c>
      <c r="G410" s="21">
        <f t="shared" ref="G410:G473" si="76">(SUMIF($7:$7,F410,$8:$8)-SUMIF($7:$7,$F$24,$8:$8)+100)/100</f>
        <v>1</v>
      </c>
      <c r="H410" s="631">
        <v>3</v>
      </c>
      <c r="I410" s="21">
        <f t="shared" ref="I410:I473" si="77">(SUMIF($9:$9,H410,$10:$10)-SUMIF($9:$9,$H$24,$10:$10)+100)/100</f>
        <v>1</v>
      </c>
      <c r="J410" s="631"/>
      <c r="K410" s="21">
        <f t="shared" ref="K410:K473" si="78">(SUMIF($11:$11,J410,$12:$12)-SUMIF($11:$11,$J$24,$12:$12)+100)/100</f>
        <v>1</v>
      </c>
      <c r="L410" s="631"/>
      <c r="M410" s="21">
        <f t="shared" ref="M410:M473" si="79">(SUMIF($13:$13,L410,$14:$14)-SUMIF($13:$13,$L$24,$14:$14)+100)/100</f>
        <v>1</v>
      </c>
      <c r="N410" s="631"/>
      <c r="O410" s="21">
        <f t="shared" ref="O410:O473" si="80">(SUMIF($15:$15,N410,$16:$16)-SUMIF($15:$15,$N$24,$16:$16)+100)/100</f>
        <v>1</v>
      </c>
      <c r="P410" s="631" t="s">
        <v>3553</v>
      </c>
      <c r="Q410" s="21">
        <f t="shared" ref="Q410:Q473" si="81">(SUMIF($17:$17,P410,$18:$18)-SUMIF($17:$17,$P$24,$18:$18)+100)/100</f>
        <v>1.02</v>
      </c>
      <c r="R410" s="21">
        <f t="shared" ref="R410:R473" ca="1" si="82">IF(B410="",0,ROUND($R$24*C410*E410*G410*I410*K410*M410*O410*Q410,0))</f>
        <v>14433</v>
      </c>
      <c r="S410" s="307">
        <f t="shared" ca="1" si="73"/>
        <v>72</v>
      </c>
      <c r="T410" s="3190">
        <f>面积表!A405</f>
        <v>0</v>
      </c>
    </row>
    <row r="411" spans="1:20">
      <c r="A411" s="3169" t="str">
        <f>面积表!D406</f>
        <v>1613</v>
      </c>
      <c r="B411" s="52">
        <f>面积表!E406</f>
        <v>49.62</v>
      </c>
      <c r="C411" s="21">
        <f t="shared" si="74"/>
        <v>1</v>
      </c>
      <c r="D411" s="2559" t="s">
        <v>4016</v>
      </c>
      <c r="E411" s="21">
        <f t="shared" si="75"/>
        <v>1</v>
      </c>
      <c r="F411" s="2559" t="s">
        <v>21</v>
      </c>
      <c r="G411" s="21">
        <f t="shared" si="76"/>
        <v>1</v>
      </c>
      <c r="H411" s="631">
        <v>3</v>
      </c>
      <c r="I411" s="21">
        <f t="shared" si="77"/>
        <v>1</v>
      </c>
      <c r="J411" s="631"/>
      <c r="K411" s="21">
        <f t="shared" si="78"/>
        <v>1</v>
      </c>
      <c r="L411" s="631"/>
      <c r="M411" s="21">
        <f t="shared" si="79"/>
        <v>1</v>
      </c>
      <c r="N411" s="631"/>
      <c r="O411" s="21">
        <f t="shared" si="80"/>
        <v>1</v>
      </c>
      <c r="P411" s="631" t="s">
        <v>3553</v>
      </c>
      <c r="Q411" s="21">
        <f t="shared" si="81"/>
        <v>1.02</v>
      </c>
      <c r="R411" s="21">
        <f t="shared" ca="1" si="82"/>
        <v>14433</v>
      </c>
      <c r="S411" s="307">
        <f t="shared" ca="1" si="73"/>
        <v>72</v>
      </c>
      <c r="T411" s="3190">
        <f>面积表!A406</f>
        <v>0</v>
      </c>
    </row>
    <row r="412" spans="1:20">
      <c r="A412" s="3169" t="str">
        <f>面积表!D407</f>
        <v>1614</v>
      </c>
      <c r="B412" s="52">
        <f>面积表!E407</f>
        <v>49.62</v>
      </c>
      <c r="C412" s="21">
        <f t="shared" si="74"/>
        <v>1</v>
      </c>
      <c r="D412" s="2559" t="s">
        <v>4016</v>
      </c>
      <c r="E412" s="21">
        <f t="shared" si="75"/>
        <v>1</v>
      </c>
      <c r="F412" s="2559" t="s">
        <v>21</v>
      </c>
      <c r="G412" s="21">
        <f t="shared" si="76"/>
        <v>1</v>
      </c>
      <c r="H412" s="631">
        <v>3</v>
      </c>
      <c r="I412" s="21">
        <f t="shared" si="77"/>
        <v>1</v>
      </c>
      <c r="J412" s="631"/>
      <c r="K412" s="21">
        <f t="shared" si="78"/>
        <v>1</v>
      </c>
      <c r="L412" s="631"/>
      <c r="M412" s="21">
        <f t="shared" si="79"/>
        <v>1</v>
      </c>
      <c r="N412" s="631"/>
      <c r="O412" s="21">
        <f t="shared" si="80"/>
        <v>1</v>
      </c>
      <c r="P412" s="631" t="s">
        <v>3553</v>
      </c>
      <c r="Q412" s="21">
        <f t="shared" si="81"/>
        <v>1.02</v>
      </c>
      <c r="R412" s="21">
        <f t="shared" ca="1" si="82"/>
        <v>14433</v>
      </c>
      <c r="S412" s="307">
        <f t="shared" ca="1" si="73"/>
        <v>72</v>
      </c>
      <c r="T412" s="3190">
        <f>面积表!A407</f>
        <v>0</v>
      </c>
    </row>
    <row r="413" spans="1:20">
      <c r="A413" s="3169" t="str">
        <f>面积表!D408</f>
        <v>1615</v>
      </c>
      <c r="B413" s="52">
        <f>面积表!E408</f>
        <v>49.62</v>
      </c>
      <c r="C413" s="21">
        <f t="shared" si="74"/>
        <v>1</v>
      </c>
      <c r="D413" s="2559" t="s">
        <v>4016</v>
      </c>
      <c r="E413" s="21">
        <f t="shared" si="75"/>
        <v>1</v>
      </c>
      <c r="F413" s="2559" t="s">
        <v>21</v>
      </c>
      <c r="G413" s="21">
        <f t="shared" si="76"/>
        <v>1</v>
      </c>
      <c r="H413" s="631">
        <v>3</v>
      </c>
      <c r="I413" s="21">
        <f t="shared" si="77"/>
        <v>1</v>
      </c>
      <c r="J413" s="631"/>
      <c r="K413" s="21">
        <f t="shared" si="78"/>
        <v>1</v>
      </c>
      <c r="L413" s="631"/>
      <c r="M413" s="21">
        <f t="shared" si="79"/>
        <v>1</v>
      </c>
      <c r="N413" s="631"/>
      <c r="O413" s="21">
        <f t="shared" si="80"/>
        <v>1</v>
      </c>
      <c r="P413" s="631" t="s">
        <v>3553</v>
      </c>
      <c r="Q413" s="21">
        <f t="shared" si="81"/>
        <v>1.02</v>
      </c>
      <c r="R413" s="21">
        <f t="shared" ca="1" si="82"/>
        <v>14433</v>
      </c>
      <c r="S413" s="307">
        <f t="shared" ca="1" si="73"/>
        <v>72</v>
      </c>
      <c r="T413" s="3190">
        <f>面积表!A408</f>
        <v>0</v>
      </c>
    </row>
    <row r="414" spans="1:20">
      <c r="A414" s="3169" t="str">
        <f>面积表!D409</f>
        <v>1616</v>
      </c>
      <c r="B414" s="52">
        <f>面积表!E409</f>
        <v>68.78</v>
      </c>
      <c r="C414" s="21">
        <f t="shared" si="74"/>
        <v>1.01</v>
      </c>
      <c r="D414" s="2559" t="s">
        <v>4016</v>
      </c>
      <c r="E414" s="21">
        <f t="shared" si="75"/>
        <v>1</v>
      </c>
      <c r="F414" s="2559" t="s">
        <v>21</v>
      </c>
      <c r="G414" s="21">
        <f t="shared" si="76"/>
        <v>1</v>
      </c>
      <c r="H414" s="631">
        <v>3</v>
      </c>
      <c r="I414" s="21">
        <f t="shared" si="77"/>
        <v>1</v>
      </c>
      <c r="J414" s="631"/>
      <c r="K414" s="21">
        <f t="shared" si="78"/>
        <v>1</v>
      </c>
      <c r="L414" s="631"/>
      <c r="M414" s="21">
        <f t="shared" si="79"/>
        <v>1</v>
      </c>
      <c r="N414" s="631"/>
      <c r="O414" s="21">
        <f t="shared" si="80"/>
        <v>1</v>
      </c>
      <c r="P414" s="631" t="s">
        <v>3553</v>
      </c>
      <c r="Q414" s="21">
        <f t="shared" si="81"/>
        <v>1.02</v>
      </c>
      <c r="R414" s="21">
        <f t="shared" ca="1" si="82"/>
        <v>14577</v>
      </c>
      <c r="S414" s="307">
        <f t="shared" ca="1" si="73"/>
        <v>100</v>
      </c>
      <c r="T414" s="3190">
        <f>面积表!A409</f>
        <v>0</v>
      </c>
    </row>
    <row r="415" spans="1:20">
      <c r="A415" s="3169" t="str">
        <f>面积表!D410</f>
        <v>1617</v>
      </c>
      <c r="B415" s="52">
        <f>面积表!E410</f>
        <v>38.1</v>
      </c>
      <c r="C415" s="21">
        <f t="shared" si="74"/>
        <v>1</v>
      </c>
      <c r="D415" s="2559" t="s">
        <v>4016</v>
      </c>
      <c r="E415" s="21">
        <f t="shared" si="75"/>
        <v>1</v>
      </c>
      <c r="F415" s="2559" t="s">
        <v>21</v>
      </c>
      <c r="G415" s="21">
        <f t="shared" si="76"/>
        <v>1</v>
      </c>
      <c r="H415" s="631">
        <v>3</v>
      </c>
      <c r="I415" s="21">
        <f t="shared" si="77"/>
        <v>1</v>
      </c>
      <c r="J415" s="631"/>
      <c r="K415" s="21">
        <f t="shared" si="78"/>
        <v>1</v>
      </c>
      <c r="L415" s="631"/>
      <c r="M415" s="21">
        <f t="shared" si="79"/>
        <v>1</v>
      </c>
      <c r="N415" s="631"/>
      <c r="O415" s="21">
        <f t="shared" si="80"/>
        <v>1</v>
      </c>
      <c r="P415" s="631" t="s">
        <v>3553</v>
      </c>
      <c r="Q415" s="21">
        <f t="shared" si="81"/>
        <v>1.02</v>
      </c>
      <c r="R415" s="21">
        <f t="shared" ca="1" si="82"/>
        <v>14433</v>
      </c>
      <c r="S415" s="307">
        <f t="shared" ca="1" si="73"/>
        <v>55</v>
      </c>
      <c r="T415" s="3190">
        <f>面积表!A410</f>
        <v>0</v>
      </c>
    </row>
    <row r="416" spans="1:20">
      <c r="A416" s="3169" t="str">
        <f>面积表!D411</f>
        <v>1618</v>
      </c>
      <c r="B416" s="52">
        <f>面积表!E411</f>
        <v>41.4</v>
      </c>
      <c r="C416" s="21">
        <f t="shared" si="74"/>
        <v>1</v>
      </c>
      <c r="D416" s="2559" t="s">
        <v>4016</v>
      </c>
      <c r="E416" s="21">
        <f t="shared" si="75"/>
        <v>1</v>
      </c>
      <c r="F416" s="2559" t="s">
        <v>21</v>
      </c>
      <c r="G416" s="21">
        <f t="shared" si="76"/>
        <v>1</v>
      </c>
      <c r="H416" s="631">
        <v>3</v>
      </c>
      <c r="I416" s="21">
        <f t="shared" si="77"/>
        <v>1</v>
      </c>
      <c r="J416" s="631"/>
      <c r="K416" s="21">
        <f t="shared" si="78"/>
        <v>1</v>
      </c>
      <c r="L416" s="631"/>
      <c r="M416" s="21">
        <f t="shared" si="79"/>
        <v>1</v>
      </c>
      <c r="N416" s="631"/>
      <c r="O416" s="21">
        <f t="shared" si="80"/>
        <v>1</v>
      </c>
      <c r="P416" s="631" t="s">
        <v>3553</v>
      </c>
      <c r="Q416" s="21">
        <f t="shared" si="81"/>
        <v>1.02</v>
      </c>
      <c r="R416" s="21">
        <f t="shared" ca="1" si="82"/>
        <v>14433</v>
      </c>
      <c r="S416" s="307">
        <f t="shared" ca="1" si="73"/>
        <v>60</v>
      </c>
      <c r="T416" s="3190">
        <f>面积表!A411</f>
        <v>0</v>
      </c>
    </row>
    <row r="417" spans="1:20">
      <c r="A417" s="3169" t="str">
        <f>面积表!D412</f>
        <v>1619</v>
      </c>
      <c r="B417" s="52">
        <f>面积表!E412</f>
        <v>44.09</v>
      </c>
      <c r="C417" s="21">
        <f t="shared" si="74"/>
        <v>1</v>
      </c>
      <c r="D417" s="2559" t="s">
        <v>4016</v>
      </c>
      <c r="E417" s="21">
        <f t="shared" si="75"/>
        <v>1</v>
      </c>
      <c r="F417" s="2559" t="s">
        <v>21</v>
      </c>
      <c r="G417" s="21">
        <f t="shared" si="76"/>
        <v>1</v>
      </c>
      <c r="H417" s="631">
        <v>3</v>
      </c>
      <c r="I417" s="21">
        <f t="shared" si="77"/>
        <v>1</v>
      </c>
      <c r="J417" s="631"/>
      <c r="K417" s="21">
        <f t="shared" si="78"/>
        <v>1</v>
      </c>
      <c r="L417" s="631"/>
      <c r="M417" s="21">
        <f t="shared" si="79"/>
        <v>1</v>
      </c>
      <c r="N417" s="631"/>
      <c r="O417" s="21">
        <f t="shared" si="80"/>
        <v>1</v>
      </c>
      <c r="P417" s="631" t="s">
        <v>3553</v>
      </c>
      <c r="Q417" s="21">
        <f t="shared" si="81"/>
        <v>1.02</v>
      </c>
      <c r="R417" s="21">
        <f t="shared" ca="1" si="82"/>
        <v>14433</v>
      </c>
      <c r="S417" s="307">
        <f t="shared" ca="1" si="73"/>
        <v>64</v>
      </c>
      <c r="T417" s="3190">
        <f>面积表!A412</f>
        <v>0</v>
      </c>
    </row>
    <row r="418" spans="1:20">
      <c r="A418" s="3169" t="str">
        <f>面积表!D413</f>
        <v>1620</v>
      </c>
      <c r="B418" s="52">
        <f>面积表!E413</f>
        <v>46.17</v>
      </c>
      <c r="C418" s="21">
        <f t="shared" si="74"/>
        <v>1</v>
      </c>
      <c r="D418" s="2559" t="s">
        <v>4016</v>
      </c>
      <c r="E418" s="21">
        <f t="shared" si="75"/>
        <v>1</v>
      </c>
      <c r="F418" s="2559" t="s">
        <v>21</v>
      </c>
      <c r="G418" s="21">
        <f t="shared" si="76"/>
        <v>1</v>
      </c>
      <c r="H418" s="631">
        <v>3</v>
      </c>
      <c r="I418" s="21">
        <f t="shared" si="77"/>
        <v>1</v>
      </c>
      <c r="J418" s="631"/>
      <c r="K418" s="21">
        <f t="shared" si="78"/>
        <v>1</v>
      </c>
      <c r="L418" s="631"/>
      <c r="M418" s="21">
        <f t="shared" si="79"/>
        <v>1</v>
      </c>
      <c r="N418" s="631"/>
      <c r="O418" s="21">
        <f t="shared" si="80"/>
        <v>1</v>
      </c>
      <c r="P418" s="631" t="s">
        <v>3553</v>
      </c>
      <c r="Q418" s="21">
        <f t="shared" si="81"/>
        <v>1.02</v>
      </c>
      <c r="R418" s="21">
        <f t="shared" ca="1" si="82"/>
        <v>14433</v>
      </c>
      <c r="S418" s="307">
        <f t="shared" ca="1" si="73"/>
        <v>67</v>
      </c>
      <c r="T418" s="3190">
        <f>面积表!A413</f>
        <v>0</v>
      </c>
    </row>
    <row r="419" spans="1:20">
      <c r="A419" s="3169" t="str">
        <f>面积表!D414</f>
        <v>1621</v>
      </c>
      <c r="B419" s="52">
        <f>面积表!E414</f>
        <v>47.65</v>
      </c>
      <c r="C419" s="21">
        <f t="shared" si="74"/>
        <v>1</v>
      </c>
      <c r="D419" s="2559" t="s">
        <v>4016</v>
      </c>
      <c r="E419" s="21">
        <f t="shared" si="75"/>
        <v>1</v>
      </c>
      <c r="F419" s="2559" t="s">
        <v>21</v>
      </c>
      <c r="G419" s="21">
        <f t="shared" si="76"/>
        <v>1</v>
      </c>
      <c r="H419" s="631">
        <v>3</v>
      </c>
      <c r="I419" s="21">
        <f t="shared" si="77"/>
        <v>1</v>
      </c>
      <c r="J419" s="631"/>
      <c r="K419" s="21">
        <f t="shared" si="78"/>
        <v>1</v>
      </c>
      <c r="L419" s="631"/>
      <c r="M419" s="21">
        <f t="shared" si="79"/>
        <v>1</v>
      </c>
      <c r="N419" s="631"/>
      <c r="O419" s="21">
        <f t="shared" si="80"/>
        <v>1</v>
      </c>
      <c r="P419" s="631" t="s">
        <v>3553</v>
      </c>
      <c r="Q419" s="21">
        <f t="shared" si="81"/>
        <v>1.02</v>
      </c>
      <c r="R419" s="21">
        <f t="shared" ca="1" si="82"/>
        <v>14433</v>
      </c>
      <c r="S419" s="307">
        <f t="shared" ca="1" si="73"/>
        <v>69</v>
      </c>
      <c r="T419" s="3190">
        <f>面积表!A414</f>
        <v>0</v>
      </c>
    </row>
    <row r="420" spans="1:20">
      <c r="A420" s="3169" t="str">
        <f>面积表!D415</f>
        <v>1622</v>
      </c>
      <c r="B420" s="52">
        <f>面积表!E415</f>
        <v>48.6</v>
      </c>
      <c r="C420" s="21">
        <f t="shared" si="74"/>
        <v>1</v>
      </c>
      <c r="D420" s="2559" t="s">
        <v>4016</v>
      </c>
      <c r="E420" s="21">
        <f t="shared" si="75"/>
        <v>1</v>
      </c>
      <c r="F420" s="2559" t="s">
        <v>21</v>
      </c>
      <c r="G420" s="21">
        <f t="shared" si="76"/>
        <v>1</v>
      </c>
      <c r="H420" s="631">
        <v>3</v>
      </c>
      <c r="I420" s="21">
        <f t="shared" si="77"/>
        <v>1</v>
      </c>
      <c r="J420" s="631"/>
      <c r="K420" s="21">
        <f t="shared" si="78"/>
        <v>1</v>
      </c>
      <c r="L420" s="631"/>
      <c r="M420" s="21">
        <f t="shared" si="79"/>
        <v>1</v>
      </c>
      <c r="N420" s="631"/>
      <c r="O420" s="21">
        <f t="shared" si="80"/>
        <v>1</v>
      </c>
      <c r="P420" s="631" t="s">
        <v>3553</v>
      </c>
      <c r="Q420" s="21">
        <f t="shared" si="81"/>
        <v>1.02</v>
      </c>
      <c r="R420" s="21">
        <f t="shared" ca="1" si="82"/>
        <v>14433</v>
      </c>
      <c r="S420" s="307">
        <f t="shared" ca="1" si="73"/>
        <v>70</v>
      </c>
      <c r="T420" s="3190">
        <f>面积表!A415</f>
        <v>0</v>
      </c>
    </row>
    <row r="421" spans="1:20">
      <c r="A421" s="3169" t="str">
        <f>面积表!D416</f>
        <v>1623</v>
      </c>
      <c r="B421" s="52">
        <f>面积表!E416</f>
        <v>48.89</v>
      </c>
      <c r="C421" s="21">
        <f t="shared" si="74"/>
        <v>1</v>
      </c>
      <c r="D421" s="2559" t="s">
        <v>4016</v>
      </c>
      <c r="E421" s="21">
        <f t="shared" si="75"/>
        <v>1</v>
      </c>
      <c r="F421" s="2559" t="s">
        <v>21</v>
      </c>
      <c r="G421" s="21">
        <f t="shared" si="76"/>
        <v>1</v>
      </c>
      <c r="H421" s="631">
        <v>3</v>
      </c>
      <c r="I421" s="21">
        <f t="shared" si="77"/>
        <v>1</v>
      </c>
      <c r="J421" s="631"/>
      <c r="K421" s="21">
        <f t="shared" si="78"/>
        <v>1</v>
      </c>
      <c r="L421" s="631"/>
      <c r="M421" s="21">
        <f t="shared" si="79"/>
        <v>1</v>
      </c>
      <c r="N421" s="631"/>
      <c r="O421" s="21">
        <f t="shared" si="80"/>
        <v>1</v>
      </c>
      <c r="P421" s="631" t="s">
        <v>3553</v>
      </c>
      <c r="Q421" s="21">
        <f t="shared" si="81"/>
        <v>1.02</v>
      </c>
      <c r="R421" s="21">
        <f t="shared" ca="1" si="82"/>
        <v>14433</v>
      </c>
      <c r="S421" s="307">
        <f t="shared" ca="1" si="73"/>
        <v>71</v>
      </c>
      <c r="T421" s="3190">
        <f>面积表!A416</f>
        <v>0</v>
      </c>
    </row>
    <row r="422" spans="1:20">
      <c r="A422" s="3169" t="str">
        <f>面积表!D417</f>
        <v>1624</v>
      </c>
      <c r="B422" s="52">
        <f>面积表!E417</f>
        <v>48.59</v>
      </c>
      <c r="C422" s="21">
        <f t="shared" si="74"/>
        <v>1</v>
      </c>
      <c r="D422" s="2559" t="s">
        <v>4016</v>
      </c>
      <c r="E422" s="21">
        <f t="shared" si="75"/>
        <v>1</v>
      </c>
      <c r="F422" s="2559" t="s">
        <v>21</v>
      </c>
      <c r="G422" s="21">
        <f t="shared" si="76"/>
        <v>1</v>
      </c>
      <c r="H422" s="631">
        <v>3</v>
      </c>
      <c r="I422" s="21">
        <f t="shared" si="77"/>
        <v>1</v>
      </c>
      <c r="J422" s="631"/>
      <c r="K422" s="21">
        <f t="shared" si="78"/>
        <v>1</v>
      </c>
      <c r="L422" s="631"/>
      <c r="M422" s="21">
        <f t="shared" si="79"/>
        <v>1</v>
      </c>
      <c r="N422" s="631"/>
      <c r="O422" s="21">
        <f t="shared" si="80"/>
        <v>1</v>
      </c>
      <c r="P422" s="631" t="s">
        <v>3553</v>
      </c>
      <c r="Q422" s="21">
        <f t="shared" si="81"/>
        <v>1.02</v>
      </c>
      <c r="R422" s="21">
        <f t="shared" ca="1" si="82"/>
        <v>14433</v>
      </c>
      <c r="S422" s="307">
        <f t="shared" ca="1" si="73"/>
        <v>70</v>
      </c>
      <c r="T422" s="3190">
        <f>面积表!A417</f>
        <v>0</v>
      </c>
    </row>
    <row r="423" spans="1:20">
      <c r="A423" s="3169" t="str">
        <f>面积表!D418</f>
        <v>1625</v>
      </c>
      <c r="B423" s="52">
        <f>面积表!E418</f>
        <v>47.73</v>
      </c>
      <c r="C423" s="21">
        <f t="shared" si="74"/>
        <v>1</v>
      </c>
      <c r="D423" s="2559" t="s">
        <v>4016</v>
      </c>
      <c r="E423" s="21">
        <f t="shared" si="75"/>
        <v>1</v>
      </c>
      <c r="F423" s="2559" t="s">
        <v>21</v>
      </c>
      <c r="G423" s="21">
        <f t="shared" si="76"/>
        <v>1</v>
      </c>
      <c r="H423" s="631">
        <v>3</v>
      </c>
      <c r="I423" s="21">
        <f t="shared" si="77"/>
        <v>1</v>
      </c>
      <c r="J423" s="631"/>
      <c r="K423" s="21">
        <f t="shared" si="78"/>
        <v>1</v>
      </c>
      <c r="L423" s="631"/>
      <c r="M423" s="21">
        <f t="shared" si="79"/>
        <v>1</v>
      </c>
      <c r="N423" s="631"/>
      <c r="O423" s="21">
        <f t="shared" si="80"/>
        <v>1</v>
      </c>
      <c r="P423" s="631" t="s">
        <v>3553</v>
      </c>
      <c r="Q423" s="21">
        <f t="shared" si="81"/>
        <v>1.02</v>
      </c>
      <c r="R423" s="21">
        <f t="shared" ca="1" si="82"/>
        <v>14433</v>
      </c>
      <c r="S423" s="307">
        <f t="shared" ref="S423:S467" ca="1" si="83">ROUND(R423*B423/10000,0)</f>
        <v>69</v>
      </c>
      <c r="T423" s="3190">
        <f>面积表!A418</f>
        <v>0</v>
      </c>
    </row>
    <row r="424" spans="1:20">
      <c r="A424" s="3169" t="str">
        <f>面积表!D419</f>
        <v>1626</v>
      </c>
      <c r="B424" s="52">
        <f>面积表!E419</f>
        <v>70.2</v>
      </c>
      <c r="C424" s="21">
        <f t="shared" si="74"/>
        <v>1.01</v>
      </c>
      <c r="D424" s="2559" t="s">
        <v>4016</v>
      </c>
      <c r="E424" s="21">
        <f t="shared" si="75"/>
        <v>1</v>
      </c>
      <c r="F424" s="2559" t="s">
        <v>21</v>
      </c>
      <c r="G424" s="21">
        <f t="shared" si="76"/>
        <v>1</v>
      </c>
      <c r="H424" s="631">
        <v>3</v>
      </c>
      <c r="I424" s="21">
        <f t="shared" si="77"/>
        <v>1</v>
      </c>
      <c r="J424" s="631"/>
      <c r="K424" s="21">
        <f t="shared" si="78"/>
        <v>1</v>
      </c>
      <c r="L424" s="631"/>
      <c r="M424" s="21">
        <f t="shared" si="79"/>
        <v>1</v>
      </c>
      <c r="N424" s="631"/>
      <c r="O424" s="21">
        <f t="shared" si="80"/>
        <v>1</v>
      </c>
      <c r="P424" s="631" t="s">
        <v>3553</v>
      </c>
      <c r="Q424" s="21">
        <f t="shared" si="81"/>
        <v>1.02</v>
      </c>
      <c r="R424" s="21">
        <f t="shared" ca="1" si="82"/>
        <v>14577</v>
      </c>
      <c r="S424" s="307">
        <f t="shared" ca="1" si="83"/>
        <v>102</v>
      </c>
      <c r="T424" s="3190">
        <f>面积表!A419</f>
        <v>0</v>
      </c>
    </row>
    <row r="425" spans="1:20">
      <c r="A425" s="3173">
        <f>面积表!D420</f>
        <v>215</v>
      </c>
      <c r="B425" s="3174">
        <f>面积表!E420</f>
        <v>68.94</v>
      </c>
      <c r="C425" s="21">
        <f t="shared" si="74"/>
        <v>1.01</v>
      </c>
      <c r="D425" s="2559" t="s">
        <v>4016</v>
      </c>
      <c r="E425" s="21">
        <f t="shared" si="75"/>
        <v>1</v>
      </c>
      <c r="F425" s="631" t="s">
        <v>3815</v>
      </c>
      <c r="G425" s="21">
        <f t="shared" si="76"/>
        <v>0.95</v>
      </c>
      <c r="H425" s="631">
        <v>5.3</v>
      </c>
      <c r="I425" s="21">
        <f t="shared" si="77"/>
        <v>1.1000000000000001</v>
      </c>
      <c r="J425" s="631"/>
      <c r="K425" s="21">
        <f t="shared" si="78"/>
        <v>1</v>
      </c>
      <c r="L425" s="631"/>
      <c r="M425" s="21">
        <f t="shared" si="79"/>
        <v>1</v>
      </c>
      <c r="N425" s="631"/>
      <c r="O425" s="21">
        <f t="shared" si="80"/>
        <v>1</v>
      </c>
      <c r="P425" s="631" t="s">
        <v>3409</v>
      </c>
      <c r="Q425" s="21">
        <f t="shared" si="81"/>
        <v>1</v>
      </c>
      <c r="R425" s="21">
        <f t="shared" ca="1" si="82"/>
        <v>14935</v>
      </c>
      <c r="S425" s="307">
        <f t="shared" ca="1" si="83"/>
        <v>103</v>
      </c>
      <c r="T425" s="3191" t="str">
        <f>面积表!A420</f>
        <v>1号楼</v>
      </c>
    </row>
    <row r="426" spans="1:20">
      <c r="A426" s="3169">
        <f>面积表!D421</f>
        <v>218</v>
      </c>
      <c r="B426" s="52">
        <f>面积表!E421</f>
        <v>45.57</v>
      </c>
      <c r="C426" s="21">
        <f t="shared" si="74"/>
        <v>1</v>
      </c>
      <c r="D426" s="2559" t="s">
        <v>4016</v>
      </c>
      <c r="E426" s="21">
        <f t="shared" si="75"/>
        <v>1</v>
      </c>
      <c r="F426" s="631" t="s">
        <v>3815</v>
      </c>
      <c r="G426" s="21">
        <f t="shared" si="76"/>
        <v>0.95</v>
      </c>
      <c r="H426" s="631">
        <v>5.3</v>
      </c>
      <c r="I426" s="21">
        <f t="shared" si="77"/>
        <v>1.1000000000000001</v>
      </c>
      <c r="J426" s="631"/>
      <c r="K426" s="21">
        <f t="shared" si="78"/>
        <v>1</v>
      </c>
      <c r="L426" s="631"/>
      <c r="M426" s="21">
        <f t="shared" si="79"/>
        <v>1</v>
      </c>
      <c r="N426" s="631"/>
      <c r="O426" s="21">
        <f t="shared" si="80"/>
        <v>1</v>
      </c>
      <c r="P426" s="631" t="s">
        <v>3409</v>
      </c>
      <c r="Q426" s="21">
        <f t="shared" si="81"/>
        <v>1</v>
      </c>
      <c r="R426" s="21">
        <f t="shared" ca="1" si="82"/>
        <v>14787</v>
      </c>
      <c r="S426" s="307">
        <f t="shared" ca="1" si="83"/>
        <v>67</v>
      </c>
      <c r="T426" s="3190" t="str">
        <f>面积表!A421</f>
        <v>公寓</v>
      </c>
    </row>
    <row r="427" spans="1:20">
      <c r="A427" s="3169">
        <f>面积表!D422</f>
        <v>609</v>
      </c>
      <c r="B427" s="52">
        <f>面积表!E422</f>
        <v>49.74</v>
      </c>
      <c r="C427" s="21">
        <f t="shared" si="74"/>
        <v>1</v>
      </c>
      <c r="D427" s="2559" t="s">
        <v>4016</v>
      </c>
      <c r="E427" s="21">
        <f t="shared" si="75"/>
        <v>1</v>
      </c>
      <c r="F427" s="631" t="s">
        <v>3815</v>
      </c>
      <c r="G427" s="21">
        <f t="shared" si="76"/>
        <v>0.95</v>
      </c>
      <c r="H427" s="631">
        <v>3</v>
      </c>
      <c r="I427" s="21">
        <f t="shared" si="77"/>
        <v>1</v>
      </c>
      <c r="J427" s="631"/>
      <c r="K427" s="21">
        <f t="shared" si="78"/>
        <v>1</v>
      </c>
      <c r="L427" s="631"/>
      <c r="M427" s="21">
        <f t="shared" si="79"/>
        <v>1</v>
      </c>
      <c r="N427" s="631"/>
      <c r="O427" s="21">
        <f t="shared" si="80"/>
        <v>1</v>
      </c>
      <c r="P427" s="631" t="s">
        <v>3409</v>
      </c>
      <c r="Q427" s="21">
        <f t="shared" si="81"/>
        <v>1</v>
      </c>
      <c r="R427" s="21">
        <f t="shared" ca="1" si="82"/>
        <v>13443</v>
      </c>
      <c r="S427" s="307">
        <f t="shared" ca="1" si="83"/>
        <v>67</v>
      </c>
      <c r="T427" s="3190" t="str">
        <f>面积表!A422</f>
        <v>总14层</v>
      </c>
    </row>
    <row r="428" spans="1:20">
      <c r="A428" s="3169">
        <f>面积表!D423</f>
        <v>914</v>
      </c>
      <c r="B428" s="52">
        <f>面积表!E423</f>
        <v>49.74</v>
      </c>
      <c r="C428" s="21">
        <f t="shared" si="74"/>
        <v>1</v>
      </c>
      <c r="D428" s="2559" t="s">
        <v>4016</v>
      </c>
      <c r="E428" s="21">
        <f t="shared" si="75"/>
        <v>1</v>
      </c>
      <c r="F428" s="631" t="s">
        <v>3815</v>
      </c>
      <c r="G428" s="21">
        <f t="shared" si="76"/>
        <v>0.95</v>
      </c>
      <c r="H428" s="631">
        <v>3</v>
      </c>
      <c r="I428" s="21">
        <f t="shared" si="77"/>
        <v>1</v>
      </c>
      <c r="J428" s="631"/>
      <c r="K428" s="21">
        <f t="shared" si="78"/>
        <v>1</v>
      </c>
      <c r="L428" s="631"/>
      <c r="M428" s="21">
        <f t="shared" si="79"/>
        <v>1</v>
      </c>
      <c r="N428" s="631"/>
      <c r="O428" s="21">
        <f t="shared" si="80"/>
        <v>1</v>
      </c>
      <c r="P428" s="631" t="s">
        <v>3553</v>
      </c>
      <c r="Q428" s="21">
        <f t="shared" si="81"/>
        <v>1.02</v>
      </c>
      <c r="R428" s="21">
        <f t="shared" ca="1" si="82"/>
        <v>13711</v>
      </c>
      <c r="S428" s="307">
        <f t="shared" ca="1" si="83"/>
        <v>68</v>
      </c>
      <c r="T428" s="3190">
        <f>面积表!A423</f>
        <v>0</v>
      </c>
    </row>
    <row r="429" spans="1:20">
      <c r="A429" s="3169">
        <f>面积表!D424</f>
        <v>1204</v>
      </c>
      <c r="B429" s="52">
        <f>面积表!E424</f>
        <v>49.74</v>
      </c>
      <c r="C429" s="21">
        <f t="shared" si="74"/>
        <v>1</v>
      </c>
      <c r="D429" s="2559" t="s">
        <v>4016</v>
      </c>
      <c r="E429" s="21">
        <f t="shared" si="75"/>
        <v>1</v>
      </c>
      <c r="F429" s="631" t="s">
        <v>3815</v>
      </c>
      <c r="G429" s="21">
        <f t="shared" si="76"/>
        <v>0.95</v>
      </c>
      <c r="H429" s="631">
        <v>3</v>
      </c>
      <c r="I429" s="21">
        <f t="shared" si="77"/>
        <v>1</v>
      </c>
      <c r="J429" s="631"/>
      <c r="K429" s="21">
        <f t="shared" si="78"/>
        <v>1</v>
      </c>
      <c r="L429" s="631"/>
      <c r="M429" s="21">
        <f t="shared" si="79"/>
        <v>1</v>
      </c>
      <c r="N429" s="631"/>
      <c r="O429" s="21">
        <f t="shared" si="80"/>
        <v>1</v>
      </c>
      <c r="P429" s="631" t="s">
        <v>3553</v>
      </c>
      <c r="Q429" s="21">
        <f t="shared" si="81"/>
        <v>1.02</v>
      </c>
      <c r="R429" s="21">
        <f t="shared" ca="1" si="82"/>
        <v>13711</v>
      </c>
      <c r="S429" s="307">
        <f t="shared" ca="1" si="83"/>
        <v>68</v>
      </c>
      <c r="T429" s="3190">
        <f>面积表!A424</f>
        <v>0</v>
      </c>
    </row>
    <row r="430" spans="1:20">
      <c r="A430" s="3169">
        <f>面积表!D425</f>
        <v>1205</v>
      </c>
      <c r="B430" s="52">
        <f>面积表!E425</f>
        <v>49.74</v>
      </c>
      <c r="C430" s="21">
        <f t="shared" si="74"/>
        <v>1</v>
      </c>
      <c r="D430" s="2559" t="s">
        <v>4016</v>
      </c>
      <c r="E430" s="21">
        <f t="shared" si="75"/>
        <v>1</v>
      </c>
      <c r="F430" s="631" t="s">
        <v>3815</v>
      </c>
      <c r="G430" s="21">
        <f t="shared" si="76"/>
        <v>0.95</v>
      </c>
      <c r="H430" s="631">
        <v>3</v>
      </c>
      <c r="I430" s="21">
        <f t="shared" si="77"/>
        <v>1</v>
      </c>
      <c r="J430" s="631"/>
      <c r="K430" s="21">
        <f t="shared" si="78"/>
        <v>1</v>
      </c>
      <c r="L430" s="631"/>
      <c r="M430" s="21">
        <f t="shared" si="79"/>
        <v>1</v>
      </c>
      <c r="N430" s="631"/>
      <c r="O430" s="21">
        <f t="shared" si="80"/>
        <v>1</v>
      </c>
      <c r="P430" s="631" t="s">
        <v>3553</v>
      </c>
      <c r="Q430" s="21">
        <f t="shared" si="81"/>
        <v>1.02</v>
      </c>
      <c r="R430" s="21">
        <f t="shared" ca="1" si="82"/>
        <v>13711</v>
      </c>
      <c r="S430" s="307">
        <f t="shared" ca="1" si="83"/>
        <v>68</v>
      </c>
      <c r="T430" s="3190">
        <f>面积表!A425</f>
        <v>0</v>
      </c>
    </row>
    <row r="431" spans="1:20">
      <c r="A431" s="3169">
        <f>面积表!D426</f>
        <v>1206</v>
      </c>
      <c r="B431" s="52">
        <f>面积表!E426</f>
        <v>49.74</v>
      </c>
      <c r="C431" s="21">
        <f t="shared" si="74"/>
        <v>1</v>
      </c>
      <c r="D431" s="2559" t="s">
        <v>4016</v>
      </c>
      <c r="E431" s="21">
        <f t="shared" si="75"/>
        <v>1</v>
      </c>
      <c r="F431" s="631" t="s">
        <v>3815</v>
      </c>
      <c r="G431" s="21">
        <f t="shared" si="76"/>
        <v>0.95</v>
      </c>
      <c r="H431" s="631">
        <v>3</v>
      </c>
      <c r="I431" s="21">
        <f t="shared" si="77"/>
        <v>1</v>
      </c>
      <c r="J431" s="631"/>
      <c r="K431" s="21">
        <f t="shared" si="78"/>
        <v>1</v>
      </c>
      <c r="L431" s="631"/>
      <c r="M431" s="21">
        <f t="shared" si="79"/>
        <v>1</v>
      </c>
      <c r="N431" s="631"/>
      <c r="O431" s="21">
        <f t="shared" si="80"/>
        <v>1</v>
      </c>
      <c r="P431" s="631" t="s">
        <v>3553</v>
      </c>
      <c r="Q431" s="21">
        <f t="shared" si="81"/>
        <v>1.02</v>
      </c>
      <c r="R431" s="21">
        <f t="shared" ca="1" si="82"/>
        <v>13711</v>
      </c>
      <c r="S431" s="307">
        <f t="shared" ca="1" si="83"/>
        <v>68</v>
      </c>
      <c r="T431" s="3190">
        <f>面积表!A426</f>
        <v>0</v>
      </c>
    </row>
    <row r="432" spans="1:20">
      <c r="A432" s="3169">
        <f>面积表!D427</f>
        <v>1207</v>
      </c>
      <c r="B432" s="52">
        <f>面积表!E427</f>
        <v>49.74</v>
      </c>
      <c r="C432" s="21">
        <f t="shared" si="74"/>
        <v>1</v>
      </c>
      <c r="D432" s="2559" t="s">
        <v>4016</v>
      </c>
      <c r="E432" s="21">
        <f t="shared" si="75"/>
        <v>1</v>
      </c>
      <c r="F432" s="631" t="s">
        <v>3815</v>
      </c>
      <c r="G432" s="21">
        <f t="shared" si="76"/>
        <v>0.95</v>
      </c>
      <c r="H432" s="631">
        <v>3</v>
      </c>
      <c r="I432" s="21">
        <f t="shared" si="77"/>
        <v>1</v>
      </c>
      <c r="J432" s="631"/>
      <c r="K432" s="21">
        <f t="shared" si="78"/>
        <v>1</v>
      </c>
      <c r="L432" s="631"/>
      <c r="M432" s="21">
        <f t="shared" si="79"/>
        <v>1</v>
      </c>
      <c r="N432" s="631"/>
      <c r="O432" s="21">
        <f t="shared" si="80"/>
        <v>1</v>
      </c>
      <c r="P432" s="631" t="s">
        <v>3553</v>
      </c>
      <c r="Q432" s="21">
        <f t="shared" si="81"/>
        <v>1.02</v>
      </c>
      <c r="R432" s="21">
        <f t="shared" ca="1" si="82"/>
        <v>13711</v>
      </c>
      <c r="S432" s="307">
        <f t="shared" ca="1" si="83"/>
        <v>68</v>
      </c>
      <c r="T432" s="3190">
        <f>面积表!A427</f>
        <v>0</v>
      </c>
    </row>
    <row r="433" spans="1:20">
      <c r="A433" s="3169">
        <f>面积表!D428</f>
        <v>1208</v>
      </c>
      <c r="B433" s="52">
        <f>面积表!E428</f>
        <v>49.74</v>
      </c>
      <c r="C433" s="21">
        <f t="shared" si="74"/>
        <v>1</v>
      </c>
      <c r="D433" s="2559" t="s">
        <v>4016</v>
      </c>
      <c r="E433" s="21">
        <f t="shared" si="75"/>
        <v>1</v>
      </c>
      <c r="F433" s="631" t="s">
        <v>3815</v>
      </c>
      <c r="G433" s="21">
        <f t="shared" si="76"/>
        <v>0.95</v>
      </c>
      <c r="H433" s="631">
        <v>3</v>
      </c>
      <c r="I433" s="21">
        <f t="shared" si="77"/>
        <v>1</v>
      </c>
      <c r="J433" s="631"/>
      <c r="K433" s="21">
        <f t="shared" si="78"/>
        <v>1</v>
      </c>
      <c r="L433" s="631"/>
      <c r="M433" s="21">
        <f t="shared" si="79"/>
        <v>1</v>
      </c>
      <c r="N433" s="631"/>
      <c r="O433" s="21">
        <f t="shared" si="80"/>
        <v>1</v>
      </c>
      <c r="P433" s="631" t="s">
        <v>3553</v>
      </c>
      <c r="Q433" s="21">
        <f t="shared" si="81"/>
        <v>1.02</v>
      </c>
      <c r="R433" s="21">
        <f t="shared" ca="1" si="82"/>
        <v>13711</v>
      </c>
      <c r="S433" s="307">
        <f t="shared" ca="1" si="83"/>
        <v>68</v>
      </c>
      <c r="T433" s="3190">
        <f>面积表!A428</f>
        <v>0</v>
      </c>
    </row>
    <row r="434" spans="1:20">
      <c r="A434" s="3169">
        <f>面积表!D429</f>
        <v>1209</v>
      </c>
      <c r="B434" s="52">
        <f>面积表!E429</f>
        <v>49.74</v>
      </c>
      <c r="C434" s="21">
        <f t="shared" si="74"/>
        <v>1</v>
      </c>
      <c r="D434" s="2559" t="s">
        <v>4016</v>
      </c>
      <c r="E434" s="21">
        <f t="shared" si="75"/>
        <v>1</v>
      </c>
      <c r="F434" s="631" t="s">
        <v>3815</v>
      </c>
      <c r="G434" s="21">
        <f t="shared" si="76"/>
        <v>0.95</v>
      </c>
      <c r="H434" s="631">
        <v>3</v>
      </c>
      <c r="I434" s="21">
        <f t="shared" si="77"/>
        <v>1</v>
      </c>
      <c r="J434" s="631"/>
      <c r="K434" s="21">
        <f t="shared" si="78"/>
        <v>1</v>
      </c>
      <c r="L434" s="631"/>
      <c r="M434" s="21">
        <f t="shared" si="79"/>
        <v>1</v>
      </c>
      <c r="N434" s="631"/>
      <c r="O434" s="21">
        <f t="shared" si="80"/>
        <v>1</v>
      </c>
      <c r="P434" s="631" t="s">
        <v>3553</v>
      </c>
      <c r="Q434" s="21">
        <f t="shared" si="81"/>
        <v>1.02</v>
      </c>
      <c r="R434" s="21">
        <f t="shared" ca="1" si="82"/>
        <v>13711</v>
      </c>
      <c r="S434" s="307">
        <f t="shared" ca="1" si="83"/>
        <v>68</v>
      </c>
      <c r="T434" s="3190">
        <f>面积表!A429</f>
        <v>0</v>
      </c>
    </row>
    <row r="435" spans="1:20">
      <c r="A435" s="3169">
        <f>面积表!D430</f>
        <v>1210</v>
      </c>
      <c r="B435" s="52">
        <f>面积表!E430</f>
        <v>49.74</v>
      </c>
      <c r="C435" s="21">
        <f t="shared" si="74"/>
        <v>1</v>
      </c>
      <c r="D435" s="2559" t="s">
        <v>4016</v>
      </c>
      <c r="E435" s="21">
        <f t="shared" si="75"/>
        <v>1</v>
      </c>
      <c r="F435" s="631" t="s">
        <v>3815</v>
      </c>
      <c r="G435" s="21">
        <f t="shared" si="76"/>
        <v>0.95</v>
      </c>
      <c r="H435" s="631">
        <v>3</v>
      </c>
      <c r="I435" s="21">
        <f t="shared" si="77"/>
        <v>1</v>
      </c>
      <c r="J435" s="631"/>
      <c r="K435" s="21">
        <f t="shared" si="78"/>
        <v>1</v>
      </c>
      <c r="L435" s="631"/>
      <c r="M435" s="21">
        <f t="shared" si="79"/>
        <v>1</v>
      </c>
      <c r="N435" s="631"/>
      <c r="O435" s="21">
        <f t="shared" si="80"/>
        <v>1</v>
      </c>
      <c r="P435" s="631" t="s">
        <v>3553</v>
      </c>
      <c r="Q435" s="21">
        <f t="shared" si="81"/>
        <v>1.02</v>
      </c>
      <c r="R435" s="21">
        <f t="shared" ca="1" si="82"/>
        <v>13711</v>
      </c>
      <c r="S435" s="307">
        <f t="shared" ca="1" si="83"/>
        <v>68</v>
      </c>
      <c r="T435" s="3190">
        <f>面积表!A430</f>
        <v>0</v>
      </c>
    </row>
    <row r="436" spans="1:20">
      <c r="A436" s="3169">
        <f>面积表!D431</f>
        <v>1211</v>
      </c>
      <c r="B436" s="52">
        <f>面积表!E431</f>
        <v>49.74</v>
      </c>
      <c r="C436" s="21">
        <f t="shared" si="74"/>
        <v>1</v>
      </c>
      <c r="D436" s="2559" t="s">
        <v>4016</v>
      </c>
      <c r="E436" s="21">
        <f t="shared" si="75"/>
        <v>1</v>
      </c>
      <c r="F436" s="631" t="s">
        <v>3815</v>
      </c>
      <c r="G436" s="21">
        <f t="shared" si="76"/>
        <v>0.95</v>
      </c>
      <c r="H436" s="631">
        <v>3</v>
      </c>
      <c r="I436" s="21">
        <f t="shared" si="77"/>
        <v>1</v>
      </c>
      <c r="J436" s="631"/>
      <c r="K436" s="21">
        <f t="shared" si="78"/>
        <v>1</v>
      </c>
      <c r="L436" s="631"/>
      <c r="M436" s="21">
        <f t="shared" si="79"/>
        <v>1</v>
      </c>
      <c r="N436" s="631"/>
      <c r="O436" s="21">
        <f t="shared" si="80"/>
        <v>1</v>
      </c>
      <c r="P436" s="631" t="s">
        <v>3553</v>
      </c>
      <c r="Q436" s="21">
        <f t="shared" si="81"/>
        <v>1.02</v>
      </c>
      <c r="R436" s="21">
        <f t="shared" ca="1" si="82"/>
        <v>13711</v>
      </c>
      <c r="S436" s="307">
        <f t="shared" ca="1" si="83"/>
        <v>68</v>
      </c>
      <c r="T436" s="3190">
        <f>面积表!A431</f>
        <v>0</v>
      </c>
    </row>
    <row r="437" spans="1:20">
      <c r="A437" s="3169">
        <f>面积表!D432</f>
        <v>1219</v>
      </c>
      <c r="B437" s="52">
        <f>面积表!E432</f>
        <v>46.28</v>
      </c>
      <c r="C437" s="21">
        <f t="shared" si="74"/>
        <v>1</v>
      </c>
      <c r="D437" s="2559" t="s">
        <v>4016</v>
      </c>
      <c r="E437" s="21">
        <f t="shared" si="75"/>
        <v>1</v>
      </c>
      <c r="F437" s="631" t="s">
        <v>3815</v>
      </c>
      <c r="G437" s="21">
        <f t="shared" si="76"/>
        <v>0.95</v>
      </c>
      <c r="H437" s="631">
        <v>3</v>
      </c>
      <c r="I437" s="21">
        <f t="shared" si="77"/>
        <v>1</v>
      </c>
      <c r="J437" s="631"/>
      <c r="K437" s="21">
        <f t="shared" si="78"/>
        <v>1</v>
      </c>
      <c r="L437" s="631"/>
      <c r="M437" s="21">
        <f t="shared" si="79"/>
        <v>1</v>
      </c>
      <c r="N437" s="631"/>
      <c r="O437" s="21">
        <f t="shared" si="80"/>
        <v>1</v>
      </c>
      <c r="P437" s="631" t="s">
        <v>3553</v>
      </c>
      <c r="Q437" s="21">
        <f t="shared" si="81"/>
        <v>1.02</v>
      </c>
      <c r="R437" s="21">
        <f t="shared" ca="1" si="82"/>
        <v>13711</v>
      </c>
      <c r="S437" s="307">
        <f t="shared" ca="1" si="83"/>
        <v>63</v>
      </c>
      <c r="T437" s="3190">
        <f>面积表!A432</f>
        <v>0</v>
      </c>
    </row>
    <row r="438" spans="1:20">
      <c r="A438" s="3169">
        <f>面积表!D433</f>
        <v>1221</v>
      </c>
      <c r="B438" s="52">
        <f>面积表!E433</f>
        <v>48.71</v>
      </c>
      <c r="C438" s="21">
        <f t="shared" si="74"/>
        <v>1</v>
      </c>
      <c r="D438" s="2559" t="s">
        <v>4016</v>
      </c>
      <c r="E438" s="21">
        <f t="shared" si="75"/>
        <v>1</v>
      </c>
      <c r="F438" s="631" t="s">
        <v>3815</v>
      </c>
      <c r="G438" s="21">
        <f t="shared" si="76"/>
        <v>0.95</v>
      </c>
      <c r="H438" s="631">
        <v>3</v>
      </c>
      <c r="I438" s="21">
        <f t="shared" si="77"/>
        <v>1</v>
      </c>
      <c r="J438" s="631"/>
      <c r="K438" s="21">
        <f t="shared" si="78"/>
        <v>1</v>
      </c>
      <c r="L438" s="631"/>
      <c r="M438" s="21">
        <f t="shared" si="79"/>
        <v>1</v>
      </c>
      <c r="N438" s="631"/>
      <c r="O438" s="21">
        <f t="shared" si="80"/>
        <v>1</v>
      </c>
      <c r="P438" s="631" t="s">
        <v>3553</v>
      </c>
      <c r="Q438" s="21">
        <f t="shared" si="81"/>
        <v>1.02</v>
      </c>
      <c r="R438" s="21">
        <f t="shared" ca="1" si="82"/>
        <v>13711</v>
      </c>
      <c r="S438" s="307">
        <f t="shared" ca="1" si="83"/>
        <v>67</v>
      </c>
      <c r="T438" s="3190">
        <f>面积表!A433</f>
        <v>0</v>
      </c>
    </row>
    <row r="439" spans="1:20">
      <c r="A439" s="3169">
        <f>面积表!D434</f>
        <v>1302</v>
      </c>
      <c r="B439" s="52">
        <f>面积表!E434</f>
        <v>49.74</v>
      </c>
      <c r="C439" s="21">
        <f t="shared" si="74"/>
        <v>1</v>
      </c>
      <c r="D439" s="2559" t="s">
        <v>4016</v>
      </c>
      <c r="E439" s="21">
        <f t="shared" si="75"/>
        <v>1</v>
      </c>
      <c r="F439" s="631" t="s">
        <v>3815</v>
      </c>
      <c r="G439" s="21">
        <f t="shared" si="76"/>
        <v>0.95</v>
      </c>
      <c r="H439" s="631">
        <v>3</v>
      </c>
      <c r="I439" s="21">
        <f t="shared" si="77"/>
        <v>1</v>
      </c>
      <c r="J439" s="631"/>
      <c r="K439" s="21">
        <f t="shared" si="78"/>
        <v>1</v>
      </c>
      <c r="L439" s="631"/>
      <c r="M439" s="21">
        <f t="shared" si="79"/>
        <v>1</v>
      </c>
      <c r="N439" s="631"/>
      <c r="O439" s="21">
        <f t="shared" si="80"/>
        <v>1</v>
      </c>
      <c r="P439" s="631" t="s">
        <v>3553</v>
      </c>
      <c r="Q439" s="21">
        <f t="shared" si="81"/>
        <v>1.02</v>
      </c>
      <c r="R439" s="21">
        <f t="shared" ca="1" si="82"/>
        <v>13711</v>
      </c>
      <c r="S439" s="307">
        <f t="shared" ca="1" si="83"/>
        <v>68</v>
      </c>
      <c r="T439" s="3190">
        <f>面积表!A434</f>
        <v>0</v>
      </c>
    </row>
    <row r="440" spans="1:20">
      <c r="A440" s="3169">
        <f>面积表!D435</f>
        <v>1303</v>
      </c>
      <c r="B440" s="52">
        <f>面积表!E435</f>
        <v>49.74</v>
      </c>
      <c r="C440" s="21">
        <f t="shared" si="74"/>
        <v>1</v>
      </c>
      <c r="D440" s="2559" t="s">
        <v>4016</v>
      </c>
      <c r="E440" s="21">
        <f t="shared" si="75"/>
        <v>1</v>
      </c>
      <c r="F440" s="631" t="s">
        <v>3815</v>
      </c>
      <c r="G440" s="21">
        <f t="shared" si="76"/>
        <v>0.95</v>
      </c>
      <c r="H440" s="631">
        <v>3</v>
      </c>
      <c r="I440" s="21">
        <f t="shared" si="77"/>
        <v>1</v>
      </c>
      <c r="J440" s="631"/>
      <c r="K440" s="21">
        <f t="shared" si="78"/>
        <v>1</v>
      </c>
      <c r="L440" s="631"/>
      <c r="M440" s="21">
        <f t="shared" si="79"/>
        <v>1</v>
      </c>
      <c r="N440" s="631"/>
      <c r="O440" s="21">
        <f t="shared" si="80"/>
        <v>1</v>
      </c>
      <c r="P440" s="631" t="s">
        <v>3553</v>
      </c>
      <c r="Q440" s="21">
        <f t="shared" si="81"/>
        <v>1.02</v>
      </c>
      <c r="R440" s="21">
        <f t="shared" ca="1" si="82"/>
        <v>13711</v>
      </c>
      <c r="S440" s="307">
        <f t="shared" ca="1" si="83"/>
        <v>68</v>
      </c>
      <c r="T440" s="3190">
        <f>面积表!A435</f>
        <v>0</v>
      </c>
    </row>
    <row r="441" spans="1:20">
      <c r="A441" s="3169">
        <f>面积表!D436</f>
        <v>1304</v>
      </c>
      <c r="B441" s="52">
        <f>面积表!E436</f>
        <v>49.74</v>
      </c>
      <c r="C441" s="21">
        <f t="shared" si="74"/>
        <v>1</v>
      </c>
      <c r="D441" s="2559" t="s">
        <v>4016</v>
      </c>
      <c r="E441" s="21">
        <f t="shared" si="75"/>
        <v>1</v>
      </c>
      <c r="F441" s="631" t="s">
        <v>3815</v>
      </c>
      <c r="G441" s="21">
        <f t="shared" si="76"/>
        <v>0.95</v>
      </c>
      <c r="H441" s="631">
        <v>3</v>
      </c>
      <c r="I441" s="21">
        <f t="shared" si="77"/>
        <v>1</v>
      </c>
      <c r="J441" s="631"/>
      <c r="K441" s="21">
        <f t="shared" si="78"/>
        <v>1</v>
      </c>
      <c r="L441" s="631"/>
      <c r="M441" s="21">
        <f t="shared" si="79"/>
        <v>1</v>
      </c>
      <c r="N441" s="631"/>
      <c r="O441" s="21">
        <f t="shared" si="80"/>
        <v>1</v>
      </c>
      <c r="P441" s="631" t="s">
        <v>3553</v>
      </c>
      <c r="Q441" s="21">
        <f t="shared" si="81"/>
        <v>1.02</v>
      </c>
      <c r="R441" s="21">
        <f t="shared" ca="1" si="82"/>
        <v>13711</v>
      </c>
      <c r="S441" s="307">
        <f t="shared" ca="1" si="83"/>
        <v>68</v>
      </c>
      <c r="T441" s="3190">
        <f>面积表!A436</f>
        <v>0</v>
      </c>
    </row>
    <row r="442" spans="1:20">
      <c r="A442" s="3169">
        <f>面积表!D437</f>
        <v>1305</v>
      </c>
      <c r="B442" s="52">
        <f>面积表!E437</f>
        <v>49.74</v>
      </c>
      <c r="C442" s="21">
        <f t="shared" si="74"/>
        <v>1</v>
      </c>
      <c r="D442" s="2559" t="s">
        <v>4016</v>
      </c>
      <c r="E442" s="21">
        <f t="shared" si="75"/>
        <v>1</v>
      </c>
      <c r="F442" s="631" t="s">
        <v>3815</v>
      </c>
      <c r="G442" s="21">
        <f t="shared" si="76"/>
        <v>0.95</v>
      </c>
      <c r="H442" s="631">
        <v>3</v>
      </c>
      <c r="I442" s="21">
        <f t="shared" si="77"/>
        <v>1</v>
      </c>
      <c r="J442" s="631"/>
      <c r="K442" s="21">
        <f t="shared" si="78"/>
        <v>1</v>
      </c>
      <c r="L442" s="631"/>
      <c r="M442" s="21">
        <f t="shared" si="79"/>
        <v>1</v>
      </c>
      <c r="N442" s="631"/>
      <c r="O442" s="21">
        <f t="shared" si="80"/>
        <v>1</v>
      </c>
      <c r="P442" s="631" t="s">
        <v>3553</v>
      </c>
      <c r="Q442" s="21">
        <f t="shared" si="81"/>
        <v>1.02</v>
      </c>
      <c r="R442" s="21">
        <f t="shared" ca="1" si="82"/>
        <v>13711</v>
      </c>
      <c r="S442" s="307">
        <f t="shared" ca="1" si="83"/>
        <v>68</v>
      </c>
      <c r="T442" s="3190">
        <f>面积表!A437</f>
        <v>0</v>
      </c>
    </row>
    <row r="443" spans="1:20">
      <c r="A443" s="3169">
        <f>面积表!D438</f>
        <v>1306</v>
      </c>
      <c r="B443" s="52">
        <f>面积表!E438</f>
        <v>49.74</v>
      </c>
      <c r="C443" s="21">
        <f t="shared" si="74"/>
        <v>1</v>
      </c>
      <c r="D443" s="2559" t="s">
        <v>4016</v>
      </c>
      <c r="E443" s="21">
        <f t="shared" si="75"/>
        <v>1</v>
      </c>
      <c r="F443" s="631" t="s">
        <v>3815</v>
      </c>
      <c r="G443" s="21">
        <f t="shared" si="76"/>
        <v>0.95</v>
      </c>
      <c r="H443" s="631">
        <v>3</v>
      </c>
      <c r="I443" s="21">
        <f t="shared" si="77"/>
        <v>1</v>
      </c>
      <c r="J443" s="631"/>
      <c r="K443" s="21">
        <f t="shared" si="78"/>
        <v>1</v>
      </c>
      <c r="L443" s="631"/>
      <c r="M443" s="21">
        <f t="shared" si="79"/>
        <v>1</v>
      </c>
      <c r="N443" s="631"/>
      <c r="O443" s="21">
        <f t="shared" si="80"/>
        <v>1</v>
      </c>
      <c r="P443" s="631" t="s">
        <v>3553</v>
      </c>
      <c r="Q443" s="21">
        <f t="shared" si="81"/>
        <v>1.02</v>
      </c>
      <c r="R443" s="21">
        <f t="shared" ca="1" si="82"/>
        <v>13711</v>
      </c>
      <c r="S443" s="307">
        <f t="shared" ca="1" si="83"/>
        <v>68</v>
      </c>
      <c r="T443" s="3190">
        <f>面积表!A438</f>
        <v>0</v>
      </c>
    </row>
    <row r="444" spans="1:20">
      <c r="A444" s="3169">
        <f>面积表!D439</f>
        <v>1307</v>
      </c>
      <c r="B444" s="52">
        <f>面积表!E439</f>
        <v>49.74</v>
      </c>
      <c r="C444" s="21">
        <f t="shared" si="74"/>
        <v>1</v>
      </c>
      <c r="D444" s="2559" t="s">
        <v>4016</v>
      </c>
      <c r="E444" s="21">
        <f t="shared" si="75"/>
        <v>1</v>
      </c>
      <c r="F444" s="631" t="s">
        <v>3815</v>
      </c>
      <c r="G444" s="21">
        <f t="shared" si="76"/>
        <v>0.95</v>
      </c>
      <c r="H444" s="631">
        <v>3</v>
      </c>
      <c r="I444" s="21">
        <f t="shared" si="77"/>
        <v>1</v>
      </c>
      <c r="J444" s="631"/>
      <c r="K444" s="21">
        <f t="shared" si="78"/>
        <v>1</v>
      </c>
      <c r="L444" s="631"/>
      <c r="M444" s="21">
        <f t="shared" si="79"/>
        <v>1</v>
      </c>
      <c r="N444" s="631"/>
      <c r="O444" s="21">
        <f t="shared" si="80"/>
        <v>1</v>
      </c>
      <c r="P444" s="631" t="s">
        <v>3553</v>
      </c>
      <c r="Q444" s="21">
        <f t="shared" si="81"/>
        <v>1.02</v>
      </c>
      <c r="R444" s="21">
        <f t="shared" ca="1" si="82"/>
        <v>13711</v>
      </c>
      <c r="S444" s="307">
        <f t="shared" ca="1" si="83"/>
        <v>68</v>
      </c>
      <c r="T444" s="3190">
        <f>面积表!A439</f>
        <v>0</v>
      </c>
    </row>
    <row r="445" spans="1:20">
      <c r="A445" s="3169">
        <f>面积表!D440</f>
        <v>1308</v>
      </c>
      <c r="B445" s="52">
        <f>面积表!E440</f>
        <v>49.74</v>
      </c>
      <c r="C445" s="21">
        <f t="shared" si="74"/>
        <v>1</v>
      </c>
      <c r="D445" s="2559" t="s">
        <v>4016</v>
      </c>
      <c r="E445" s="21">
        <f t="shared" si="75"/>
        <v>1</v>
      </c>
      <c r="F445" s="631" t="s">
        <v>3815</v>
      </c>
      <c r="G445" s="21">
        <f t="shared" si="76"/>
        <v>0.95</v>
      </c>
      <c r="H445" s="631">
        <v>3</v>
      </c>
      <c r="I445" s="21">
        <f t="shared" si="77"/>
        <v>1</v>
      </c>
      <c r="J445" s="631"/>
      <c r="K445" s="21">
        <f t="shared" si="78"/>
        <v>1</v>
      </c>
      <c r="L445" s="631"/>
      <c r="M445" s="21">
        <f t="shared" si="79"/>
        <v>1</v>
      </c>
      <c r="N445" s="631"/>
      <c r="O445" s="21">
        <f t="shared" si="80"/>
        <v>1</v>
      </c>
      <c r="P445" s="631" t="s">
        <v>3553</v>
      </c>
      <c r="Q445" s="21">
        <f t="shared" si="81"/>
        <v>1.02</v>
      </c>
      <c r="R445" s="21">
        <f t="shared" ca="1" si="82"/>
        <v>13711</v>
      </c>
      <c r="S445" s="307">
        <f t="shared" ca="1" si="83"/>
        <v>68</v>
      </c>
      <c r="T445" s="3190">
        <f>面积表!A440</f>
        <v>0</v>
      </c>
    </row>
    <row r="446" spans="1:20">
      <c r="A446" s="3169">
        <f>面积表!D441</f>
        <v>1309</v>
      </c>
      <c r="B446" s="52">
        <f>面积表!E441</f>
        <v>49.74</v>
      </c>
      <c r="C446" s="21">
        <f t="shared" si="74"/>
        <v>1</v>
      </c>
      <c r="D446" s="2559" t="s">
        <v>4016</v>
      </c>
      <c r="E446" s="21">
        <f t="shared" si="75"/>
        <v>1</v>
      </c>
      <c r="F446" s="631" t="s">
        <v>3815</v>
      </c>
      <c r="G446" s="21">
        <f t="shared" si="76"/>
        <v>0.95</v>
      </c>
      <c r="H446" s="631">
        <v>3</v>
      </c>
      <c r="I446" s="21">
        <f t="shared" si="77"/>
        <v>1</v>
      </c>
      <c r="J446" s="631"/>
      <c r="K446" s="21">
        <f t="shared" si="78"/>
        <v>1</v>
      </c>
      <c r="L446" s="631"/>
      <c r="M446" s="21">
        <f t="shared" si="79"/>
        <v>1</v>
      </c>
      <c r="N446" s="631"/>
      <c r="O446" s="21">
        <f t="shared" si="80"/>
        <v>1</v>
      </c>
      <c r="P446" s="631" t="s">
        <v>3553</v>
      </c>
      <c r="Q446" s="21">
        <f t="shared" si="81"/>
        <v>1.02</v>
      </c>
      <c r="R446" s="21">
        <f t="shared" ca="1" si="82"/>
        <v>13711</v>
      </c>
      <c r="S446" s="307">
        <f t="shared" ca="1" si="83"/>
        <v>68</v>
      </c>
      <c r="T446" s="3190">
        <f>面积表!A441</f>
        <v>0</v>
      </c>
    </row>
    <row r="447" spans="1:20">
      <c r="A447" s="3169">
        <f>面积表!D442</f>
        <v>1310</v>
      </c>
      <c r="B447" s="52">
        <f>面积表!E442</f>
        <v>49.74</v>
      </c>
      <c r="C447" s="21">
        <f t="shared" si="74"/>
        <v>1</v>
      </c>
      <c r="D447" s="2559" t="s">
        <v>4016</v>
      </c>
      <c r="E447" s="21">
        <f t="shared" si="75"/>
        <v>1</v>
      </c>
      <c r="F447" s="631" t="s">
        <v>3815</v>
      </c>
      <c r="G447" s="21">
        <f t="shared" si="76"/>
        <v>0.95</v>
      </c>
      <c r="H447" s="631">
        <v>3</v>
      </c>
      <c r="I447" s="21">
        <f t="shared" si="77"/>
        <v>1</v>
      </c>
      <c r="J447" s="631"/>
      <c r="K447" s="21">
        <f t="shared" si="78"/>
        <v>1</v>
      </c>
      <c r="L447" s="631"/>
      <c r="M447" s="21">
        <f t="shared" si="79"/>
        <v>1</v>
      </c>
      <c r="N447" s="631"/>
      <c r="O447" s="21">
        <f t="shared" si="80"/>
        <v>1</v>
      </c>
      <c r="P447" s="631" t="s">
        <v>3553</v>
      </c>
      <c r="Q447" s="21">
        <f t="shared" si="81"/>
        <v>1.02</v>
      </c>
      <c r="R447" s="21">
        <f t="shared" ca="1" si="82"/>
        <v>13711</v>
      </c>
      <c r="S447" s="307">
        <f t="shared" ca="1" si="83"/>
        <v>68</v>
      </c>
      <c r="T447" s="3190">
        <f>面积表!A442</f>
        <v>0</v>
      </c>
    </row>
    <row r="448" spans="1:20">
      <c r="A448" s="3169">
        <f>面积表!D443</f>
        <v>1311</v>
      </c>
      <c r="B448" s="52">
        <f>面积表!E443</f>
        <v>49.74</v>
      </c>
      <c r="C448" s="21">
        <f t="shared" si="74"/>
        <v>1</v>
      </c>
      <c r="D448" s="2559" t="s">
        <v>4016</v>
      </c>
      <c r="E448" s="21">
        <f t="shared" si="75"/>
        <v>1</v>
      </c>
      <c r="F448" s="631" t="s">
        <v>3815</v>
      </c>
      <c r="G448" s="21">
        <f t="shared" si="76"/>
        <v>0.95</v>
      </c>
      <c r="H448" s="631">
        <v>3</v>
      </c>
      <c r="I448" s="21">
        <f t="shared" si="77"/>
        <v>1</v>
      </c>
      <c r="J448" s="631"/>
      <c r="K448" s="21">
        <f t="shared" si="78"/>
        <v>1</v>
      </c>
      <c r="L448" s="631"/>
      <c r="M448" s="21">
        <f t="shared" si="79"/>
        <v>1</v>
      </c>
      <c r="N448" s="631"/>
      <c r="O448" s="21">
        <f t="shared" si="80"/>
        <v>1</v>
      </c>
      <c r="P448" s="631" t="s">
        <v>3553</v>
      </c>
      <c r="Q448" s="21">
        <f t="shared" si="81"/>
        <v>1.02</v>
      </c>
      <c r="R448" s="21">
        <f t="shared" ca="1" si="82"/>
        <v>13711</v>
      </c>
      <c r="S448" s="307">
        <f t="shared" ca="1" si="83"/>
        <v>68</v>
      </c>
      <c r="T448" s="3190">
        <f>面积表!A443</f>
        <v>0</v>
      </c>
    </row>
    <row r="449" spans="1:20">
      <c r="A449" s="3169">
        <f>面积表!D444</f>
        <v>1312</v>
      </c>
      <c r="B449" s="52">
        <f>面积表!E444</f>
        <v>49.74</v>
      </c>
      <c r="C449" s="21">
        <f t="shared" si="74"/>
        <v>1</v>
      </c>
      <c r="D449" s="2559" t="s">
        <v>4016</v>
      </c>
      <c r="E449" s="21">
        <f t="shared" si="75"/>
        <v>1</v>
      </c>
      <c r="F449" s="631" t="s">
        <v>3815</v>
      </c>
      <c r="G449" s="21">
        <f t="shared" si="76"/>
        <v>0.95</v>
      </c>
      <c r="H449" s="631">
        <v>3</v>
      </c>
      <c r="I449" s="21">
        <f t="shared" si="77"/>
        <v>1</v>
      </c>
      <c r="J449" s="631"/>
      <c r="K449" s="21">
        <f t="shared" si="78"/>
        <v>1</v>
      </c>
      <c r="L449" s="631"/>
      <c r="M449" s="21">
        <f t="shared" si="79"/>
        <v>1</v>
      </c>
      <c r="N449" s="631"/>
      <c r="O449" s="21">
        <f t="shared" si="80"/>
        <v>1</v>
      </c>
      <c r="P449" s="631" t="s">
        <v>3553</v>
      </c>
      <c r="Q449" s="21">
        <f t="shared" si="81"/>
        <v>1.02</v>
      </c>
      <c r="R449" s="21">
        <f t="shared" ca="1" si="82"/>
        <v>13711</v>
      </c>
      <c r="S449" s="307">
        <f t="shared" ca="1" si="83"/>
        <v>68</v>
      </c>
      <c r="T449" s="3190">
        <f>面积表!A444</f>
        <v>0</v>
      </c>
    </row>
    <row r="450" spans="1:20">
      <c r="A450" s="3169">
        <f>面积表!D445</f>
        <v>1313</v>
      </c>
      <c r="B450" s="52">
        <f>面积表!E445</f>
        <v>49.74</v>
      </c>
      <c r="C450" s="21">
        <f t="shared" si="74"/>
        <v>1</v>
      </c>
      <c r="D450" s="2559" t="s">
        <v>4016</v>
      </c>
      <c r="E450" s="21">
        <f t="shared" si="75"/>
        <v>1</v>
      </c>
      <c r="F450" s="631" t="s">
        <v>3815</v>
      </c>
      <c r="G450" s="21">
        <f t="shared" si="76"/>
        <v>0.95</v>
      </c>
      <c r="H450" s="631">
        <v>3</v>
      </c>
      <c r="I450" s="21">
        <f t="shared" si="77"/>
        <v>1</v>
      </c>
      <c r="J450" s="631"/>
      <c r="K450" s="21">
        <f t="shared" si="78"/>
        <v>1</v>
      </c>
      <c r="L450" s="631"/>
      <c r="M450" s="21">
        <f t="shared" si="79"/>
        <v>1</v>
      </c>
      <c r="N450" s="631"/>
      <c r="O450" s="21">
        <f t="shared" si="80"/>
        <v>1</v>
      </c>
      <c r="P450" s="631" t="s">
        <v>3553</v>
      </c>
      <c r="Q450" s="21">
        <f t="shared" si="81"/>
        <v>1.02</v>
      </c>
      <c r="R450" s="21">
        <f t="shared" ca="1" si="82"/>
        <v>13711</v>
      </c>
      <c r="S450" s="307">
        <f t="shared" ca="1" si="83"/>
        <v>68</v>
      </c>
      <c r="T450" s="3190">
        <f>面积表!A445</f>
        <v>0</v>
      </c>
    </row>
    <row r="451" spans="1:20">
      <c r="A451" s="3169">
        <f>面积表!D446</f>
        <v>1314</v>
      </c>
      <c r="B451" s="52">
        <f>面积表!E446</f>
        <v>49.74</v>
      </c>
      <c r="C451" s="21">
        <f t="shared" si="74"/>
        <v>1</v>
      </c>
      <c r="D451" s="2559" t="s">
        <v>4016</v>
      </c>
      <c r="E451" s="21">
        <f t="shared" si="75"/>
        <v>1</v>
      </c>
      <c r="F451" s="631" t="s">
        <v>3815</v>
      </c>
      <c r="G451" s="21">
        <f t="shared" si="76"/>
        <v>0.95</v>
      </c>
      <c r="H451" s="631">
        <v>3</v>
      </c>
      <c r="I451" s="21">
        <f t="shared" si="77"/>
        <v>1</v>
      </c>
      <c r="J451" s="631"/>
      <c r="K451" s="21">
        <f t="shared" si="78"/>
        <v>1</v>
      </c>
      <c r="L451" s="631"/>
      <c r="M451" s="21">
        <f t="shared" si="79"/>
        <v>1</v>
      </c>
      <c r="N451" s="631"/>
      <c r="O451" s="21">
        <f t="shared" si="80"/>
        <v>1</v>
      </c>
      <c r="P451" s="631" t="s">
        <v>3553</v>
      </c>
      <c r="Q451" s="21">
        <f t="shared" si="81"/>
        <v>1.02</v>
      </c>
      <c r="R451" s="21">
        <f t="shared" ca="1" si="82"/>
        <v>13711</v>
      </c>
      <c r="S451" s="307">
        <f t="shared" ca="1" si="83"/>
        <v>68</v>
      </c>
      <c r="T451" s="3190">
        <f>面积表!A446</f>
        <v>0</v>
      </c>
    </row>
    <row r="452" spans="1:20">
      <c r="A452" s="3169">
        <f>面积表!D447</f>
        <v>1315</v>
      </c>
      <c r="B452" s="52">
        <f>面积表!E447</f>
        <v>68.94</v>
      </c>
      <c r="C452" s="21">
        <f t="shared" si="74"/>
        <v>1.01</v>
      </c>
      <c r="D452" s="2559" t="s">
        <v>4016</v>
      </c>
      <c r="E452" s="21">
        <f t="shared" si="75"/>
        <v>1</v>
      </c>
      <c r="F452" s="631" t="s">
        <v>3815</v>
      </c>
      <c r="G452" s="21">
        <f t="shared" si="76"/>
        <v>0.95</v>
      </c>
      <c r="H452" s="631">
        <v>3</v>
      </c>
      <c r="I452" s="21">
        <f t="shared" si="77"/>
        <v>1</v>
      </c>
      <c r="J452" s="631"/>
      <c r="K452" s="21">
        <f t="shared" si="78"/>
        <v>1</v>
      </c>
      <c r="L452" s="631"/>
      <c r="M452" s="21">
        <f t="shared" si="79"/>
        <v>1</v>
      </c>
      <c r="N452" s="631"/>
      <c r="O452" s="21">
        <f t="shared" si="80"/>
        <v>1</v>
      </c>
      <c r="P452" s="631" t="s">
        <v>3553</v>
      </c>
      <c r="Q452" s="21">
        <f t="shared" si="81"/>
        <v>1.02</v>
      </c>
      <c r="R452" s="21">
        <f t="shared" ca="1" si="82"/>
        <v>13848</v>
      </c>
      <c r="S452" s="307">
        <f t="shared" ca="1" si="83"/>
        <v>95</v>
      </c>
      <c r="T452" s="3190">
        <f>面积表!A447</f>
        <v>0</v>
      </c>
    </row>
    <row r="453" spans="1:20">
      <c r="A453" s="3169">
        <f>面积表!D448</f>
        <v>1318</v>
      </c>
      <c r="B453" s="52">
        <f>面积表!E448</f>
        <v>44.19</v>
      </c>
      <c r="C453" s="21">
        <f t="shared" si="74"/>
        <v>1</v>
      </c>
      <c r="D453" s="2559" t="s">
        <v>4016</v>
      </c>
      <c r="E453" s="21">
        <f t="shared" si="75"/>
        <v>1</v>
      </c>
      <c r="F453" s="631" t="s">
        <v>3815</v>
      </c>
      <c r="G453" s="21">
        <f t="shared" si="76"/>
        <v>0.95</v>
      </c>
      <c r="H453" s="631">
        <v>3</v>
      </c>
      <c r="I453" s="21">
        <f t="shared" si="77"/>
        <v>1</v>
      </c>
      <c r="J453" s="631"/>
      <c r="K453" s="21">
        <f t="shared" si="78"/>
        <v>1</v>
      </c>
      <c r="L453" s="631"/>
      <c r="M453" s="21">
        <f t="shared" si="79"/>
        <v>1</v>
      </c>
      <c r="N453" s="631"/>
      <c r="O453" s="21">
        <f t="shared" si="80"/>
        <v>1</v>
      </c>
      <c r="P453" s="631" t="s">
        <v>3553</v>
      </c>
      <c r="Q453" s="21">
        <f t="shared" si="81"/>
        <v>1.02</v>
      </c>
      <c r="R453" s="21">
        <f t="shared" ca="1" si="82"/>
        <v>13711</v>
      </c>
      <c r="S453" s="307">
        <f t="shared" ca="1" si="83"/>
        <v>61</v>
      </c>
      <c r="T453" s="3190">
        <f>面积表!A448</f>
        <v>0</v>
      </c>
    </row>
    <row r="454" spans="1:20">
      <c r="A454" s="3169">
        <f>面积表!D449</f>
        <v>1319</v>
      </c>
      <c r="B454" s="52">
        <f>面积表!E449</f>
        <v>46.28</v>
      </c>
      <c r="C454" s="21">
        <f t="shared" si="74"/>
        <v>1</v>
      </c>
      <c r="D454" s="2559" t="s">
        <v>4016</v>
      </c>
      <c r="E454" s="21">
        <f t="shared" si="75"/>
        <v>1</v>
      </c>
      <c r="F454" s="631" t="s">
        <v>3815</v>
      </c>
      <c r="G454" s="21">
        <f t="shared" si="76"/>
        <v>0.95</v>
      </c>
      <c r="H454" s="631">
        <v>3</v>
      </c>
      <c r="I454" s="21">
        <f t="shared" si="77"/>
        <v>1</v>
      </c>
      <c r="J454" s="631"/>
      <c r="K454" s="21">
        <f t="shared" si="78"/>
        <v>1</v>
      </c>
      <c r="L454" s="631"/>
      <c r="M454" s="21">
        <f t="shared" si="79"/>
        <v>1</v>
      </c>
      <c r="N454" s="631"/>
      <c r="O454" s="21">
        <f t="shared" si="80"/>
        <v>1</v>
      </c>
      <c r="P454" s="631" t="s">
        <v>3553</v>
      </c>
      <c r="Q454" s="21">
        <f t="shared" si="81"/>
        <v>1.02</v>
      </c>
      <c r="R454" s="21">
        <f t="shared" ca="1" si="82"/>
        <v>13711</v>
      </c>
      <c r="S454" s="307">
        <f t="shared" ca="1" si="83"/>
        <v>63</v>
      </c>
      <c r="T454" s="3190">
        <f>面积表!A449</f>
        <v>0</v>
      </c>
    </row>
    <row r="455" spans="1:20">
      <c r="A455" s="3169">
        <f>面积表!D450</f>
        <v>1322</v>
      </c>
      <c r="B455" s="52">
        <f>面积表!E450</f>
        <v>49</v>
      </c>
      <c r="C455" s="21">
        <f t="shared" si="74"/>
        <v>1</v>
      </c>
      <c r="D455" s="2559" t="s">
        <v>4016</v>
      </c>
      <c r="E455" s="21">
        <f t="shared" si="75"/>
        <v>1</v>
      </c>
      <c r="F455" s="631" t="s">
        <v>3815</v>
      </c>
      <c r="G455" s="21">
        <f t="shared" si="76"/>
        <v>0.95</v>
      </c>
      <c r="H455" s="631">
        <v>3</v>
      </c>
      <c r="I455" s="21">
        <f t="shared" si="77"/>
        <v>1</v>
      </c>
      <c r="J455" s="631"/>
      <c r="K455" s="21">
        <f t="shared" si="78"/>
        <v>1</v>
      </c>
      <c r="L455" s="631"/>
      <c r="M455" s="21">
        <f t="shared" si="79"/>
        <v>1</v>
      </c>
      <c r="N455" s="631"/>
      <c r="O455" s="21">
        <f t="shared" si="80"/>
        <v>1</v>
      </c>
      <c r="P455" s="631" t="s">
        <v>3553</v>
      </c>
      <c r="Q455" s="21">
        <f t="shared" si="81"/>
        <v>1.02</v>
      </c>
      <c r="R455" s="21">
        <f t="shared" ca="1" si="82"/>
        <v>13711</v>
      </c>
      <c r="S455" s="307">
        <f t="shared" ca="1" si="83"/>
        <v>67</v>
      </c>
      <c r="T455" s="3190">
        <f>面积表!A450</f>
        <v>0</v>
      </c>
    </row>
    <row r="456" spans="1:20">
      <c r="A456" s="3169">
        <f>面积表!D451</f>
        <v>1323</v>
      </c>
      <c r="B456" s="52">
        <f>面积表!E451</f>
        <v>48.7</v>
      </c>
      <c r="C456" s="21">
        <f t="shared" si="74"/>
        <v>1</v>
      </c>
      <c r="D456" s="2559" t="s">
        <v>4016</v>
      </c>
      <c r="E456" s="21">
        <f t="shared" si="75"/>
        <v>1</v>
      </c>
      <c r="F456" s="631" t="s">
        <v>3815</v>
      </c>
      <c r="G456" s="21">
        <f t="shared" si="76"/>
        <v>0.95</v>
      </c>
      <c r="H456" s="631">
        <v>3</v>
      </c>
      <c r="I456" s="21">
        <f t="shared" si="77"/>
        <v>1</v>
      </c>
      <c r="J456" s="631"/>
      <c r="K456" s="21">
        <f t="shared" si="78"/>
        <v>1</v>
      </c>
      <c r="L456" s="631"/>
      <c r="M456" s="21">
        <f t="shared" si="79"/>
        <v>1</v>
      </c>
      <c r="N456" s="631"/>
      <c r="O456" s="21">
        <f t="shared" si="80"/>
        <v>1</v>
      </c>
      <c r="P456" s="631" t="s">
        <v>3553</v>
      </c>
      <c r="Q456" s="21">
        <f t="shared" si="81"/>
        <v>1.02</v>
      </c>
      <c r="R456" s="21">
        <f t="shared" ca="1" si="82"/>
        <v>13711</v>
      </c>
      <c r="S456" s="307">
        <f t="shared" ca="1" si="83"/>
        <v>67</v>
      </c>
      <c r="T456" s="3190">
        <f>面积表!A451</f>
        <v>0</v>
      </c>
    </row>
    <row r="457" spans="1:20">
      <c r="A457" s="3169" t="str">
        <f>面积表!D452</f>
        <v>101</v>
      </c>
      <c r="B457" s="52">
        <f>面积表!E452</f>
        <v>100.67</v>
      </c>
      <c r="C457" s="21">
        <f t="shared" si="74"/>
        <v>1.01</v>
      </c>
      <c r="D457" s="2559" t="s">
        <v>4016</v>
      </c>
      <c r="E457" s="21">
        <f t="shared" si="75"/>
        <v>1</v>
      </c>
      <c r="F457" s="631" t="s">
        <v>3815</v>
      </c>
      <c r="G457" s="21">
        <f t="shared" si="76"/>
        <v>0.95</v>
      </c>
      <c r="H457" s="631">
        <v>5.3</v>
      </c>
      <c r="I457" s="21">
        <f t="shared" si="77"/>
        <v>1.1000000000000001</v>
      </c>
      <c r="J457" s="631"/>
      <c r="K457" s="21">
        <f t="shared" si="78"/>
        <v>1</v>
      </c>
      <c r="L457" s="631"/>
      <c r="M457" s="21">
        <f t="shared" si="79"/>
        <v>1</v>
      </c>
      <c r="N457" s="631"/>
      <c r="O457" s="21">
        <f t="shared" si="80"/>
        <v>1</v>
      </c>
      <c r="P457" s="631" t="s">
        <v>3409</v>
      </c>
      <c r="Q457" s="21">
        <f t="shared" si="81"/>
        <v>1</v>
      </c>
      <c r="R457" s="21">
        <f t="shared" ca="1" si="82"/>
        <v>14935</v>
      </c>
      <c r="S457" s="307">
        <f t="shared" ca="1" si="83"/>
        <v>150</v>
      </c>
      <c r="T457" s="3190">
        <f>面积表!A452</f>
        <v>0</v>
      </c>
    </row>
    <row r="458" spans="1:20">
      <c r="A458" s="3169" t="str">
        <f>面积表!D453</f>
        <v>103</v>
      </c>
      <c r="B458" s="52">
        <f>面积表!E453</f>
        <v>100.67</v>
      </c>
      <c r="C458" s="21">
        <f t="shared" si="74"/>
        <v>1.01</v>
      </c>
      <c r="D458" s="2559" t="s">
        <v>4016</v>
      </c>
      <c r="E458" s="21">
        <f t="shared" si="75"/>
        <v>1</v>
      </c>
      <c r="F458" s="631" t="s">
        <v>3815</v>
      </c>
      <c r="G458" s="21">
        <f t="shared" si="76"/>
        <v>0.95</v>
      </c>
      <c r="H458" s="631">
        <v>5.3</v>
      </c>
      <c r="I458" s="21">
        <f t="shared" si="77"/>
        <v>1.1000000000000001</v>
      </c>
      <c r="J458" s="631"/>
      <c r="K458" s="21">
        <f t="shared" si="78"/>
        <v>1</v>
      </c>
      <c r="L458" s="631"/>
      <c r="M458" s="21">
        <f t="shared" si="79"/>
        <v>1</v>
      </c>
      <c r="N458" s="631"/>
      <c r="O458" s="21">
        <f t="shared" si="80"/>
        <v>1</v>
      </c>
      <c r="P458" s="631" t="s">
        <v>3409</v>
      </c>
      <c r="Q458" s="21">
        <f t="shared" si="81"/>
        <v>1</v>
      </c>
      <c r="R458" s="21">
        <f t="shared" ca="1" si="82"/>
        <v>14935</v>
      </c>
      <c r="S458" s="307">
        <f t="shared" ca="1" si="83"/>
        <v>150</v>
      </c>
      <c r="T458" s="3190">
        <f>面积表!A453</f>
        <v>0</v>
      </c>
    </row>
    <row r="459" spans="1:20">
      <c r="A459" s="3169" t="str">
        <f>面积表!D454</f>
        <v>104</v>
      </c>
      <c r="B459" s="52">
        <f>面积表!E454</f>
        <v>100.67</v>
      </c>
      <c r="C459" s="21">
        <f t="shared" si="74"/>
        <v>1.01</v>
      </c>
      <c r="D459" s="2559" t="s">
        <v>4016</v>
      </c>
      <c r="E459" s="21">
        <f t="shared" si="75"/>
        <v>1</v>
      </c>
      <c r="F459" s="631" t="s">
        <v>3815</v>
      </c>
      <c r="G459" s="21">
        <f t="shared" si="76"/>
        <v>0.95</v>
      </c>
      <c r="H459" s="631">
        <v>5.3</v>
      </c>
      <c r="I459" s="21">
        <f t="shared" si="77"/>
        <v>1.1000000000000001</v>
      </c>
      <c r="J459" s="631"/>
      <c r="K459" s="21">
        <f t="shared" si="78"/>
        <v>1</v>
      </c>
      <c r="L459" s="631"/>
      <c r="M459" s="21">
        <f t="shared" si="79"/>
        <v>1</v>
      </c>
      <c r="N459" s="631"/>
      <c r="O459" s="21">
        <f t="shared" si="80"/>
        <v>1</v>
      </c>
      <c r="P459" s="631" t="s">
        <v>3409</v>
      </c>
      <c r="Q459" s="21">
        <f t="shared" si="81"/>
        <v>1</v>
      </c>
      <c r="R459" s="21">
        <f t="shared" ca="1" si="82"/>
        <v>14935</v>
      </c>
      <c r="S459" s="307">
        <f t="shared" ca="1" si="83"/>
        <v>150</v>
      </c>
      <c r="T459" s="3190">
        <f>面积表!A454</f>
        <v>0</v>
      </c>
    </row>
    <row r="460" spans="1:20">
      <c r="A460" s="3169" t="str">
        <f>面积表!D455</f>
        <v>105</v>
      </c>
      <c r="B460" s="52">
        <f>面积表!E455</f>
        <v>100.67</v>
      </c>
      <c r="C460" s="21">
        <f t="shared" si="74"/>
        <v>1.01</v>
      </c>
      <c r="D460" s="2559" t="s">
        <v>4016</v>
      </c>
      <c r="E460" s="21">
        <f t="shared" si="75"/>
        <v>1</v>
      </c>
      <c r="F460" s="631" t="s">
        <v>3815</v>
      </c>
      <c r="G460" s="21">
        <f t="shared" si="76"/>
        <v>0.95</v>
      </c>
      <c r="H460" s="631">
        <v>5.3</v>
      </c>
      <c r="I460" s="21">
        <f t="shared" si="77"/>
        <v>1.1000000000000001</v>
      </c>
      <c r="J460" s="631"/>
      <c r="K460" s="21">
        <f t="shared" si="78"/>
        <v>1</v>
      </c>
      <c r="L460" s="631"/>
      <c r="M460" s="21">
        <f t="shared" si="79"/>
        <v>1</v>
      </c>
      <c r="N460" s="631"/>
      <c r="O460" s="21">
        <f t="shared" si="80"/>
        <v>1</v>
      </c>
      <c r="P460" s="631" t="s">
        <v>3409</v>
      </c>
      <c r="Q460" s="21">
        <f t="shared" si="81"/>
        <v>1</v>
      </c>
      <c r="R460" s="21">
        <f t="shared" ca="1" si="82"/>
        <v>14935</v>
      </c>
      <c r="S460" s="307">
        <f t="shared" ca="1" si="83"/>
        <v>150</v>
      </c>
      <c r="T460" s="3190">
        <f>面积表!A455</f>
        <v>0</v>
      </c>
    </row>
    <row r="461" spans="1:20">
      <c r="A461" s="3169" t="str">
        <f>面积表!D456</f>
        <v>106</v>
      </c>
      <c r="B461" s="52">
        <f>面积表!E456</f>
        <v>100.67</v>
      </c>
      <c r="C461" s="21">
        <f t="shared" si="74"/>
        <v>1.01</v>
      </c>
      <c r="D461" s="2559" t="s">
        <v>4016</v>
      </c>
      <c r="E461" s="21">
        <f t="shared" si="75"/>
        <v>1</v>
      </c>
      <c r="F461" s="631" t="s">
        <v>3815</v>
      </c>
      <c r="G461" s="21">
        <f t="shared" si="76"/>
        <v>0.95</v>
      </c>
      <c r="H461" s="631">
        <v>5.3</v>
      </c>
      <c r="I461" s="21">
        <f t="shared" si="77"/>
        <v>1.1000000000000001</v>
      </c>
      <c r="J461" s="631"/>
      <c r="K461" s="21">
        <f t="shared" si="78"/>
        <v>1</v>
      </c>
      <c r="L461" s="631"/>
      <c r="M461" s="21">
        <f t="shared" si="79"/>
        <v>1</v>
      </c>
      <c r="N461" s="631"/>
      <c r="O461" s="21">
        <f t="shared" si="80"/>
        <v>1</v>
      </c>
      <c r="P461" s="631" t="s">
        <v>3409</v>
      </c>
      <c r="Q461" s="21">
        <f t="shared" si="81"/>
        <v>1</v>
      </c>
      <c r="R461" s="21">
        <f t="shared" ca="1" si="82"/>
        <v>14935</v>
      </c>
      <c r="S461" s="307">
        <f t="shared" ca="1" si="83"/>
        <v>150</v>
      </c>
      <c r="T461" s="3190">
        <f>面积表!A456</f>
        <v>0</v>
      </c>
    </row>
    <row r="462" spans="1:20">
      <c r="A462" s="3169" t="str">
        <f>面积表!D457</f>
        <v>107</v>
      </c>
      <c r="B462" s="52">
        <f>面积表!E457</f>
        <v>100.67</v>
      </c>
      <c r="C462" s="21">
        <f t="shared" si="74"/>
        <v>1.01</v>
      </c>
      <c r="D462" s="2559" t="s">
        <v>4016</v>
      </c>
      <c r="E462" s="21">
        <f t="shared" si="75"/>
        <v>1</v>
      </c>
      <c r="F462" s="631" t="s">
        <v>3815</v>
      </c>
      <c r="G462" s="21">
        <f t="shared" si="76"/>
        <v>0.95</v>
      </c>
      <c r="H462" s="631">
        <v>5.3</v>
      </c>
      <c r="I462" s="21">
        <f t="shared" si="77"/>
        <v>1.1000000000000001</v>
      </c>
      <c r="J462" s="631"/>
      <c r="K462" s="21">
        <f t="shared" si="78"/>
        <v>1</v>
      </c>
      <c r="L462" s="631"/>
      <c r="M462" s="21">
        <f t="shared" si="79"/>
        <v>1</v>
      </c>
      <c r="N462" s="631"/>
      <c r="O462" s="21">
        <f t="shared" si="80"/>
        <v>1</v>
      </c>
      <c r="P462" s="631" t="s">
        <v>3409</v>
      </c>
      <c r="Q462" s="21">
        <f t="shared" si="81"/>
        <v>1</v>
      </c>
      <c r="R462" s="21">
        <f t="shared" ca="1" si="82"/>
        <v>14935</v>
      </c>
      <c r="S462" s="307">
        <f t="shared" ca="1" si="83"/>
        <v>150</v>
      </c>
      <c r="T462" s="3190">
        <f>面积表!A457</f>
        <v>0</v>
      </c>
    </row>
    <row r="463" spans="1:20">
      <c r="A463" s="3169" t="str">
        <f>面积表!D458</f>
        <v>108</v>
      </c>
      <c r="B463" s="52">
        <f>面积表!E458</f>
        <v>69.77</v>
      </c>
      <c r="C463" s="21">
        <f t="shared" si="74"/>
        <v>1.01</v>
      </c>
      <c r="D463" s="2559" t="s">
        <v>4016</v>
      </c>
      <c r="E463" s="21">
        <f t="shared" si="75"/>
        <v>1</v>
      </c>
      <c r="F463" s="631" t="s">
        <v>3815</v>
      </c>
      <c r="G463" s="21">
        <f t="shared" si="76"/>
        <v>0.95</v>
      </c>
      <c r="H463" s="631">
        <v>5.3</v>
      </c>
      <c r="I463" s="21">
        <f t="shared" si="77"/>
        <v>1.1000000000000001</v>
      </c>
      <c r="J463" s="631"/>
      <c r="K463" s="21">
        <f t="shared" si="78"/>
        <v>1</v>
      </c>
      <c r="L463" s="631"/>
      <c r="M463" s="21">
        <f t="shared" si="79"/>
        <v>1</v>
      </c>
      <c r="N463" s="631"/>
      <c r="O463" s="21">
        <f t="shared" si="80"/>
        <v>1</v>
      </c>
      <c r="P463" s="631" t="s">
        <v>3409</v>
      </c>
      <c r="Q463" s="21">
        <f t="shared" si="81"/>
        <v>1</v>
      </c>
      <c r="R463" s="21">
        <f t="shared" ca="1" si="82"/>
        <v>14935</v>
      </c>
      <c r="S463" s="307">
        <f t="shared" ca="1" si="83"/>
        <v>104</v>
      </c>
      <c r="T463" s="3190">
        <f>面积表!A458</f>
        <v>0</v>
      </c>
    </row>
    <row r="464" spans="1:20">
      <c r="A464" s="3169" t="str">
        <f>面积表!D459</f>
        <v>110</v>
      </c>
      <c r="B464" s="52">
        <f>面积表!E459</f>
        <v>97.94</v>
      </c>
      <c r="C464" s="21">
        <f t="shared" si="74"/>
        <v>1.01</v>
      </c>
      <c r="D464" s="2559" t="s">
        <v>4016</v>
      </c>
      <c r="E464" s="21">
        <f t="shared" si="75"/>
        <v>1</v>
      </c>
      <c r="F464" s="631" t="s">
        <v>3815</v>
      </c>
      <c r="G464" s="21">
        <f t="shared" si="76"/>
        <v>0.95</v>
      </c>
      <c r="H464" s="631">
        <v>5.3</v>
      </c>
      <c r="I464" s="21">
        <f t="shared" si="77"/>
        <v>1.1000000000000001</v>
      </c>
      <c r="J464" s="631"/>
      <c r="K464" s="21">
        <f t="shared" si="78"/>
        <v>1</v>
      </c>
      <c r="L464" s="631"/>
      <c r="M464" s="21">
        <f t="shared" si="79"/>
        <v>1</v>
      </c>
      <c r="N464" s="631"/>
      <c r="O464" s="21">
        <f t="shared" si="80"/>
        <v>1</v>
      </c>
      <c r="P464" s="631" t="s">
        <v>3409</v>
      </c>
      <c r="Q464" s="21">
        <f t="shared" si="81"/>
        <v>1</v>
      </c>
      <c r="R464" s="21">
        <f t="shared" ca="1" si="82"/>
        <v>14935</v>
      </c>
      <c r="S464" s="307">
        <f t="shared" ca="1" si="83"/>
        <v>146</v>
      </c>
      <c r="T464" s="3190">
        <f>面积表!A459</f>
        <v>0</v>
      </c>
    </row>
    <row r="465" spans="1:20">
      <c r="A465" s="3169" t="str">
        <f>面积表!D460</f>
        <v>111</v>
      </c>
      <c r="B465" s="52">
        <f>面积表!E460</f>
        <v>101.65</v>
      </c>
      <c r="C465" s="21">
        <f t="shared" si="74"/>
        <v>1.01</v>
      </c>
      <c r="D465" s="2559" t="s">
        <v>4016</v>
      </c>
      <c r="E465" s="21">
        <f t="shared" si="75"/>
        <v>1</v>
      </c>
      <c r="F465" s="631" t="s">
        <v>3815</v>
      </c>
      <c r="G465" s="21">
        <f t="shared" si="76"/>
        <v>0.95</v>
      </c>
      <c r="H465" s="631">
        <v>5.3</v>
      </c>
      <c r="I465" s="21">
        <f t="shared" si="77"/>
        <v>1.1000000000000001</v>
      </c>
      <c r="J465" s="631"/>
      <c r="K465" s="21">
        <f t="shared" si="78"/>
        <v>1</v>
      </c>
      <c r="L465" s="631"/>
      <c r="M465" s="21">
        <f t="shared" si="79"/>
        <v>1</v>
      </c>
      <c r="N465" s="631"/>
      <c r="O465" s="21">
        <f t="shared" si="80"/>
        <v>1</v>
      </c>
      <c r="P465" s="631" t="s">
        <v>3409</v>
      </c>
      <c r="Q465" s="21">
        <f t="shared" si="81"/>
        <v>1</v>
      </c>
      <c r="R465" s="21">
        <f t="shared" ca="1" si="82"/>
        <v>14935</v>
      </c>
      <c r="S465" s="307">
        <f t="shared" ca="1" si="83"/>
        <v>152</v>
      </c>
      <c r="T465" s="3190">
        <f>面积表!A460</f>
        <v>0</v>
      </c>
    </row>
    <row r="466" spans="1:20">
      <c r="A466" s="3169" t="str">
        <f>面积表!D461</f>
        <v>112</v>
      </c>
      <c r="B466" s="52">
        <f>面积表!E461</f>
        <v>100.43</v>
      </c>
      <c r="C466" s="21">
        <f t="shared" si="74"/>
        <v>1.01</v>
      </c>
      <c r="D466" s="2559" t="s">
        <v>4016</v>
      </c>
      <c r="E466" s="21">
        <f t="shared" si="75"/>
        <v>1</v>
      </c>
      <c r="F466" s="631" t="s">
        <v>3815</v>
      </c>
      <c r="G466" s="21">
        <f t="shared" si="76"/>
        <v>0.95</v>
      </c>
      <c r="H466" s="631">
        <v>5.3</v>
      </c>
      <c r="I466" s="21">
        <f t="shared" si="77"/>
        <v>1.1000000000000001</v>
      </c>
      <c r="J466" s="631"/>
      <c r="K466" s="21">
        <f t="shared" si="78"/>
        <v>1</v>
      </c>
      <c r="L466" s="631"/>
      <c r="M466" s="21">
        <f t="shared" si="79"/>
        <v>1</v>
      </c>
      <c r="N466" s="631"/>
      <c r="O466" s="21">
        <f t="shared" si="80"/>
        <v>1</v>
      </c>
      <c r="P466" s="631" t="s">
        <v>3409</v>
      </c>
      <c r="Q466" s="21">
        <f t="shared" si="81"/>
        <v>1</v>
      </c>
      <c r="R466" s="21">
        <f t="shared" ca="1" si="82"/>
        <v>14935</v>
      </c>
      <c r="S466" s="307">
        <f t="shared" ca="1" si="83"/>
        <v>150</v>
      </c>
      <c r="T466" s="3190">
        <f>面积表!A461</f>
        <v>0</v>
      </c>
    </row>
    <row r="467" spans="1:20">
      <c r="A467" s="3169" t="str">
        <f>面积表!D462</f>
        <v>201</v>
      </c>
      <c r="B467" s="52">
        <f>面积表!E462</f>
        <v>57.43</v>
      </c>
      <c r="C467" s="21">
        <f t="shared" si="74"/>
        <v>1</v>
      </c>
      <c r="D467" s="2559" t="s">
        <v>4016</v>
      </c>
      <c r="E467" s="21">
        <f t="shared" si="75"/>
        <v>1</v>
      </c>
      <c r="F467" s="631" t="s">
        <v>3815</v>
      </c>
      <c r="G467" s="21">
        <f t="shared" si="76"/>
        <v>0.95</v>
      </c>
      <c r="H467" s="631">
        <v>4.2</v>
      </c>
      <c r="I467" s="21">
        <f t="shared" si="77"/>
        <v>1.05</v>
      </c>
      <c r="J467" s="631"/>
      <c r="K467" s="21">
        <f t="shared" si="78"/>
        <v>1</v>
      </c>
      <c r="L467" s="631"/>
      <c r="M467" s="21">
        <f t="shared" si="79"/>
        <v>1</v>
      </c>
      <c r="N467" s="631"/>
      <c r="O467" s="21">
        <f t="shared" si="80"/>
        <v>1</v>
      </c>
      <c r="P467" s="631" t="s">
        <v>3409</v>
      </c>
      <c r="Q467" s="21">
        <f t="shared" si="81"/>
        <v>1</v>
      </c>
      <c r="R467" s="21">
        <f t="shared" ca="1" si="82"/>
        <v>14115</v>
      </c>
      <c r="S467" s="307">
        <f t="shared" ca="1" si="83"/>
        <v>81</v>
      </c>
      <c r="T467" s="3190">
        <f>面积表!A462</f>
        <v>0</v>
      </c>
    </row>
    <row r="468" spans="1:20">
      <c r="A468" s="3169">
        <f>面积表!D463</f>
        <v>202</v>
      </c>
      <c r="B468" s="52">
        <f>面积表!E463</f>
        <v>50.33</v>
      </c>
      <c r="C468" s="21">
        <f t="shared" si="74"/>
        <v>1</v>
      </c>
      <c r="D468" s="2559" t="s">
        <v>4016</v>
      </c>
      <c r="E468" s="21">
        <f t="shared" si="75"/>
        <v>1</v>
      </c>
      <c r="F468" s="631" t="s">
        <v>3815</v>
      </c>
      <c r="G468" s="21">
        <f t="shared" si="76"/>
        <v>0.95</v>
      </c>
      <c r="H468" s="631">
        <v>4.2</v>
      </c>
      <c r="I468" s="21">
        <f t="shared" si="77"/>
        <v>1.05</v>
      </c>
      <c r="J468" s="631"/>
      <c r="K468" s="21">
        <f t="shared" si="78"/>
        <v>1</v>
      </c>
      <c r="L468" s="631"/>
      <c r="M468" s="21">
        <f t="shared" si="79"/>
        <v>1</v>
      </c>
      <c r="N468" s="631"/>
      <c r="O468" s="21">
        <f t="shared" si="80"/>
        <v>1</v>
      </c>
      <c r="P468" s="631" t="s">
        <v>3409</v>
      </c>
      <c r="Q468" s="21">
        <f t="shared" si="81"/>
        <v>1</v>
      </c>
      <c r="R468" s="21">
        <f t="shared" ca="1" si="82"/>
        <v>14115</v>
      </c>
      <c r="S468" s="307">
        <f t="shared" ref="S468:S497" ca="1" si="84">ROUND(R468*B468/10000,0)</f>
        <v>71</v>
      </c>
      <c r="T468" s="3190">
        <f>面积表!A463</f>
        <v>0</v>
      </c>
    </row>
    <row r="469" spans="1:20">
      <c r="A469" s="3169" t="str">
        <f>面积表!D464</f>
        <v>204</v>
      </c>
      <c r="B469" s="52">
        <f>面积表!E464</f>
        <v>50.33</v>
      </c>
      <c r="C469" s="21">
        <f t="shared" si="74"/>
        <v>1</v>
      </c>
      <c r="D469" s="2559" t="s">
        <v>4016</v>
      </c>
      <c r="E469" s="21">
        <f t="shared" si="75"/>
        <v>1</v>
      </c>
      <c r="F469" s="631" t="s">
        <v>3815</v>
      </c>
      <c r="G469" s="21">
        <f t="shared" si="76"/>
        <v>0.95</v>
      </c>
      <c r="H469" s="631">
        <v>4.2</v>
      </c>
      <c r="I469" s="21">
        <f t="shared" si="77"/>
        <v>1.05</v>
      </c>
      <c r="J469" s="631"/>
      <c r="K469" s="21">
        <f t="shared" si="78"/>
        <v>1</v>
      </c>
      <c r="L469" s="631"/>
      <c r="M469" s="21">
        <f t="shared" si="79"/>
        <v>1</v>
      </c>
      <c r="N469" s="631"/>
      <c r="O469" s="21">
        <f t="shared" si="80"/>
        <v>1</v>
      </c>
      <c r="P469" s="631" t="s">
        <v>3409</v>
      </c>
      <c r="Q469" s="21">
        <f t="shared" si="81"/>
        <v>1</v>
      </c>
      <c r="R469" s="21">
        <f t="shared" ca="1" si="82"/>
        <v>14115</v>
      </c>
      <c r="S469" s="307">
        <f t="shared" ca="1" si="84"/>
        <v>71</v>
      </c>
      <c r="T469" s="3190">
        <f>面积表!A464</f>
        <v>0</v>
      </c>
    </row>
    <row r="470" spans="1:20">
      <c r="A470" s="3169" t="str">
        <f>面积表!D465</f>
        <v>206</v>
      </c>
      <c r="B470" s="52">
        <f>面积表!E465</f>
        <v>50.33</v>
      </c>
      <c r="C470" s="21">
        <f t="shared" si="74"/>
        <v>1</v>
      </c>
      <c r="D470" s="2559" t="s">
        <v>4016</v>
      </c>
      <c r="E470" s="21">
        <f t="shared" si="75"/>
        <v>1</v>
      </c>
      <c r="F470" s="631" t="s">
        <v>3815</v>
      </c>
      <c r="G470" s="21">
        <f t="shared" si="76"/>
        <v>0.95</v>
      </c>
      <c r="H470" s="631">
        <v>4.2</v>
      </c>
      <c r="I470" s="21">
        <f t="shared" si="77"/>
        <v>1.05</v>
      </c>
      <c r="J470" s="631"/>
      <c r="K470" s="21">
        <f t="shared" si="78"/>
        <v>1</v>
      </c>
      <c r="L470" s="631"/>
      <c r="M470" s="21">
        <f t="shared" si="79"/>
        <v>1</v>
      </c>
      <c r="N470" s="631"/>
      <c r="O470" s="21">
        <f t="shared" si="80"/>
        <v>1</v>
      </c>
      <c r="P470" s="631" t="s">
        <v>3409</v>
      </c>
      <c r="Q470" s="21">
        <f t="shared" si="81"/>
        <v>1</v>
      </c>
      <c r="R470" s="21">
        <f t="shared" ca="1" si="82"/>
        <v>14115</v>
      </c>
      <c r="S470" s="307">
        <f t="shared" ca="1" si="84"/>
        <v>71</v>
      </c>
      <c r="T470" s="3190">
        <f>面积表!A465</f>
        <v>0</v>
      </c>
    </row>
    <row r="471" spans="1:20">
      <c r="A471" s="3169" t="str">
        <f>面积表!D466</f>
        <v>209</v>
      </c>
      <c r="B471" s="52">
        <f>面积表!E466</f>
        <v>50.33</v>
      </c>
      <c r="C471" s="21">
        <f t="shared" si="74"/>
        <v>1</v>
      </c>
      <c r="D471" s="2559" t="s">
        <v>4016</v>
      </c>
      <c r="E471" s="21">
        <f t="shared" si="75"/>
        <v>1</v>
      </c>
      <c r="F471" s="631" t="s">
        <v>3815</v>
      </c>
      <c r="G471" s="21">
        <f t="shared" si="76"/>
        <v>0.95</v>
      </c>
      <c r="H471" s="631">
        <v>4.2</v>
      </c>
      <c r="I471" s="21">
        <f t="shared" si="77"/>
        <v>1.05</v>
      </c>
      <c r="J471" s="631"/>
      <c r="K471" s="21">
        <f t="shared" si="78"/>
        <v>1</v>
      </c>
      <c r="L471" s="631"/>
      <c r="M471" s="21">
        <f t="shared" si="79"/>
        <v>1</v>
      </c>
      <c r="N471" s="631"/>
      <c r="O471" s="21">
        <f t="shared" si="80"/>
        <v>1</v>
      </c>
      <c r="P471" s="631" t="s">
        <v>3409</v>
      </c>
      <c r="Q471" s="21">
        <f t="shared" si="81"/>
        <v>1</v>
      </c>
      <c r="R471" s="21">
        <f t="shared" ca="1" si="82"/>
        <v>14115</v>
      </c>
      <c r="S471" s="307">
        <f t="shared" ca="1" si="84"/>
        <v>71</v>
      </c>
      <c r="T471" s="3190">
        <f>面积表!A466</f>
        <v>0</v>
      </c>
    </row>
    <row r="472" spans="1:20">
      <c r="A472" s="3169" t="str">
        <f>面积表!D467</f>
        <v>211</v>
      </c>
      <c r="B472" s="52">
        <f>面积表!E467</f>
        <v>50.33</v>
      </c>
      <c r="C472" s="21">
        <f t="shared" si="74"/>
        <v>1</v>
      </c>
      <c r="D472" s="2559" t="s">
        <v>4016</v>
      </c>
      <c r="E472" s="21">
        <f t="shared" si="75"/>
        <v>1</v>
      </c>
      <c r="F472" s="631" t="s">
        <v>3815</v>
      </c>
      <c r="G472" s="21">
        <f t="shared" si="76"/>
        <v>0.95</v>
      </c>
      <c r="H472" s="631">
        <v>4.2</v>
      </c>
      <c r="I472" s="21">
        <f t="shared" si="77"/>
        <v>1.05</v>
      </c>
      <c r="J472" s="631"/>
      <c r="K472" s="21">
        <f t="shared" si="78"/>
        <v>1</v>
      </c>
      <c r="L472" s="631"/>
      <c r="M472" s="21">
        <f t="shared" si="79"/>
        <v>1</v>
      </c>
      <c r="N472" s="631"/>
      <c r="O472" s="21">
        <f t="shared" si="80"/>
        <v>1</v>
      </c>
      <c r="P472" s="631" t="s">
        <v>3409</v>
      </c>
      <c r="Q472" s="21">
        <f t="shared" si="81"/>
        <v>1</v>
      </c>
      <c r="R472" s="21">
        <f t="shared" ca="1" si="82"/>
        <v>14115</v>
      </c>
      <c r="S472" s="307">
        <f t="shared" ca="1" si="84"/>
        <v>71</v>
      </c>
      <c r="T472" s="3190">
        <f>面积表!A467</f>
        <v>0</v>
      </c>
    </row>
    <row r="473" spans="1:20">
      <c r="A473" s="3169" t="str">
        <f>面积表!D468</f>
        <v>212</v>
      </c>
      <c r="B473" s="52">
        <f>面积表!E468</f>
        <v>50.33</v>
      </c>
      <c r="C473" s="21">
        <f t="shared" si="74"/>
        <v>1</v>
      </c>
      <c r="D473" s="2559" t="s">
        <v>4016</v>
      </c>
      <c r="E473" s="21">
        <f t="shared" si="75"/>
        <v>1</v>
      </c>
      <c r="F473" s="631" t="s">
        <v>3815</v>
      </c>
      <c r="G473" s="21">
        <f t="shared" si="76"/>
        <v>0.95</v>
      </c>
      <c r="H473" s="631">
        <v>4.2</v>
      </c>
      <c r="I473" s="21">
        <f t="shared" si="77"/>
        <v>1.05</v>
      </c>
      <c r="J473" s="631"/>
      <c r="K473" s="21">
        <f t="shared" si="78"/>
        <v>1</v>
      </c>
      <c r="L473" s="631"/>
      <c r="M473" s="21">
        <f t="shared" si="79"/>
        <v>1</v>
      </c>
      <c r="N473" s="631"/>
      <c r="O473" s="21">
        <f t="shared" si="80"/>
        <v>1</v>
      </c>
      <c r="P473" s="631" t="s">
        <v>3409</v>
      </c>
      <c r="Q473" s="21">
        <f t="shared" si="81"/>
        <v>1</v>
      </c>
      <c r="R473" s="21">
        <f t="shared" ca="1" si="82"/>
        <v>14115</v>
      </c>
      <c r="S473" s="307">
        <f t="shared" ca="1" si="84"/>
        <v>71</v>
      </c>
      <c r="T473" s="3190">
        <f>面积表!A468</f>
        <v>0</v>
      </c>
    </row>
    <row r="474" spans="1:20">
      <c r="A474" s="3169" t="str">
        <f>面积表!D469</f>
        <v>213</v>
      </c>
      <c r="B474" s="52">
        <f>面积表!E469</f>
        <v>50.33</v>
      </c>
      <c r="C474" s="21">
        <f t="shared" ref="C474:C524" si="85">IF(B474="",1,(LOOKUP(B474,$3:$3,$4:$4)-LOOKUP($B$24,$3:$3,$4:$4)+100)/100)</f>
        <v>1</v>
      </c>
      <c r="D474" s="2559" t="s">
        <v>4016</v>
      </c>
      <c r="E474" s="21">
        <f t="shared" ref="E474:E524" si="86">(SUMIF($5:$5,D474,$6:$6)-SUMIF($5:$5,$D$24,$6:$6)+100)/100</f>
        <v>1</v>
      </c>
      <c r="F474" s="631" t="s">
        <v>3815</v>
      </c>
      <c r="G474" s="21">
        <f t="shared" ref="G474:G524" si="87">(SUMIF($7:$7,F474,$8:$8)-SUMIF($7:$7,$F$24,$8:$8)+100)/100</f>
        <v>0.95</v>
      </c>
      <c r="H474" s="631">
        <v>4.2</v>
      </c>
      <c r="I474" s="21">
        <f t="shared" ref="I474:I524" si="88">(SUMIF($9:$9,H474,$10:$10)-SUMIF($9:$9,$H$24,$10:$10)+100)/100</f>
        <v>1.05</v>
      </c>
      <c r="J474" s="631"/>
      <c r="K474" s="21">
        <f t="shared" ref="K474:K524" si="89">(SUMIF($11:$11,J474,$12:$12)-SUMIF($11:$11,$J$24,$12:$12)+100)/100</f>
        <v>1</v>
      </c>
      <c r="L474" s="631"/>
      <c r="M474" s="21">
        <f t="shared" ref="M474:M524" si="90">(SUMIF($13:$13,L474,$14:$14)-SUMIF($13:$13,$L$24,$14:$14)+100)/100</f>
        <v>1</v>
      </c>
      <c r="N474" s="631"/>
      <c r="O474" s="21">
        <f t="shared" ref="O474:O524" si="91">(SUMIF($15:$15,N474,$16:$16)-SUMIF($15:$15,$N$24,$16:$16)+100)/100</f>
        <v>1</v>
      </c>
      <c r="P474" s="631" t="s">
        <v>3409</v>
      </c>
      <c r="Q474" s="21">
        <f t="shared" ref="Q474:Q524" si="92">(SUMIF($17:$17,P474,$18:$18)-SUMIF($17:$17,$P$24,$18:$18)+100)/100</f>
        <v>1</v>
      </c>
      <c r="R474" s="21">
        <f t="shared" ref="R474:R524" ca="1" si="93">IF(B474="",0,ROUND($R$24*C474*E474*G474*I474*K474*M474*O474*Q474,0))</f>
        <v>14115</v>
      </c>
      <c r="S474" s="307">
        <f t="shared" ca="1" si="84"/>
        <v>71</v>
      </c>
      <c r="T474" s="3190">
        <f>面积表!A469</f>
        <v>0</v>
      </c>
    </row>
    <row r="475" spans="1:20">
      <c r="A475" s="3169" t="str">
        <f>面积表!D470</f>
        <v>214</v>
      </c>
      <c r="B475" s="52">
        <f>面积表!E470</f>
        <v>50.33</v>
      </c>
      <c r="C475" s="21">
        <f t="shared" si="85"/>
        <v>1</v>
      </c>
      <c r="D475" s="2559" t="s">
        <v>4016</v>
      </c>
      <c r="E475" s="21">
        <f t="shared" si="86"/>
        <v>1</v>
      </c>
      <c r="F475" s="631" t="s">
        <v>3815</v>
      </c>
      <c r="G475" s="21">
        <f t="shared" si="87"/>
        <v>0.95</v>
      </c>
      <c r="H475" s="631">
        <v>4.2</v>
      </c>
      <c r="I475" s="21">
        <f t="shared" si="88"/>
        <v>1.05</v>
      </c>
      <c r="J475" s="631"/>
      <c r="K475" s="21">
        <f t="shared" si="89"/>
        <v>1</v>
      </c>
      <c r="L475" s="631"/>
      <c r="M475" s="21">
        <f t="shared" si="90"/>
        <v>1</v>
      </c>
      <c r="N475" s="631"/>
      <c r="O475" s="21">
        <f t="shared" si="91"/>
        <v>1</v>
      </c>
      <c r="P475" s="631" t="s">
        <v>3409</v>
      </c>
      <c r="Q475" s="21">
        <f t="shared" si="92"/>
        <v>1</v>
      </c>
      <c r="R475" s="21">
        <f t="shared" ca="1" si="93"/>
        <v>14115</v>
      </c>
      <c r="S475" s="307">
        <f t="shared" ca="1" si="84"/>
        <v>71</v>
      </c>
      <c r="T475" s="3190">
        <f>面积表!A470</f>
        <v>0</v>
      </c>
    </row>
    <row r="476" spans="1:20">
      <c r="A476" s="3169" t="str">
        <f>面积表!D471</f>
        <v>215</v>
      </c>
      <c r="B476" s="52">
        <f>面积表!E471</f>
        <v>50.33</v>
      </c>
      <c r="C476" s="21">
        <f t="shared" si="85"/>
        <v>1</v>
      </c>
      <c r="D476" s="2559" t="s">
        <v>4016</v>
      </c>
      <c r="E476" s="21">
        <f t="shared" si="86"/>
        <v>1</v>
      </c>
      <c r="F476" s="631" t="s">
        <v>3815</v>
      </c>
      <c r="G476" s="21">
        <f t="shared" si="87"/>
        <v>0.95</v>
      </c>
      <c r="H476" s="631">
        <v>4.2</v>
      </c>
      <c r="I476" s="21">
        <f t="shared" si="88"/>
        <v>1.05</v>
      </c>
      <c r="J476" s="631"/>
      <c r="K476" s="21">
        <f t="shared" si="89"/>
        <v>1</v>
      </c>
      <c r="L476" s="631"/>
      <c r="M476" s="21">
        <f t="shared" si="90"/>
        <v>1</v>
      </c>
      <c r="N476" s="631"/>
      <c r="O476" s="21">
        <f t="shared" si="91"/>
        <v>1</v>
      </c>
      <c r="P476" s="631" t="s">
        <v>3409</v>
      </c>
      <c r="Q476" s="21">
        <f t="shared" si="92"/>
        <v>1</v>
      </c>
      <c r="R476" s="21">
        <f t="shared" ca="1" si="93"/>
        <v>14115</v>
      </c>
      <c r="S476" s="307">
        <f t="shared" ca="1" si="84"/>
        <v>71</v>
      </c>
      <c r="T476" s="3190">
        <f>面积表!A471</f>
        <v>0</v>
      </c>
    </row>
    <row r="477" spans="1:20">
      <c r="A477" s="3169" t="str">
        <f>面积表!D472</f>
        <v>216</v>
      </c>
      <c r="B477" s="52">
        <f>面积表!E472</f>
        <v>69.77</v>
      </c>
      <c r="C477" s="21">
        <f t="shared" si="85"/>
        <v>1.01</v>
      </c>
      <c r="D477" s="2559" t="s">
        <v>4016</v>
      </c>
      <c r="E477" s="21">
        <f t="shared" si="86"/>
        <v>1</v>
      </c>
      <c r="F477" s="631" t="s">
        <v>3815</v>
      </c>
      <c r="G477" s="21">
        <f t="shared" si="87"/>
        <v>0.95</v>
      </c>
      <c r="H477" s="631">
        <v>4.2</v>
      </c>
      <c r="I477" s="21">
        <f t="shared" si="88"/>
        <v>1.05</v>
      </c>
      <c r="J477" s="631"/>
      <c r="K477" s="21">
        <f t="shared" si="89"/>
        <v>1</v>
      </c>
      <c r="L477" s="631"/>
      <c r="M477" s="21">
        <f t="shared" si="90"/>
        <v>1</v>
      </c>
      <c r="N477" s="631"/>
      <c r="O477" s="21">
        <f t="shared" si="91"/>
        <v>1</v>
      </c>
      <c r="P477" s="631" t="s">
        <v>3409</v>
      </c>
      <c r="Q477" s="21">
        <f t="shared" si="92"/>
        <v>1</v>
      </c>
      <c r="R477" s="21">
        <f t="shared" ca="1" si="93"/>
        <v>14256</v>
      </c>
      <c r="S477" s="307">
        <f t="shared" ca="1" si="84"/>
        <v>99</v>
      </c>
      <c r="T477" s="3190">
        <f>面积表!A472</f>
        <v>0</v>
      </c>
    </row>
    <row r="478" spans="1:20">
      <c r="A478" s="3169" t="str">
        <f>面积表!D473</f>
        <v>218</v>
      </c>
      <c r="B478" s="52">
        <f>面积表!E473</f>
        <v>43.39</v>
      </c>
      <c r="C478" s="21">
        <f t="shared" si="85"/>
        <v>1</v>
      </c>
      <c r="D478" s="2559" t="s">
        <v>4016</v>
      </c>
      <c r="E478" s="21">
        <f t="shared" si="86"/>
        <v>1</v>
      </c>
      <c r="F478" s="631" t="s">
        <v>3815</v>
      </c>
      <c r="G478" s="21">
        <f t="shared" si="87"/>
        <v>0.95</v>
      </c>
      <c r="H478" s="631">
        <v>4.2</v>
      </c>
      <c r="I478" s="21">
        <f t="shared" si="88"/>
        <v>1.05</v>
      </c>
      <c r="J478" s="631"/>
      <c r="K478" s="21">
        <f t="shared" si="89"/>
        <v>1</v>
      </c>
      <c r="L478" s="631"/>
      <c r="M478" s="21">
        <f t="shared" si="90"/>
        <v>1</v>
      </c>
      <c r="N478" s="631"/>
      <c r="O478" s="21">
        <f t="shared" si="91"/>
        <v>1</v>
      </c>
      <c r="P478" s="631" t="s">
        <v>3409</v>
      </c>
      <c r="Q478" s="21">
        <f t="shared" si="92"/>
        <v>1</v>
      </c>
      <c r="R478" s="21">
        <f t="shared" ca="1" si="93"/>
        <v>14115</v>
      </c>
      <c r="S478" s="307">
        <f t="shared" ca="1" si="84"/>
        <v>61</v>
      </c>
      <c r="T478" s="3190">
        <f>面积表!A473</f>
        <v>0</v>
      </c>
    </row>
    <row r="479" spans="1:20">
      <c r="A479" s="3169" t="str">
        <f>面积表!D474</f>
        <v>219</v>
      </c>
      <c r="B479" s="52">
        <f>面积表!E474</f>
        <v>46.11</v>
      </c>
      <c r="C479" s="21">
        <f t="shared" si="85"/>
        <v>1</v>
      </c>
      <c r="D479" s="2559" t="s">
        <v>4016</v>
      </c>
      <c r="E479" s="21">
        <f t="shared" si="86"/>
        <v>1</v>
      </c>
      <c r="F479" s="631" t="s">
        <v>3815</v>
      </c>
      <c r="G479" s="21">
        <f t="shared" si="87"/>
        <v>0.95</v>
      </c>
      <c r="H479" s="631">
        <v>4.2</v>
      </c>
      <c r="I479" s="21">
        <f t="shared" si="88"/>
        <v>1.05</v>
      </c>
      <c r="J479" s="631"/>
      <c r="K479" s="21">
        <f t="shared" si="89"/>
        <v>1</v>
      </c>
      <c r="L479" s="631"/>
      <c r="M479" s="21">
        <f t="shared" si="90"/>
        <v>1</v>
      </c>
      <c r="N479" s="631"/>
      <c r="O479" s="21">
        <f t="shared" si="91"/>
        <v>1</v>
      </c>
      <c r="P479" s="631" t="s">
        <v>3409</v>
      </c>
      <c r="Q479" s="21">
        <f t="shared" si="92"/>
        <v>1</v>
      </c>
      <c r="R479" s="21">
        <f t="shared" ca="1" si="93"/>
        <v>14115</v>
      </c>
      <c r="S479" s="307">
        <f t="shared" ca="1" si="84"/>
        <v>65</v>
      </c>
      <c r="T479" s="3190">
        <f>面积表!A474</f>
        <v>0</v>
      </c>
    </row>
    <row r="480" spans="1:20">
      <c r="A480" s="3169" t="str">
        <f>面积表!D475</f>
        <v>220</v>
      </c>
      <c r="B480" s="52">
        <f>面积表!E475</f>
        <v>48.24</v>
      </c>
      <c r="C480" s="21">
        <f t="shared" si="85"/>
        <v>1</v>
      </c>
      <c r="D480" s="2559" t="s">
        <v>4016</v>
      </c>
      <c r="E480" s="21">
        <f t="shared" si="86"/>
        <v>1</v>
      </c>
      <c r="F480" s="631" t="s">
        <v>3815</v>
      </c>
      <c r="G480" s="21">
        <f t="shared" si="87"/>
        <v>0.95</v>
      </c>
      <c r="H480" s="631">
        <v>4.2</v>
      </c>
      <c r="I480" s="21">
        <f t="shared" si="88"/>
        <v>1.05</v>
      </c>
      <c r="J480" s="631"/>
      <c r="K480" s="21">
        <f t="shared" si="89"/>
        <v>1</v>
      </c>
      <c r="L480" s="631"/>
      <c r="M480" s="21">
        <f t="shared" si="90"/>
        <v>1</v>
      </c>
      <c r="N480" s="631"/>
      <c r="O480" s="21">
        <f t="shared" si="91"/>
        <v>1</v>
      </c>
      <c r="P480" s="631" t="s">
        <v>3409</v>
      </c>
      <c r="Q480" s="21">
        <f t="shared" si="92"/>
        <v>1</v>
      </c>
      <c r="R480" s="21">
        <f t="shared" ca="1" si="93"/>
        <v>14115</v>
      </c>
      <c r="S480" s="307">
        <f t="shared" ca="1" si="84"/>
        <v>68</v>
      </c>
      <c r="T480" s="3190">
        <f>面积表!A475</f>
        <v>0</v>
      </c>
    </row>
    <row r="481" spans="1:20">
      <c r="A481" s="3169" t="str">
        <f>面积表!D476</f>
        <v>221</v>
      </c>
      <c r="B481" s="52">
        <f>面积表!E476</f>
        <v>49.7</v>
      </c>
      <c r="C481" s="21">
        <f t="shared" si="85"/>
        <v>1</v>
      </c>
      <c r="D481" s="2559" t="s">
        <v>4016</v>
      </c>
      <c r="E481" s="21">
        <f t="shared" si="86"/>
        <v>1</v>
      </c>
      <c r="F481" s="631" t="s">
        <v>3815</v>
      </c>
      <c r="G481" s="21">
        <f t="shared" si="87"/>
        <v>0.95</v>
      </c>
      <c r="H481" s="631">
        <v>4.2</v>
      </c>
      <c r="I481" s="21">
        <f t="shared" si="88"/>
        <v>1.05</v>
      </c>
      <c r="J481" s="631"/>
      <c r="K481" s="21">
        <f t="shared" si="89"/>
        <v>1</v>
      </c>
      <c r="L481" s="631"/>
      <c r="M481" s="21">
        <f t="shared" si="90"/>
        <v>1</v>
      </c>
      <c r="N481" s="631"/>
      <c r="O481" s="21">
        <f t="shared" si="91"/>
        <v>1</v>
      </c>
      <c r="P481" s="631" t="s">
        <v>3409</v>
      </c>
      <c r="Q481" s="21">
        <f t="shared" si="92"/>
        <v>1</v>
      </c>
      <c r="R481" s="21">
        <f t="shared" ca="1" si="93"/>
        <v>14115</v>
      </c>
      <c r="S481" s="307">
        <f t="shared" ca="1" si="84"/>
        <v>70</v>
      </c>
      <c r="T481" s="3190">
        <f>面积表!A476</f>
        <v>0</v>
      </c>
    </row>
    <row r="482" spans="1:20">
      <c r="A482" s="3169" t="str">
        <f>面积表!D477</f>
        <v>222</v>
      </c>
      <c r="B482" s="52">
        <f>面积表!E477</f>
        <v>50.69</v>
      </c>
      <c r="C482" s="21">
        <f t="shared" si="85"/>
        <v>1</v>
      </c>
      <c r="D482" s="2559" t="s">
        <v>4016</v>
      </c>
      <c r="E482" s="21">
        <f t="shared" si="86"/>
        <v>1</v>
      </c>
      <c r="F482" s="631" t="s">
        <v>3815</v>
      </c>
      <c r="G482" s="21">
        <f t="shared" si="87"/>
        <v>0.95</v>
      </c>
      <c r="H482" s="631">
        <v>4.2</v>
      </c>
      <c r="I482" s="21">
        <f t="shared" si="88"/>
        <v>1.05</v>
      </c>
      <c r="J482" s="631"/>
      <c r="K482" s="21">
        <f t="shared" si="89"/>
        <v>1</v>
      </c>
      <c r="L482" s="631"/>
      <c r="M482" s="21">
        <f t="shared" si="90"/>
        <v>1</v>
      </c>
      <c r="N482" s="631"/>
      <c r="O482" s="21">
        <f t="shared" si="91"/>
        <v>1</v>
      </c>
      <c r="P482" s="631" t="s">
        <v>3409</v>
      </c>
      <c r="Q482" s="21">
        <f t="shared" si="92"/>
        <v>1</v>
      </c>
      <c r="R482" s="21">
        <f t="shared" ca="1" si="93"/>
        <v>14115</v>
      </c>
      <c r="S482" s="307">
        <f t="shared" ca="1" si="84"/>
        <v>72</v>
      </c>
      <c r="T482" s="3190">
        <f>面积表!A477</f>
        <v>0</v>
      </c>
    </row>
    <row r="483" spans="1:20">
      <c r="A483" s="3169" t="str">
        <f>面积表!D478</f>
        <v>223</v>
      </c>
      <c r="B483" s="52">
        <f>面积表!E478</f>
        <v>50.96</v>
      </c>
      <c r="C483" s="21">
        <f t="shared" si="85"/>
        <v>1</v>
      </c>
      <c r="D483" s="2559" t="s">
        <v>4016</v>
      </c>
      <c r="E483" s="21">
        <f t="shared" si="86"/>
        <v>1</v>
      </c>
      <c r="F483" s="631" t="s">
        <v>3815</v>
      </c>
      <c r="G483" s="21">
        <f t="shared" si="87"/>
        <v>0.95</v>
      </c>
      <c r="H483" s="631">
        <v>4.2</v>
      </c>
      <c r="I483" s="21">
        <f t="shared" si="88"/>
        <v>1.05</v>
      </c>
      <c r="J483" s="631"/>
      <c r="K483" s="21">
        <f t="shared" si="89"/>
        <v>1</v>
      </c>
      <c r="L483" s="631"/>
      <c r="M483" s="21">
        <f t="shared" si="90"/>
        <v>1</v>
      </c>
      <c r="N483" s="631"/>
      <c r="O483" s="21">
        <f t="shared" si="91"/>
        <v>1</v>
      </c>
      <c r="P483" s="631" t="s">
        <v>3409</v>
      </c>
      <c r="Q483" s="21">
        <f t="shared" si="92"/>
        <v>1</v>
      </c>
      <c r="R483" s="21">
        <f t="shared" ca="1" si="93"/>
        <v>14115</v>
      </c>
      <c r="S483" s="307">
        <f t="shared" ca="1" si="84"/>
        <v>72</v>
      </c>
      <c r="T483" s="3190">
        <f>面积表!A478</f>
        <v>0</v>
      </c>
    </row>
    <row r="484" spans="1:20">
      <c r="A484" s="3169" t="str">
        <f>面积表!D479</f>
        <v>224</v>
      </c>
      <c r="B484" s="52">
        <f>面积表!E479</f>
        <v>50.66</v>
      </c>
      <c r="C484" s="21">
        <f t="shared" si="85"/>
        <v>1</v>
      </c>
      <c r="D484" s="2559" t="s">
        <v>4016</v>
      </c>
      <c r="E484" s="21">
        <f t="shared" si="86"/>
        <v>1</v>
      </c>
      <c r="F484" s="631" t="s">
        <v>3815</v>
      </c>
      <c r="G484" s="21">
        <f t="shared" si="87"/>
        <v>0.95</v>
      </c>
      <c r="H484" s="631">
        <v>4.2</v>
      </c>
      <c r="I484" s="21">
        <f t="shared" si="88"/>
        <v>1.05</v>
      </c>
      <c r="J484" s="631"/>
      <c r="K484" s="21">
        <f t="shared" si="89"/>
        <v>1</v>
      </c>
      <c r="L484" s="631"/>
      <c r="M484" s="21">
        <f t="shared" si="90"/>
        <v>1</v>
      </c>
      <c r="N484" s="631"/>
      <c r="O484" s="21">
        <f t="shared" si="91"/>
        <v>1</v>
      </c>
      <c r="P484" s="631" t="s">
        <v>3409</v>
      </c>
      <c r="Q484" s="21">
        <f t="shared" si="92"/>
        <v>1</v>
      </c>
      <c r="R484" s="21">
        <f t="shared" ca="1" si="93"/>
        <v>14115</v>
      </c>
      <c r="S484" s="307">
        <f t="shared" ca="1" si="84"/>
        <v>72</v>
      </c>
      <c r="T484" s="3190">
        <f>面积表!A479</f>
        <v>0</v>
      </c>
    </row>
    <row r="485" spans="1:20">
      <c r="A485" s="3169" t="str">
        <f>面积表!D480</f>
        <v>225</v>
      </c>
      <c r="B485" s="52">
        <f>面积表!E480</f>
        <v>49.77</v>
      </c>
      <c r="C485" s="21">
        <f t="shared" si="85"/>
        <v>1</v>
      </c>
      <c r="D485" s="2559" t="s">
        <v>4016</v>
      </c>
      <c r="E485" s="21">
        <f t="shared" si="86"/>
        <v>1</v>
      </c>
      <c r="F485" s="631" t="s">
        <v>3815</v>
      </c>
      <c r="G485" s="21">
        <f t="shared" si="87"/>
        <v>0.95</v>
      </c>
      <c r="H485" s="631">
        <v>4.2</v>
      </c>
      <c r="I485" s="21">
        <f t="shared" si="88"/>
        <v>1.05</v>
      </c>
      <c r="J485" s="631"/>
      <c r="K485" s="21">
        <f t="shared" si="89"/>
        <v>1</v>
      </c>
      <c r="L485" s="631"/>
      <c r="M485" s="21">
        <f t="shared" si="90"/>
        <v>1</v>
      </c>
      <c r="N485" s="631"/>
      <c r="O485" s="21">
        <f t="shared" si="91"/>
        <v>1</v>
      </c>
      <c r="P485" s="631" t="s">
        <v>3409</v>
      </c>
      <c r="Q485" s="21">
        <f t="shared" si="92"/>
        <v>1</v>
      </c>
      <c r="R485" s="21">
        <f t="shared" ca="1" si="93"/>
        <v>14115</v>
      </c>
      <c r="S485" s="307">
        <f t="shared" ca="1" si="84"/>
        <v>70</v>
      </c>
      <c r="T485" s="3190">
        <f>面积表!A480</f>
        <v>0</v>
      </c>
    </row>
    <row r="486" spans="1:20">
      <c r="A486" s="3169" t="str">
        <f>面积表!D481</f>
        <v>226</v>
      </c>
      <c r="B486" s="52">
        <f>面积表!E481</f>
        <v>48.83</v>
      </c>
      <c r="C486" s="21">
        <f t="shared" si="85"/>
        <v>1</v>
      </c>
      <c r="D486" s="2559" t="s">
        <v>4016</v>
      </c>
      <c r="E486" s="21">
        <f t="shared" si="86"/>
        <v>1</v>
      </c>
      <c r="F486" s="631" t="s">
        <v>3815</v>
      </c>
      <c r="G486" s="21">
        <f t="shared" si="87"/>
        <v>0.95</v>
      </c>
      <c r="H486" s="631">
        <v>4.2</v>
      </c>
      <c r="I486" s="21">
        <f t="shared" si="88"/>
        <v>1.05</v>
      </c>
      <c r="J486" s="631"/>
      <c r="K486" s="21">
        <f t="shared" si="89"/>
        <v>1</v>
      </c>
      <c r="L486" s="631"/>
      <c r="M486" s="21">
        <f t="shared" si="90"/>
        <v>1</v>
      </c>
      <c r="N486" s="631"/>
      <c r="O486" s="21">
        <f t="shared" si="91"/>
        <v>1</v>
      </c>
      <c r="P486" s="631" t="s">
        <v>3409</v>
      </c>
      <c r="Q486" s="21">
        <f t="shared" si="92"/>
        <v>1</v>
      </c>
      <c r="R486" s="21">
        <f t="shared" ca="1" si="93"/>
        <v>14115</v>
      </c>
      <c r="S486" s="307">
        <f t="shared" ca="1" si="84"/>
        <v>69</v>
      </c>
      <c r="T486" s="3190">
        <f>面积表!A481</f>
        <v>0</v>
      </c>
    </row>
    <row r="487" spans="1:20">
      <c r="A487" s="3169" t="str">
        <f>面积表!D482</f>
        <v>303</v>
      </c>
      <c r="B487" s="52">
        <f>面积表!E482</f>
        <v>50.33</v>
      </c>
      <c r="C487" s="21">
        <f t="shared" si="85"/>
        <v>1</v>
      </c>
      <c r="D487" s="2559" t="s">
        <v>4016</v>
      </c>
      <c r="E487" s="21">
        <f t="shared" si="86"/>
        <v>1</v>
      </c>
      <c r="F487" s="631" t="s">
        <v>3815</v>
      </c>
      <c r="G487" s="21">
        <f t="shared" si="87"/>
        <v>0.95</v>
      </c>
      <c r="H487" s="631">
        <v>3</v>
      </c>
      <c r="I487" s="21">
        <f t="shared" si="88"/>
        <v>1</v>
      </c>
      <c r="J487" s="631"/>
      <c r="K487" s="21">
        <f t="shared" si="89"/>
        <v>1</v>
      </c>
      <c r="L487" s="631"/>
      <c r="M487" s="21">
        <f t="shared" si="90"/>
        <v>1</v>
      </c>
      <c r="N487" s="631"/>
      <c r="O487" s="21">
        <f t="shared" si="91"/>
        <v>1</v>
      </c>
      <c r="P487" s="631" t="s">
        <v>3409</v>
      </c>
      <c r="Q487" s="21">
        <f t="shared" si="92"/>
        <v>1</v>
      </c>
      <c r="R487" s="21">
        <f t="shared" ca="1" si="93"/>
        <v>13443</v>
      </c>
      <c r="S487" s="307">
        <f t="shared" ca="1" si="84"/>
        <v>68</v>
      </c>
      <c r="T487" s="3190">
        <f>面积表!A482</f>
        <v>0</v>
      </c>
    </row>
    <row r="488" spans="1:20">
      <c r="A488" s="3169" t="str">
        <f>面积表!D483</f>
        <v>307</v>
      </c>
      <c r="B488" s="52">
        <f>面积表!E483</f>
        <v>50.33</v>
      </c>
      <c r="C488" s="21">
        <f t="shared" si="85"/>
        <v>1</v>
      </c>
      <c r="D488" s="2559" t="s">
        <v>4016</v>
      </c>
      <c r="E488" s="21">
        <f t="shared" si="86"/>
        <v>1</v>
      </c>
      <c r="F488" s="631" t="s">
        <v>3815</v>
      </c>
      <c r="G488" s="21">
        <f t="shared" si="87"/>
        <v>0.95</v>
      </c>
      <c r="H488" s="631">
        <v>3</v>
      </c>
      <c r="I488" s="21">
        <f t="shared" si="88"/>
        <v>1</v>
      </c>
      <c r="J488" s="631"/>
      <c r="K488" s="21">
        <f t="shared" si="89"/>
        <v>1</v>
      </c>
      <c r="L488" s="631"/>
      <c r="M488" s="21">
        <f t="shared" si="90"/>
        <v>1</v>
      </c>
      <c r="N488" s="631"/>
      <c r="O488" s="21">
        <f t="shared" si="91"/>
        <v>1</v>
      </c>
      <c r="P488" s="631" t="s">
        <v>3409</v>
      </c>
      <c r="Q488" s="21">
        <f t="shared" si="92"/>
        <v>1</v>
      </c>
      <c r="R488" s="21">
        <f t="shared" ca="1" si="93"/>
        <v>13443</v>
      </c>
      <c r="S488" s="307">
        <f t="shared" ca="1" si="84"/>
        <v>68</v>
      </c>
      <c r="T488" s="3190">
        <f>面积表!A483</f>
        <v>0</v>
      </c>
    </row>
    <row r="489" spans="1:20">
      <c r="A489" s="3169" t="str">
        <f>面积表!D484</f>
        <v>309</v>
      </c>
      <c r="B489" s="52">
        <f>面积表!E484</f>
        <v>50.33</v>
      </c>
      <c r="C489" s="21">
        <f t="shared" si="85"/>
        <v>1</v>
      </c>
      <c r="D489" s="2559" t="s">
        <v>4016</v>
      </c>
      <c r="E489" s="21">
        <f t="shared" si="86"/>
        <v>1</v>
      </c>
      <c r="F489" s="631" t="s">
        <v>3815</v>
      </c>
      <c r="G489" s="21">
        <f t="shared" si="87"/>
        <v>0.95</v>
      </c>
      <c r="H489" s="631">
        <v>3</v>
      </c>
      <c r="I489" s="21">
        <f t="shared" si="88"/>
        <v>1</v>
      </c>
      <c r="J489" s="631"/>
      <c r="K489" s="21">
        <f t="shared" si="89"/>
        <v>1</v>
      </c>
      <c r="L489" s="631"/>
      <c r="M489" s="21">
        <f t="shared" si="90"/>
        <v>1</v>
      </c>
      <c r="N489" s="631"/>
      <c r="O489" s="21">
        <f t="shared" si="91"/>
        <v>1</v>
      </c>
      <c r="P489" s="631" t="s">
        <v>3409</v>
      </c>
      <c r="Q489" s="21">
        <f t="shared" si="92"/>
        <v>1</v>
      </c>
      <c r="R489" s="21">
        <f t="shared" ca="1" si="93"/>
        <v>13443</v>
      </c>
      <c r="S489" s="307">
        <f t="shared" ca="1" si="84"/>
        <v>68</v>
      </c>
      <c r="T489" s="3190">
        <f>面积表!A484</f>
        <v>0</v>
      </c>
    </row>
    <row r="490" spans="1:20">
      <c r="A490" s="3169" t="str">
        <f>面积表!D485</f>
        <v>310</v>
      </c>
      <c r="B490" s="52">
        <f>面积表!E485</f>
        <v>50.33</v>
      </c>
      <c r="C490" s="21">
        <f t="shared" si="85"/>
        <v>1</v>
      </c>
      <c r="D490" s="2559" t="s">
        <v>4016</v>
      </c>
      <c r="E490" s="21">
        <f t="shared" si="86"/>
        <v>1</v>
      </c>
      <c r="F490" s="631" t="s">
        <v>3815</v>
      </c>
      <c r="G490" s="21">
        <f t="shared" si="87"/>
        <v>0.95</v>
      </c>
      <c r="H490" s="631">
        <v>3</v>
      </c>
      <c r="I490" s="21">
        <f t="shared" si="88"/>
        <v>1</v>
      </c>
      <c r="J490" s="631"/>
      <c r="K490" s="21">
        <f t="shared" si="89"/>
        <v>1</v>
      </c>
      <c r="L490" s="631"/>
      <c r="M490" s="21">
        <f t="shared" si="90"/>
        <v>1</v>
      </c>
      <c r="N490" s="631"/>
      <c r="O490" s="21">
        <f t="shared" si="91"/>
        <v>1</v>
      </c>
      <c r="P490" s="631" t="s">
        <v>3409</v>
      </c>
      <c r="Q490" s="21">
        <f t="shared" si="92"/>
        <v>1</v>
      </c>
      <c r="R490" s="21">
        <f t="shared" ca="1" si="93"/>
        <v>13443</v>
      </c>
      <c r="S490" s="307">
        <f t="shared" ca="1" si="84"/>
        <v>68</v>
      </c>
      <c r="T490" s="3190">
        <f>面积表!A485</f>
        <v>0</v>
      </c>
    </row>
    <row r="491" spans="1:20">
      <c r="A491" s="3169" t="str">
        <f>面积表!D486</f>
        <v>311</v>
      </c>
      <c r="B491" s="52">
        <f>面积表!E486</f>
        <v>50.33</v>
      </c>
      <c r="C491" s="21">
        <f t="shared" si="85"/>
        <v>1</v>
      </c>
      <c r="D491" s="2559" t="s">
        <v>4016</v>
      </c>
      <c r="E491" s="21">
        <f t="shared" si="86"/>
        <v>1</v>
      </c>
      <c r="F491" s="631" t="s">
        <v>3815</v>
      </c>
      <c r="G491" s="21">
        <f t="shared" si="87"/>
        <v>0.95</v>
      </c>
      <c r="H491" s="631">
        <v>3</v>
      </c>
      <c r="I491" s="21">
        <f t="shared" si="88"/>
        <v>1</v>
      </c>
      <c r="J491" s="631"/>
      <c r="K491" s="21">
        <f t="shared" si="89"/>
        <v>1</v>
      </c>
      <c r="L491" s="631"/>
      <c r="M491" s="21">
        <f t="shared" si="90"/>
        <v>1</v>
      </c>
      <c r="N491" s="631"/>
      <c r="O491" s="21">
        <f t="shared" si="91"/>
        <v>1</v>
      </c>
      <c r="P491" s="631" t="s">
        <v>3409</v>
      </c>
      <c r="Q491" s="21">
        <f t="shared" si="92"/>
        <v>1</v>
      </c>
      <c r="R491" s="21">
        <f t="shared" ca="1" si="93"/>
        <v>13443</v>
      </c>
      <c r="S491" s="307">
        <f t="shared" ca="1" si="84"/>
        <v>68</v>
      </c>
      <c r="T491" s="3190">
        <f>面积表!A486</f>
        <v>0</v>
      </c>
    </row>
    <row r="492" spans="1:20">
      <c r="A492" s="3169" t="str">
        <f>面积表!D487</f>
        <v>312</v>
      </c>
      <c r="B492" s="52">
        <f>面积表!E487</f>
        <v>50.33</v>
      </c>
      <c r="C492" s="21">
        <f t="shared" si="85"/>
        <v>1</v>
      </c>
      <c r="D492" s="2559" t="s">
        <v>4016</v>
      </c>
      <c r="E492" s="21">
        <f t="shared" si="86"/>
        <v>1</v>
      </c>
      <c r="F492" s="631" t="s">
        <v>3815</v>
      </c>
      <c r="G492" s="21">
        <f t="shared" si="87"/>
        <v>0.95</v>
      </c>
      <c r="H492" s="631">
        <v>3</v>
      </c>
      <c r="I492" s="21">
        <f t="shared" si="88"/>
        <v>1</v>
      </c>
      <c r="J492" s="631"/>
      <c r="K492" s="21">
        <f t="shared" si="89"/>
        <v>1</v>
      </c>
      <c r="L492" s="631"/>
      <c r="M492" s="21">
        <f t="shared" si="90"/>
        <v>1</v>
      </c>
      <c r="N492" s="631"/>
      <c r="O492" s="21">
        <f t="shared" si="91"/>
        <v>1</v>
      </c>
      <c r="P492" s="631" t="s">
        <v>3409</v>
      </c>
      <c r="Q492" s="21">
        <f t="shared" si="92"/>
        <v>1</v>
      </c>
      <c r="R492" s="21">
        <f t="shared" ca="1" si="93"/>
        <v>13443</v>
      </c>
      <c r="S492" s="307">
        <f t="shared" ca="1" si="84"/>
        <v>68</v>
      </c>
      <c r="T492" s="3190">
        <f>面积表!A487</f>
        <v>0</v>
      </c>
    </row>
    <row r="493" spans="1:20">
      <c r="A493" s="3169" t="str">
        <f>面积表!D488</f>
        <v>313</v>
      </c>
      <c r="B493" s="52">
        <f>面积表!E488</f>
        <v>50.33</v>
      </c>
      <c r="C493" s="21">
        <f t="shared" si="85"/>
        <v>1</v>
      </c>
      <c r="D493" s="2559" t="s">
        <v>4016</v>
      </c>
      <c r="E493" s="21">
        <f t="shared" si="86"/>
        <v>1</v>
      </c>
      <c r="F493" s="631" t="s">
        <v>3815</v>
      </c>
      <c r="G493" s="21">
        <f t="shared" si="87"/>
        <v>0.95</v>
      </c>
      <c r="H493" s="631">
        <v>3</v>
      </c>
      <c r="I493" s="21">
        <f t="shared" si="88"/>
        <v>1</v>
      </c>
      <c r="J493" s="631"/>
      <c r="K493" s="21">
        <f t="shared" si="89"/>
        <v>1</v>
      </c>
      <c r="L493" s="631"/>
      <c r="M493" s="21">
        <f t="shared" si="90"/>
        <v>1</v>
      </c>
      <c r="N493" s="631"/>
      <c r="O493" s="21">
        <f t="shared" si="91"/>
        <v>1</v>
      </c>
      <c r="P493" s="631" t="s">
        <v>3409</v>
      </c>
      <c r="Q493" s="21">
        <f t="shared" si="92"/>
        <v>1</v>
      </c>
      <c r="R493" s="21">
        <f t="shared" ca="1" si="93"/>
        <v>13443</v>
      </c>
      <c r="S493" s="307">
        <f t="shared" ca="1" si="84"/>
        <v>68</v>
      </c>
      <c r="T493" s="3190">
        <f>面积表!A488</f>
        <v>0</v>
      </c>
    </row>
    <row r="494" spans="1:20">
      <c r="A494" s="3169" t="str">
        <f>面积表!D489</f>
        <v>314</v>
      </c>
      <c r="B494" s="52">
        <f>面积表!E489</f>
        <v>50.33</v>
      </c>
      <c r="C494" s="21">
        <f t="shared" si="85"/>
        <v>1</v>
      </c>
      <c r="D494" s="2559" t="s">
        <v>4016</v>
      </c>
      <c r="E494" s="21">
        <f t="shared" si="86"/>
        <v>1</v>
      </c>
      <c r="F494" s="631" t="s">
        <v>3815</v>
      </c>
      <c r="G494" s="21">
        <f t="shared" si="87"/>
        <v>0.95</v>
      </c>
      <c r="H494" s="631">
        <v>3</v>
      </c>
      <c r="I494" s="21">
        <f t="shared" si="88"/>
        <v>1</v>
      </c>
      <c r="J494" s="631"/>
      <c r="K494" s="21">
        <f t="shared" si="89"/>
        <v>1</v>
      </c>
      <c r="L494" s="631"/>
      <c r="M494" s="21">
        <f t="shared" si="90"/>
        <v>1</v>
      </c>
      <c r="N494" s="631"/>
      <c r="O494" s="21">
        <f t="shared" si="91"/>
        <v>1</v>
      </c>
      <c r="P494" s="631" t="s">
        <v>3409</v>
      </c>
      <c r="Q494" s="21">
        <f t="shared" si="92"/>
        <v>1</v>
      </c>
      <c r="R494" s="21">
        <f t="shared" ca="1" si="93"/>
        <v>13443</v>
      </c>
      <c r="S494" s="307">
        <f t="shared" ca="1" si="84"/>
        <v>68</v>
      </c>
      <c r="T494" s="3190">
        <f>面积表!A489</f>
        <v>0</v>
      </c>
    </row>
    <row r="495" spans="1:20">
      <c r="A495" s="3169" t="str">
        <f>面积表!D490</f>
        <v>315</v>
      </c>
      <c r="B495" s="52">
        <f>面积表!E490</f>
        <v>50.33</v>
      </c>
      <c r="C495" s="21">
        <f t="shared" si="85"/>
        <v>1</v>
      </c>
      <c r="D495" s="2559" t="s">
        <v>4016</v>
      </c>
      <c r="E495" s="21">
        <f t="shared" si="86"/>
        <v>1</v>
      </c>
      <c r="F495" s="631" t="s">
        <v>3815</v>
      </c>
      <c r="G495" s="21">
        <f t="shared" si="87"/>
        <v>0.95</v>
      </c>
      <c r="H495" s="631">
        <v>3</v>
      </c>
      <c r="I495" s="21">
        <f t="shared" si="88"/>
        <v>1</v>
      </c>
      <c r="J495" s="631"/>
      <c r="K495" s="21">
        <f t="shared" si="89"/>
        <v>1</v>
      </c>
      <c r="L495" s="631"/>
      <c r="M495" s="21">
        <f t="shared" si="90"/>
        <v>1</v>
      </c>
      <c r="N495" s="631"/>
      <c r="O495" s="21">
        <f t="shared" si="91"/>
        <v>1</v>
      </c>
      <c r="P495" s="631" t="s">
        <v>3409</v>
      </c>
      <c r="Q495" s="21">
        <f t="shared" si="92"/>
        <v>1</v>
      </c>
      <c r="R495" s="21">
        <f t="shared" ca="1" si="93"/>
        <v>13443</v>
      </c>
      <c r="S495" s="307">
        <f t="shared" ca="1" si="84"/>
        <v>68</v>
      </c>
      <c r="T495" s="3190">
        <f>面积表!A490</f>
        <v>0</v>
      </c>
    </row>
    <row r="496" spans="1:20">
      <c r="A496" s="3169">
        <f>面积表!D491</f>
        <v>321</v>
      </c>
      <c r="B496" s="52">
        <f>面积表!E491</f>
        <v>48.33</v>
      </c>
      <c r="C496" s="21">
        <f t="shared" si="85"/>
        <v>1</v>
      </c>
      <c r="D496" s="2559" t="s">
        <v>4016</v>
      </c>
      <c r="E496" s="21">
        <f t="shared" si="86"/>
        <v>1</v>
      </c>
      <c r="F496" s="631" t="s">
        <v>3815</v>
      </c>
      <c r="G496" s="21">
        <f t="shared" si="87"/>
        <v>0.95</v>
      </c>
      <c r="H496" s="631">
        <v>3</v>
      </c>
      <c r="I496" s="21">
        <f t="shared" si="88"/>
        <v>1</v>
      </c>
      <c r="J496" s="631"/>
      <c r="K496" s="21">
        <f t="shared" si="89"/>
        <v>1</v>
      </c>
      <c r="L496" s="631"/>
      <c r="M496" s="21">
        <f t="shared" si="90"/>
        <v>1</v>
      </c>
      <c r="N496" s="631"/>
      <c r="O496" s="21">
        <f t="shared" si="91"/>
        <v>1</v>
      </c>
      <c r="P496" s="631" t="s">
        <v>3409</v>
      </c>
      <c r="Q496" s="21">
        <f t="shared" si="92"/>
        <v>1</v>
      </c>
      <c r="R496" s="21">
        <f t="shared" ca="1" si="93"/>
        <v>13443</v>
      </c>
      <c r="S496" s="307">
        <f t="shared" ca="1" si="84"/>
        <v>65</v>
      </c>
      <c r="T496" s="3190">
        <f>面积表!A491</f>
        <v>0</v>
      </c>
    </row>
    <row r="497" spans="1:20">
      <c r="A497" s="3169" t="str">
        <f>面积表!D492</f>
        <v>322</v>
      </c>
      <c r="B497" s="52">
        <f>面积表!E492</f>
        <v>49.3</v>
      </c>
      <c r="C497" s="21">
        <f t="shared" si="85"/>
        <v>1</v>
      </c>
      <c r="D497" s="2559" t="s">
        <v>4016</v>
      </c>
      <c r="E497" s="21">
        <f t="shared" si="86"/>
        <v>1</v>
      </c>
      <c r="F497" s="631" t="s">
        <v>3815</v>
      </c>
      <c r="G497" s="21">
        <f t="shared" si="87"/>
        <v>0.95</v>
      </c>
      <c r="H497" s="631">
        <v>3</v>
      </c>
      <c r="I497" s="21">
        <f t="shared" si="88"/>
        <v>1</v>
      </c>
      <c r="J497" s="631"/>
      <c r="K497" s="21">
        <f t="shared" si="89"/>
        <v>1</v>
      </c>
      <c r="L497" s="631"/>
      <c r="M497" s="21">
        <f t="shared" si="90"/>
        <v>1</v>
      </c>
      <c r="N497" s="631"/>
      <c r="O497" s="21">
        <f t="shared" si="91"/>
        <v>1</v>
      </c>
      <c r="P497" s="631" t="s">
        <v>3409</v>
      </c>
      <c r="Q497" s="21">
        <f t="shared" si="92"/>
        <v>1</v>
      </c>
      <c r="R497" s="21">
        <f t="shared" ca="1" si="93"/>
        <v>13443</v>
      </c>
      <c r="S497" s="307">
        <f t="shared" ca="1" si="84"/>
        <v>66</v>
      </c>
      <c r="T497" s="3190">
        <f>面积表!A492</f>
        <v>0</v>
      </c>
    </row>
    <row r="498" spans="1:20">
      <c r="A498" s="3169" t="str">
        <f>面积表!D493</f>
        <v>323</v>
      </c>
      <c r="B498" s="52">
        <f>面积表!E493</f>
        <v>49.59</v>
      </c>
      <c r="C498" s="21">
        <f t="shared" si="85"/>
        <v>1</v>
      </c>
      <c r="D498" s="2559" t="s">
        <v>4016</v>
      </c>
      <c r="E498" s="21">
        <f t="shared" si="86"/>
        <v>1</v>
      </c>
      <c r="F498" s="631" t="s">
        <v>3815</v>
      </c>
      <c r="G498" s="21">
        <f t="shared" si="87"/>
        <v>0.95</v>
      </c>
      <c r="H498" s="631">
        <v>3</v>
      </c>
      <c r="I498" s="21">
        <f t="shared" si="88"/>
        <v>1</v>
      </c>
      <c r="J498" s="631"/>
      <c r="K498" s="21">
        <f t="shared" si="89"/>
        <v>1</v>
      </c>
      <c r="L498" s="631"/>
      <c r="M498" s="21">
        <f t="shared" si="90"/>
        <v>1</v>
      </c>
      <c r="N498" s="631"/>
      <c r="O498" s="21">
        <f t="shared" si="91"/>
        <v>1</v>
      </c>
      <c r="P498" s="631" t="s">
        <v>3409</v>
      </c>
      <c r="Q498" s="21">
        <f t="shared" si="92"/>
        <v>1</v>
      </c>
      <c r="R498" s="21">
        <f t="shared" ca="1" si="93"/>
        <v>13443</v>
      </c>
      <c r="S498" s="307">
        <f t="shared" ref="S498:S524" ca="1" si="94">ROUND(R498*B498/10000,0)</f>
        <v>67</v>
      </c>
      <c r="T498" s="3190">
        <f>面积表!A493</f>
        <v>0</v>
      </c>
    </row>
    <row r="499" spans="1:20">
      <c r="A499" s="3169" t="str">
        <f>面积表!D494</f>
        <v>324</v>
      </c>
      <c r="B499" s="52">
        <f>面积表!E494</f>
        <v>49.28</v>
      </c>
      <c r="C499" s="21">
        <f t="shared" si="85"/>
        <v>1</v>
      </c>
      <c r="D499" s="2559" t="s">
        <v>4016</v>
      </c>
      <c r="E499" s="21">
        <f t="shared" si="86"/>
        <v>1</v>
      </c>
      <c r="F499" s="631" t="s">
        <v>3815</v>
      </c>
      <c r="G499" s="21">
        <f t="shared" si="87"/>
        <v>0.95</v>
      </c>
      <c r="H499" s="631">
        <v>3</v>
      </c>
      <c r="I499" s="21">
        <f t="shared" si="88"/>
        <v>1</v>
      </c>
      <c r="J499" s="631"/>
      <c r="K499" s="21">
        <f t="shared" si="89"/>
        <v>1</v>
      </c>
      <c r="L499" s="631"/>
      <c r="M499" s="21">
        <f t="shared" si="90"/>
        <v>1</v>
      </c>
      <c r="N499" s="631"/>
      <c r="O499" s="21">
        <f t="shared" si="91"/>
        <v>1</v>
      </c>
      <c r="P499" s="631" t="s">
        <v>3409</v>
      </c>
      <c r="Q499" s="21">
        <f t="shared" si="92"/>
        <v>1</v>
      </c>
      <c r="R499" s="21">
        <f t="shared" ca="1" si="93"/>
        <v>13443</v>
      </c>
      <c r="S499" s="307">
        <f t="shared" ca="1" si="94"/>
        <v>66</v>
      </c>
      <c r="T499" s="3190">
        <f>面积表!A494</f>
        <v>0</v>
      </c>
    </row>
    <row r="500" spans="1:20">
      <c r="A500" s="3169" t="str">
        <f>面积表!D495</f>
        <v>325</v>
      </c>
      <c r="B500" s="52">
        <f>面积表!E495</f>
        <v>48.41</v>
      </c>
      <c r="C500" s="21">
        <f t="shared" si="85"/>
        <v>1</v>
      </c>
      <c r="D500" s="2559" t="s">
        <v>4016</v>
      </c>
      <c r="E500" s="21">
        <f t="shared" si="86"/>
        <v>1</v>
      </c>
      <c r="F500" s="631" t="s">
        <v>3815</v>
      </c>
      <c r="G500" s="21">
        <f t="shared" si="87"/>
        <v>0.95</v>
      </c>
      <c r="H500" s="631">
        <v>3</v>
      </c>
      <c r="I500" s="21">
        <f t="shared" si="88"/>
        <v>1</v>
      </c>
      <c r="J500" s="631"/>
      <c r="K500" s="21">
        <f t="shared" si="89"/>
        <v>1</v>
      </c>
      <c r="L500" s="631"/>
      <c r="M500" s="21">
        <f t="shared" si="90"/>
        <v>1</v>
      </c>
      <c r="N500" s="631"/>
      <c r="O500" s="21">
        <f t="shared" si="91"/>
        <v>1</v>
      </c>
      <c r="P500" s="631" t="s">
        <v>3409</v>
      </c>
      <c r="Q500" s="21">
        <f t="shared" si="92"/>
        <v>1</v>
      </c>
      <c r="R500" s="21">
        <f t="shared" ca="1" si="93"/>
        <v>13443</v>
      </c>
      <c r="S500" s="307">
        <f t="shared" ca="1" si="94"/>
        <v>65</v>
      </c>
      <c r="T500" s="3190">
        <f>面积表!A495</f>
        <v>0</v>
      </c>
    </row>
    <row r="501" spans="1:20">
      <c r="A501" s="3169" t="str">
        <f>面积表!D496</f>
        <v>326</v>
      </c>
      <c r="B501" s="52">
        <f>面积表!E496</f>
        <v>47.44</v>
      </c>
      <c r="C501" s="21">
        <f t="shared" si="85"/>
        <v>1</v>
      </c>
      <c r="D501" s="2559" t="s">
        <v>4016</v>
      </c>
      <c r="E501" s="21">
        <f t="shared" si="86"/>
        <v>1</v>
      </c>
      <c r="F501" s="631" t="s">
        <v>3815</v>
      </c>
      <c r="G501" s="21">
        <f t="shared" si="87"/>
        <v>0.95</v>
      </c>
      <c r="H501" s="631">
        <v>3</v>
      </c>
      <c r="I501" s="21">
        <f t="shared" si="88"/>
        <v>1</v>
      </c>
      <c r="J501" s="631"/>
      <c r="K501" s="21">
        <f t="shared" si="89"/>
        <v>1</v>
      </c>
      <c r="L501" s="631"/>
      <c r="M501" s="21">
        <f t="shared" si="90"/>
        <v>1</v>
      </c>
      <c r="N501" s="631"/>
      <c r="O501" s="21">
        <f t="shared" si="91"/>
        <v>1</v>
      </c>
      <c r="P501" s="631" t="s">
        <v>3409</v>
      </c>
      <c r="Q501" s="21">
        <f t="shared" si="92"/>
        <v>1</v>
      </c>
      <c r="R501" s="21">
        <f t="shared" ca="1" si="93"/>
        <v>13443</v>
      </c>
      <c r="S501" s="307">
        <f t="shared" ca="1" si="94"/>
        <v>64</v>
      </c>
      <c r="T501" s="3190">
        <f>面积表!A496</f>
        <v>0</v>
      </c>
    </row>
    <row r="502" spans="1:20">
      <c r="A502" s="3169" t="str">
        <f>面积表!D497</f>
        <v>403</v>
      </c>
      <c r="B502" s="52">
        <f>面积表!E497</f>
        <v>50.33</v>
      </c>
      <c r="C502" s="21">
        <f t="shared" si="85"/>
        <v>1</v>
      </c>
      <c r="D502" s="2559" t="s">
        <v>4016</v>
      </c>
      <c r="E502" s="21">
        <f t="shared" si="86"/>
        <v>1</v>
      </c>
      <c r="F502" s="631" t="s">
        <v>3815</v>
      </c>
      <c r="G502" s="21">
        <f t="shared" si="87"/>
        <v>0.95</v>
      </c>
      <c r="H502" s="631">
        <v>3</v>
      </c>
      <c r="I502" s="21">
        <f t="shared" si="88"/>
        <v>1</v>
      </c>
      <c r="J502" s="631"/>
      <c r="K502" s="21">
        <f t="shared" si="89"/>
        <v>1</v>
      </c>
      <c r="L502" s="631"/>
      <c r="M502" s="21">
        <f t="shared" si="90"/>
        <v>1</v>
      </c>
      <c r="N502" s="631"/>
      <c r="O502" s="21">
        <f t="shared" si="91"/>
        <v>1</v>
      </c>
      <c r="P502" s="631" t="s">
        <v>3409</v>
      </c>
      <c r="Q502" s="21">
        <f t="shared" si="92"/>
        <v>1</v>
      </c>
      <c r="R502" s="21">
        <f t="shared" ca="1" si="93"/>
        <v>13443</v>
      </c>
      <c r="S502" s="307">
        <f t="shared" ca="1" si="94"/>
        <v>68</v>
      </c>
      <c r="T502" s="3190">
        <f>面积表!A497</f>
        <v>0</v>
      </c>
    </row>
    <row r="503" spans="1:20">
      <c r="A503" s="3169" t="str">
        <f>面积表!D498</f>
        <v>404</v>
      </c>
      <c r="B503" s="52">
        <f>面积表!E498</f>
        <v>50.33</v>
      </c>
      <c r="C503" s="21">
        <f t="shared" si="85"/>
        <v>1</v>
      </c>
      <c r="D503" s="2559" t="s">
        <v>4016</v>
      </c>
      <c r="E503" s="21">
        <f t="shared" si="86"/>
        <v>1</v>
      </c>
      <c r="F503" s="631" t="s">
        <v>3815</v>
      </c>
      <c r="G503" s="21">
        <f t="shared" si="87"/>
        <v>0.95</v>
      </c>
      <c r="H503" s="631">
        <v>3</v>
      </c>
      <c r="I503" s="21">
        <f t="shared" si="88"/>
        <v>1</v>
      </c>
      <c r="J503" s="631"/>
      <c r="K503" s="21">
        <f t="shared" si="89"/>
        <v>1</v>
      </c>
      <c r="L503" s="631"/>
      <c r="M503" s="21">
        <f t="shared" si="90"/>
        <v>1</v>
      </c>
      <c r="N503" s="631"/>
      <c r="O503" s="21">
        <f t="shared" si="91"/>
        <v>1</v>
      </c>
      <c r="P503" s="631" t="s">
        <v>3409</v>
      </c>
      <c r="Q503" s="21">
        <f t="shared" si="92"/>
        <v>1</v>
      </c>
      <c r="R503" s="21">
        <f t="shared" ca="1" si="93"/>
        <v>13443</v>
      </c>
      <c r="S503" s="307">
        <f t="shared" ca="1" si="94"/>
        <v>68</v>
      </c>
      <c r="T503" s="3190">
        <f>面积表!A498</f>
        <v>0</v>
      </c>
    </row>
    <row r="504" spans="1:20">
      <c r="A504" s="3169" t="str">
        <f>面积表!D499</f>
        <v>407</v>
      </c>
      <c r="B504" s="52">
        <f>面积表!E499</f>
        <v>50.33</v>
      </c>
      <c r="C504" s="21">
        <f t="shared" si="85"/>
        <v>1</v>
      </c>
      <c r="D504" s="2559" t="s">
        <v>4016</v>
      </c>
      <c r="E504" s="21">
        <f t="shared" si="86"/>
        <v>1</v>
      </c>
      <c r="F504" s="631" t="s">
        <v>3815</v>
      </c>
      <c r="G504" s="21">
        <f t="shared" si="87"/>
        <v>0.95</v>
      </c>
      <c r="H504" s="631">
        <v>3</v>
      </c>
      <c r="I504" s="21">
        <f t="shared" si="88"/>
        <v>1</v>
      </c>
      <c r="J504" s="631"/>
      <c r="K504" s="21">
        <f t="shared" si="89"/>
        <v>1</v>
      </c>
      <c r="L504" s="631"/>
      <c r="M504" s="21">
        <f t="shared" si="90"/>
        <v>1</v>
      </c>
      <c r="N504" s="631"/>
      <c r="O504" s="21">
        <f t="shared" si="91"/>
        <v>1</v>
      </c>
      <c r="P504" s="631" t="s">
        <v>3409</v>
      </c>
      <c r="Q504" s="21">
        <f t="shared" si="92"/>
        <v>1</v>
      </c>
      <c r="R504" s="21">
        <f t="shared" ca="1" si="93"/>
        <v>13443</v>
      </c>
      <c r="S504" s="307">
        <f t="shared" ca="1" si="94"/>
        <v>68</v>
      </c>
      <c r="T504" s="3190">
        <f>面积表!A499</f>
        <v>0</v>
      </c>
    </row>
    <row r="505" spans="1:20">
      <c r="A505" s="3169" t="str">
        <f>面积表!D500</f>
        <v>408</v>
      </c>
      <c r="B505" s="52">
        <f>面积表!E500</f>
        <v>50.33</v>
      </c>
      <c r="C505" s="21">
        <f t="shared" si="85"/>
        <v>1</v>
      </c>
      <c r="D505" s="2559" t="s">
        <v>4016</v>
      </c>
      <c r="E505" s="21">
        <f t="shared" si="86"/>
        <v>1</v>
      </c>
      <c r="F505" s="631" t="s">
        <v>3815</v>
      </c>
      <c r="G505" s="21">
        <f t="shared" si="87"/>
        <v>0.95</v>
      </c>
      <c r="H505" s="631">
        <v>3</v>
      </c>
      <c r="I505" s="21">
        <f t="shared" si="88"/>
        <v>1</v>
      </c>
      <c r="J505" s="631"/>
      <c r="K505" s="21">
        <f t="shared" si="89"/>
        <v>1</v>
      </c>
      <c r="L505" s="631"/>
      <c r="M505" s="21">
        <f t="shared" si="90"/>
        <v>1</v>
      </c>
      <c r="N505" s="631"/>
      <c r="O505" s="21">
        <f t="shared" si="91"/>
        <v>1</v>
      </c>
      <c r="P505" s="631" t="s">
        <v>3409</v>
      </c>
      <c r="Q505" s="21">
        <f t="shared" si="92"/>
        <v>1</v>
      </c>
      <c r="R505" s="21">
        <f t="shared" ca="1" si="93"/>
        <v>13443</v>
      </c>
      <c r="S505" s="307">
        <f t="shared" ca="1" si="94"/>
        <v>68</v>
      </c>
      <c r="T505" s="3190">
        <f>面积表!A500</f>
        <v>0</v>
      </c>
    </row>
    <row r="506" spans="1:20">
      <c r="A506" s="3169" t="str">
        <f>面积表!D501</f>
        <v>409</v>
      </c>
      <c r="B506" s="52">
        <f>面积表!E501</f>
        <v>50.33</v>
      </c>
      <c r="C506" s="21">
        <f t="shared" si="85"/>
        <v>1</v>
      </c>
      <c r="D506" s="2559" t="s">
        <v>4016</v>
      </c>
      <c r="E506" s="21">
        <f t="shared" si="86"/>
        <v>1</v>
      </c>
      <c r="F506" s="631" t="s">
        <v>3815</v>
      </c>
      <c r="G506" s="21">
        <f t="shared" si="87"/>
        <v>0.95</v>
      </c>
      <c r="H506" s="631">
        <v>3</v>
      </c>
      <c r="I506" s="21">
        <f t="shared" si="88"/>
        <v>1</v>
      </c>
      <c r="J506" s="631"/>
      <c r="K506" s="21">
        <f t="shared" si="89"/>
        <v>1</v>
      </c>
      <c r="L506" s="631"/>
      <c r="M506" s="21">
        <f t="shared" si="90"/>
        <v>1</v>
      </c>
      <c r="N506" s="631"/>
      <c r="O506" s="21">
        <f t="shared" si="91"/>
        <v>1</v>
      </c>
      <c r="P506" s="631" t="s">
        <v>3409</v>
      </c>
      <c r="Q506" s="21">
        <f t="shared" si="92"/>
        <v>1</v>
      </c>
      <c r="R506" s="21">
        <f t="shared" ca="1" si="93"/>
        <v>13443</v>
      </c>
      <c r="S506" s="307">
        <f t="shared" ca="1" si="94"/>
        <v>68</v>
      </c>
      <c r="T506" s="3190">
        <f>面积表!A501</f>
        <v>0</v>
      </c>
    </row>
    <row r="507" spans="1:20">
      <c r="A507" s="3169" t="str">
        <f>面积表!D502</f>
        <v>410</v>
      </c>
      <c r="B507" s="52">
        <f>面积表!E502</f>
        <v>50.33</v>
      </c>
      <c r="C507" s="21">
        <f t="shared" si="85"/>
        <v>1</v>
      </c>
      <c r="D507" s="2559" t="s">
        <v>4016</v>
      </c>
      <c r="E507" s="21">
        <f t="shared" si="86"/>
        <v>1</v>
      </c>
      <c r="F507" s="631" t="s">
        <v>3815</v>
      </c>
      <c r="G507" s="21">
        <f t="shared" si="87"/>
        <v>0.95</v>
      </c>
      <c r="H507" s="631">
        <v>3</v>
      </c>
      <c r="I507" s="21">
        <f t="shared" si="88"/>
        <v>1</v>
      </c>
      <c r="J507" s="631"/>
      <c r="K507" s="21">
        <f t="shared" si="89"/>
        <v>1</v>
      </c>
      <c r="L507" s="631"/>
      <c r="M507" s="21">
        <f t="shared" si="90"/>
        <v>1</v>
      </c>
      <c r="N507" s="631"/>
      <c r="O507" s="21">
        <f t="shared" si="91"/>
        <v>1</v>
      </c>
      <c r="P507" s="631" t="s">
        <v>3409</v>
      </c>
      <c r="Q507" s="21">
        <f t="shared" si="92"/>
        <v>1</v>
      </c>
      <c r="R507" s="21">
        <f t="shared" ca="1" si="93"/>
        <v>13443</v>
      </c>
      <c r="S507" s="307">
        <f t="shared" ca="1" si="94"/>
        <v>68</v>
      </c>
      <c r="T507" s="3190">
        <f>面积表!A502</f>
        <v>0</v>
      </c>
    </row>
    <row r="508" spans="1:20">
      <c r="A508" s="3169" t="str">
        <f>面积表!D503</f>
        <v>411</v>
      </c>
      <c r="B508" s="52">
        <f>面积表!E503</f>
        <v>50.33</v>
      </c>
      <c r="C508" s="21">
        <f t="shared" si="85"/>
        <v>1</v>
      </c>
      <c r="D508" s="2559" t="s">
        <v>4016</v>
      </c>
      <c r="E508" s="21">
        <f t="shared" si="86"/>
        <v>1</v>
      </c>
      <c r="F508" s="631" t="s">
        <v>3815</v>
      </c>
      <c r="G508" s="21">
        <f t="shared" si="87"/>
        <v>0.95</v>
      </c>
      <c r="H508" s="631">
        <v>3</v>
      </c>
      <c r="I508" s="21">
        <f t="shared" si="88"/>
        <v>1</v>
      </c>
      <c r="J508" s="631"/>
      <c r="K508" s="21">
        <f t="shared" si="89"/>
        <v>1</v>
      </c>
      <c r="L508" s="631"/>
      <c r="M508" s="21">
        <f t="shared" si="90"/>
        <v>1</v>
      </c>
      <c r="N508" s="631"/>
      <c r="O508" s="21">
        <f t="shared" si="91"/>
        <v>1</v>
      </c>
      <c r="P508" s="631" t="s">
        <v>3409</v>
      </c>
      <c r="Q508" s="21">
        <f t="shared" si="92"/>
        <v>1</v>
      </c>
      <c r="R508" s="21">
        <f t="shared" ca="1" si="93"/>
        <v>13443</v>
      </c>
      <c r="S508" s="307">
        <f t="shared" ca="1" si="94"/>
        <v>68</v>
      </c>
      <c r="T508" s="3190">
        <f>面积表!A503</f>
        <v>0</v>
      </c>
    </row>
    <row r="509" spans="1:20">
      <c r="A509" s="3169" t="str">
        <f>面积表!D504</f>
        <v>412</v>
      </c>
      <c r="B509" s="52">
        <f>面积表!E504</f>
        <v>50.33</v>
      </c>
      <c r="C509" s="21">
        <f t="shared" si="85"/>
        <v>1</v>
      </c>
      <c r="D509" s="2559" t="s">
        <v>4016</v>
      </c>
      <c r="E509" s="21">
        <f t="shared" si="86"/>
        <v>1</v>
      </c>
      <c r="F509" s="631" t="s">
        <v>3815</v>
      </c>
      <c r="G509" s="21">
        <f t="shared" si="87"/>
        <v>0.95</v>
      </c>
      <c r="H509" s="631">
        <v>3</v>
      </c>
      <c r="I509" s="21">
        <f t="shared" si="88"/>
        <v>1</v>
      </c>
      <c r="J509" s="631"/>
      <c r="K509" s="21">
        <f t="shared" si="89"/>
        <v>1</v>
      </c>
      <c r="L509" s="631"/>
      <c r="M509" s="21">
        <f t="shared" si="90"/>
        <v>1</v>
      </c>
      <c r="N509" s="631"/>
      <c r="O509" s="21">
        <f t="shared" si="91"/>
        <v>1</v>
      </c>
      <c r="P509" s="631" t="s">
        <v>3409</v>
      </c>
      <c r="Q509" s="21">
        <f t="shared" si="92"/>
        <v>1</v>
      </c>
      <c r="R509" s="21">
        <f t="shared" ca="1" si="93"/>
        <v>13443</v>
      </c>
      <c r="S509" s="307">
        <f t="shared" ca="1" si="94"/>
        <v>68</v>
      </c>
      <c r="T509" s="3190">
        <f>面积表!A504</f>
        <v>0</v>
      </c>
    </row>
    <row r="510" spans="1:20">
      <c r="A510" s="3169" t="str">
        <f>面积表!D505</f>
        <v>413</v>
      </c>
      <c r="B510" s="52">
        <f>面积表!E505</f>
        <v>50.33</v>
      </c>
      <c r="C510" s="21">
        <f t="shared" si="85"/>
        <v>1</v>
      </c>
      <c r="D510" s="2559" t="s">
        <v>4016</v>
      </c>
      <c r="E510" s="21">
        <f t="shared" si="86"/>
        <v>1</v>
      </c>
      <c r="F510" s="631" t="s">
        <v>3815</v>
      </c>
      <c r="G510" s="21">
        <f t="shared" si="87"/>
        <v>0.95</v>
      </c>
      <c r="H510" s="631">
        <v>3</v>
      </c>
      <c r="I510" s="21">
        <f t="shared" si="88"/>
        <v>1</v>
      </c>
      <c r="J510" s="631"/>
      <c r="K510" s="21">
        <f t="shared" si="89"/>
        <v>1</v>
      </c>
      <c r="L510" s="631"/>
      <c r="M510" s="21">
        <f t="shared" si="90"/>
        <v>1</v>
      </c>
      <c r="N510" s="631"/>
      <c r="O510" s="21">
        <f t="shared" si="91"/>
        <v>1</v>
      </c>
      <c r="P510" s="631" t="s">
        <v>3409</v>
      </c>
      <c r="Q510" s="21">
        <f t="shared" si="92"/>
        <v>1</v>
      </c>
      <c r="R510" s="21">
        <f t="shared" ca="1" si="93"/>
        <v>13443</v>
      </c>
      <c r="S510" s="307">
        <f t="shared" ca="1" si="94"/>
        <v>68</v>
      </c>
      <c r="T510" s="3190">
        <f>面积表!A505</f>
        <v>0</v>
      </c>
    </row>
    <row r="511" spans="1:20">
      <c r="A511" s="3169" t="str">
        <f>面积表!D506</f>
        <v>414</v>
      </c>
      <c r="B511" s="52">
        <f>面积表!E506</f>
        <v>50.33</v>
      </c>
      <c r="C511" s="21">
        <f t="shared" si="85"/>
        <v>1</v>
      </c>
      <c r="D511" s="2559" t="s">
        <v>4016</v>
      </c>
      <c r="E511" s="21">
        <f t="shared" si="86"/>
        <v>1</v>
      </c>
      <c r="F511" s="631" t="s">
        <v>3815</v>
      </c>
      <c r="G511" s="21">
        <f t="shared" si="87"/>
        <v>0.95</v>
      </c>
      <c r="H511" s="631">
        <v>3</v>
      </c>
      <c r="I511" s="21">
        <f t="shared" si="88"/>
        <v>1</v>
      </c>
      <c r="J511" s="631"/>
      <c r="K511" s="21">
        <f t="shared" si="89"/>
        <v>1</v>
      </c>
      <c r="L511" s="631"/>
      <c r="M511" s="21">
        <f t="shared" si="90"/>
        <v>1</v>
      </c>
      <c r="N511" s="631"/>
      <c r="O511" s="21">
        <f t="shared" si="91"/>
        <v>1</v>
      </c>
      <c r="P511" s="631" t="s">
        <v>3409</v>
      </c>
      <c r="Q511" s="21">
        <f t="shared" si="92"/>
        <v>1</v>
      </c>
      <c r="R511" s="21">
        <f t="shared" ca="1" si="93"/>
        <v>13443</v>
      </c>
      <c r="S511" s="307">
        <f t="shared" ca="1" si="94"/>
        <v>68</v>
      </c>
      <c r="T511" s="3190">
        <f>面积表!A506</f>
        <v>0</v>
      </c>
    </row>
    <row r="512" spans="1:20">
      <c r="A512" s="3169" t="str">
        <f>面积表!D507</f>
        <v>422</v>
      </c>
      <c r="B512" s="52">
        <f>面积表!E507</f>
        <v>49.3</v>
      </c>
      <c r="C512" s="21">
        <f t="shared" si="85"/>
        <v>1</v>
      </c>
      <c r="D512" s="2559" t="s">
        <v>4016</v>
      </c>
      <c r="E512" s="21">
        <f t="shared" si="86"/>
        <v>1</v>
      </c>
      <c r="F512" s="631" t="s">
        <v>3815</v>
      </c>
      <c r="G512" s="21">
        <f t="shared" si="87"/>
        <v>0.95</v>
      </c>
      <c r="H512" s="631">
        <v>3</v>
      </c>
      <c r="I512" s="21">
        <f t="shared" si="88"/>
        <v>1</v>
      </c>
      <c r="J512" s="631"/>
      <c r="K512" s="21">
        <f t="shared" si="89"/>
        <v>1</v>
      </c>
      <c r="L512" s="631"/>
      <c r="M512" s="21">
        <f t="shared" si="90"/>
        <v>1</v>
      </c>
      <c r="N512" s="631"/>
      <c r="O512" s="21">
        <f t="shared" si="91"/>
        <v>1</v>
      </c>
      <c r="P512" s="631" t="s">
        <v>3409</v>
      </c>
      <c r="Q512" s="21">
        <f t="shared" si="92"/>
        <v>1</v>
      </c>
      <c r="R512" s="21">
        <f t="shared" ca="1" si="93"/>
        <v>13443</v>
      </c>
      <c r="S512" s="307">
        <f t="shared" ca="1" si="94"/>
        <v>66</v>
      </c>
      <c r="T512" s="3190">
        <f>面积表!A507</f>
        <v>0</v>
      </c>
    </row>
    <row r="513" spans="1:20">
      <c r="A513" s="3169" t="str">
        <f>面积表!D508</f>
        <v>423</v>
      </c>
      <c r="B513" s="52">
        <f>面积表!E508</f>
        <v>49.59</v>
      </c>
      <c r="C513" s="21">
        <f t="shared" si="85"/>
        <v>1</v>
      </c>
      <c r="D513" s="2559" t="s">
        <v>4016</v>
      </c>
      <c r="E513" s="21">
        <f t="shared" si="86"/>
        <v>1</v>
      </c>
      <c r="F513" s="631" t="s">
        <v>3815</v>
      </c>
      <c r="G513" s="21">
        <f t="shared" si="87"/>
        <v>0.95</v>
      </c>
      <c r="H513" s="631">
        <v>3</v>
      </c>
      <c r="I513" s="21">
        <f t="shared" si="88"/>
        <v>1</v>
      </c>
      <c r="J513" s="631"/>
      <c r="K513" s="21">
        <f t="shared" si="89"/>
        <v>1</v>
      </c>
      <c r="L513" s="631"/>
      <c r="M513" s="21">
        <f t="shared" si="90"/>
        <v>1</v>
      </c>
      <c r="N513" s="631"/>
      <c r="O513" s="21">
        <f t="shared" si="91"/>
        <v>1</v>
      </c>
      <c r="P513" s="631" t="s">
        <v>3409</v>
      </c>
      <c r="Q513" s="21">
        <f t="shared" si="92"/>
        <v>1</v>
      </c>
      <c r="R513" s="21">
        <f t="shared" ca="1" si="93"/>
        <v>13443</v>
      </c>
      <c r="S513" s="307">
        <f t="shared" ca="1" si="94"/>
        <v>67</v>
      </c>
      <c r="T513" s="3190">
        <f>面积表!A508</f>
        <v>0</v>
      </c>
    </row>
    <row r="514" spans="1:20">
      <c r="A514" s="3169" t="str">
        <f>面积表!D509</f>
        <v>424</v>
      </c>
      <c r="B514" s="52">
        <f>面积表!E509</f>
        <v>49.28</v>
      </c>
      <c r="C514" s="21">
        <f t="shared" si="85"/>
        <v>1</v>
      </c>
      <c r="D514" s="2559" t="s">
        <v>4016</v>
      </c>
      <c r="E514" s="21">
        <f t="shared" si="86"/>
        <v>1</v>
      </c>
      <c r="F514" s="631" t="s">
        <v>3815</v>
      </c>
      <c r="G514" s="21">
        <f t="shared" si="87"/>
        <v>0.95</v>
      </c>
      <c r="H514" s="631">
        <v>3</v>
      </c>
      <c r="I514" s="21">
        <f t="shared" si="88"/>
        <v>1</v>
      </c>
      <c r="J514" s="631"/>
      <c r="K514" s="21">
        <f t="shared" si="89"/>
        <v>1</v>
      </c>
      <c r="L514" s="631"/>
      <c r="M514" s="21">
        <f t="shared" si="90"/>
        <v>1</v>
      </c>
      <c r="N514" s="631"/>
      <c r="O514" s="21">
        <f t="shared" si="91"/>
        <v>1</v>
      </c>
      <c r="P514" s="631" t="s">
        <v>3409</v>
      </c>
      <c r="Q514" s="21">
        <f t="shared" si="92"/>
        <v>1</v>
      </c>
      <c r="R514" s="21">
        <f t="shared" ca="1" si="93"/>
        <v>13443</v>
      </c>
      <c r="S514" s="307">
        <f t="shared" ca="1" si="94"/>
        <v>66</v>
      </c>
      <c r="T514" s="3190">
        <f>面积表!A509</f>
        <v>0</v>
      </c>
    </row>
    <row r="515" spans="1:20">
      <c r="A515" s="3169" t="str">
        <f>面积表!D510</f>
        <v>425</v>
      </c>
      <c r="B515" s="52">
        <f>面积表!E510</f>
        <v>48.41</v>
      </c>
      <c r="C515" s="21">
        <f t="shared" si="85"/>
        <v>1</v>
      </c>
      <c r="D515" s="2559" t="s">
        <v>4016</v>
      </c>
      <c r="E515" s="21">
        <f t="shared" si="86"/>
        <v>1</v>
      </c>
      <c r="F515" s="631" t="s">
        <v>3815</v>
      </c>
      <c r="G515" s="21">
        <f t="shared" si="87"/>
        <v>0.95</v>
      </c>
      <c r="H515" s="631">
        <v>3</v>
      </c>
      <c r="I515" s="21">
        <f t="shared" si="88"/>
        <v>1</v>
      </c>
      <c r="J515" s="631"/>
      <c r="K515" s="21">
        <f t="shared" si="89"/>
        <v>1</v>
      </c>
      <c r="L515" s="631"/>
      <c r="M515" s="21">
        <f t="shared" si="90"/>
        <v>1</v>
      </c>
      <c r="N515" s="631"/>
      <c r="O515" s="21">
        <f t="shared" si="91"/>
        <v>1</v>
      </c>
      <c r="P515" s="631" t="s">
        <v>3409</v>
      </c>
      <c r="Q515" s="21">
        <f t="shared" si="92"/>
        <v>1</v>
      </c>
      <c r="R515" s="21">
        <f t="shared" ca="1" si="93"/>
        <v>13443</v>
      </c>
      <c r="S515" s="307">
        <f t="shared" ca="1" si="94"/>
        <v>65</v>
      </c>
      <c r="T515" s="3190">
        <f>面积表!A510</f>
        <v>0</v>
      </c>
    </row>
    <row r="516" spans="1:20">
      <c r="A516" s="3169" t="str">
        <f>面积表!D511</f>
        <v>426</v>
      </c>
      <c r="B516" s="52">
        <f>面积表!E511</f>
        <v>47.44</v>
      </c>
      <c r="C516" s="21">
        <f t="shared" si="85"/>
        <v>1</v>
      </c>
      <c r="D516" s="2559" t="s">
        <v>4016</v>
      </c>
      <c r="E516" s="21">
        <f t="shared" si="86"/>
        <v>1</v>
      </c>
      <c r="F516" s="631" t="s">
        <v>3815</v>
      </c>
      <c r="G516" s="21">
        <f t="shared" si="87"/>
        <v>0.95</v>
      </c>
      <c r="H516" s="631">
        <v>3</v>
      </c>
      <c r="I516" s="21">
        <f t="shared" si="88"/>
        <v>1</v>
      </c>
      <c r="J516" s="631"/>
      <c r="K516" s="21">
        <f t="shared" si="89"/>
        <v>1</v>
      </c>
      <c r="L516" s="631"/>
      <c r="M516" s="21">
        <f t="shared" si="90"/>
        <v>1</v>
      </c>
      <c r="N516" s="631"/>
      <c r="O516" s="21">
        <f t="shared" si="91"/>
        <v>1</v>
      </c>
      <c r="P516" s="631" t="s">
        <v>3409</v>
      </c>
      <c r="Q516" s="21">
        <f t="shared" si="92"/>
        <v>1</v>
      </c>
      <c r="R516" s="21">
        <f t="shared" ca="1" si="93"/>
        <v>13443</v>
      </c>
      <c r="S516" s="307">
        <f t="shared" ca="1" si="94"/>
        <v>64</v>
      </c>
      <c r="T516" s="3190">
        <f>面积表!A511</f>
        <v>0</v>
      </c>
    </row>
    <row r="517" spans="1:20">
      <c r="A517" s="3169" t="str">
        <f>面积表!D512</f>
        <v>501</v>
      </c>
      <c r="B517" s="52">
        <f>面积表!E512</f>
        <v>52.2</v>
      </c>
      <c r="C517" s="21">
        <f t="shared" si="85"/>
        <v>1</v>
      </c>
      <c r="D517" s="2559" t="s">
        <v>4016</v>
      </c>
      <c r="E517" s="21">
        <f t="shared" si="86"/>
        <v>1</v>
      </c>
      <c r="F517" s="631" t="s">
        <v>3815</v>
      </c>
      <c r="G517" s="21">
        <f t="shared" si="87"/>
        <v>0.95</v>
      </c>
      <c r="H517" s="631">
        <v>3</v>
      </c>
      <c r="I517" s="21">
        <f t="shared" si="88"/>
        <v>1</v>
      </c>
      <c r="J517" s="631"/>
      <c r="K517" s="21">
        <f t="shared" si="89"/>
        <v>1</v>
      </c>
      <c r="L517" s="631"/>
      <c r="M517" s="21">
        <f t="shared" si="90"/>
        <v>1</v>
      </c>
      <c r="N517" s="631"/>
      <c r="O517" s="21">
        <f t="shared" si="91"/>
        <v>1</v>
      </c>
      <c r="P517" s="631" t="s">
        <v>3409</v>
      </c>
      <c r="Q517" s="21">
        <f t="shared" si="92"/>
        <v>1</v>
      </c>
      <c r="R517" s="21">
        <f t="shared" ca="1" si="93"/>
        <v>13443</v>
      </c>
      <c r="S517" s="307">
        <f t="shared" ca="1" si="94"/>
        <v>70</v>
      </c>
      <c r="T517" s="3190">
        <f>面积表!A512</f>
        <v>0</v>
      </c>
    </row>
    <row r="518" spans="1:20">
      <c r="A518" s="3169" t="str">
        <f>面积表!D513</f>
        <v>502</v>
      </c>
      <c r="B518" s="52">
        <f>面积表!E513</f>
        <v>50.33</v>
      </c>
      <c r="C518" s="21">
        <f t="shared" si="85"/>
        <v>1</v>
      </c>
      <c r="D518" s="2559" t="s">
        <v>4016</v>
      </c>
      <c r="E518" s="21">
        <f t="shared" si="86"/>
        <v>1</v>
      </c>
      <c r="F518" s="631" t="s">
        <v>3815</v>
      </c>
      <c r="G518" s="21">
        <f t="shared" si="87"/>
        <v>0.95</v>
      </c>
      <c r="H518" s="631">
        <v>3</v>
      </c>
      <c r="I518" s="21">
        <f t="shared" si="88"/>
        <v>1</v>
      </c>
      <c r="J518" s="631"/>
      <c r="K518" s="21">
        <f t="shared" si="89"/>
        <v>1</v>
      </c>
      <c r="L518" s="631"/>
      <c r="M518" s="21">
        <f t="shared" si="90"/>
        <v>1</v>
      </c>
      <c r="N518" s="631"/>
      <c r="O518" s="21">
        <f t="shared" si="91"/>
        <v>1</v>
      </c>
      <c r="P518" s="631" t="s">
        <v>3409</v>
      </c>
      <c r="Q518" s="21">
        <f t="shared" si="92"/>
        <v>1</v>
      </c>
      <c r="R518" s="21">
        <f t="shared" ca="1" si="93"/>
        <v>13443</v>
      </c>
      <c r="S518" s="307">
        <f t="shared" ca="1" si="94"/>
        <v>68</v>
      </c>
      <c r="T518" s="3190">
        <f>面积表!A513</f>
        <v>0</v>
      </c>
    </row>
    <row r="519" spans="1:20">
      <c r="A519" s="3169" t="str">
        <f>面积表!D514</f>
        <v>503</v>
      </c>
      <c r="B519" s="52">
        <f>面积表!E514</f>
        <v>50.33</v>
      </c>
      <c r="C519" s="21">
        <f t="shared" si="85"/>
        <v>1</v>
      </c>
      <c r="D519" s="2559" t="s">
        <v>4016</v>
      </c>
      <c r="E519" s="21">
        <f t="shared" si="86"/>
        <v>1</v>
      </c>
      <c r="F519" s="631" t="s">
        <v>3815</v>
      </c>
      <c r="G519" s="21">
        <f t="shared" si="87"/>
        <v>0.95</v>
      </c>
      <c r="H519" s="631">
        <v>3</v>
      </c>
      <c r="I519" s="21">
        <f t="shared" si="88"/>
        <v>1</v>
      </c>
      <c r="J519" s="631"/>
      <c r="K519" s="21">
        <f t="shared" si="89"/>
        <v>1</v>
      </c>
      <c r="L519" s="631"/>
      <c r="M519" s="21">
        <f t="shared" si="90"/>
        <v>1</v>
      </c>
      <c r="N519" s="631"/>
      <c r="O519" s="21">
        <f t="shared" si="91"/>
        <v>1</v>
      </c>
      <c r="P519" s="631" t="s">
        <v>3409</v>
      </c>
      <c r="Q519" s="21">
        <f t="shared" si="92"/>
        <v>1</v>
      </c>
      <c r="R519" s="21">
        <f t="shared" ca="1" si="93"/>
        <v>13443</v>
      </c>
      <c r="S519" s="307">
        <f t="shared" ca="1" si="94"/>
        <v>68</v>
      </c>
      <c r="T519" s="3190">
        <f>面积表!A514</f>
        <v>0</v>
      </c>
    </row>
    <row r="520" spans="1:20">
      <c r="A520" s="3169" t="str">
        <f>面积表!D515</f>
        <v>504</v>
      </c>
      <c r="B520" s="52">
        <f>面积表!E515</f>
        <v>50.33</v>
      </c>
      <c r="C520" s="21">
        <f t="shared" si="85"/>
        <v>1</v>
      </c>
      <c r="D520" s="2559" t="s">
        <v>4016</v>
      </c>
      <c r="E520" s="21">
        <f t="shared" si="86"/>
        <v>1</v>
      </c>
      <c r="F520" s="631" t="s">
        <v>3815</v>
      </c>
      <c r="G520" s="21">
        <f t="shared" si="87"/>
        <v>0.95</v>
      </c>
      <c r="H520" s="631">
        <v>3</v>
      </c>
      <c r="I520" s="21">
        <f t="shared" si="88"/>
        <v>1</v>
      </c>
      <c r="J520" s="631"/>
      <c r="K520" s="21">
        <f t="shared" si="89"/>
        <v>1</v>
      </c>
      <c r="L520" s="631"/>
      <c r="M520" s="21">
        <f t="shared" si="90"/>
        <v>1</v>
      </c>
      <c r="N520" s="631"/>
      <c r="O520" s="21">
        <f t="shared" si="91"/>
        <v>1</v>
      </c>
      <c r="P520" s="631" t="s">
        <v>3409</v>
      </c>
      <c r="Q520" s="21">
        <f t="shared" si="92"/>
        <v>1</v>
      </c>
      <c r="R520" s="21">
        <f t="shared" ca="1" si="93"/>
        <v>13443</v>
      </c>
      <c r="S520" s="307">
        <f t="shared" ca="1" si="94"/>
        <v>68</v>
      </c>
      <c r="T520" s="3190">
        <f>面积表!A515</f>
        <v>0</v>
      </c>
    </row>
    <row r="521" spans="1:20">
      <c r="A521" s="3169" t="str">
        <f>面积表!D516</f>
        <v>505</v>
      </c>
      <c r="B521" s="52">
        <f>面积表!E516</f>
        <v>50.33</v>
      </c>
      <c r="C521" s="21">
        <f t="shared" si="85"/>
        <v>1</v>
      </c>
      <c r="D521" s="2559" t="s">
        <v>4016</v>
      </c>
      <c r="E521" s="21">
        <f t="shared" si="86"/>
        <v>1</v>
      </c>
      <c r="F521" s="631" t="s">
        <v>3815</v>
      </c>
      <c r="G521" s="21">
        <f t="shared" si="87"/>
        <v>0.95</v>
      </c>
      <c r="H521" s="631">
        <v>3</v>
      </c>
      <c r="I521" s="21">
        <f t="shared" si="88"/>
        <v>1</v>
      </c>
      <c r="J521" s="631"/>
      <c r="K521" s="21">
        <f t="shared" si="89"/>
        <v>1</v>
      </c>
      <c r="L521" s="631"/>
      <c r="M521" s="21">
        <f t="shared" si="90"/>
        <v>1</v>
      </c>
      <c r="N521" s="631"/>
      <c r="O521" s="21">
        <f t="shared" si="91"/>
        <v>1</v>
      </c>
      <c r="P521" s="631" t="s">
        <v>3409</v>
      </c>
      <c r="Q521" s="21">
        <f t="shared" si="92"/>
        <v>1</v>
      </c>
      <c r="R521" s="21">
        <f t="shared" ca="1" si="93"/>
        <v>13443</v>
      </c>
      <c r="S521" s="307">
        <f t="shared" ca="1" si="94"/>
        <v>68</v>
      </c>
      <c r="T521" s="3190">
        <f>面积表!A516</f>
        <v>0</v>
      </c>
    </row>
    <row r="522" spans="1:20">
      <c r="A522" s="3169" t="str">
        <f>面积表!D517</f>
        <v>506</v>
      </c>
      <c r="B522" s="52">
        <f>面积表!E517</f>
        <v>50.33</v>
      </c>
      <c r="C522" s="21">
        <f t="shared" si="85"/>
        <v>1</v>
      </c>
      <c r="D522" s="2559" t="s">
        <v>4016</v>
      </c>
      <c r="E522" s="21">
        <f t="shared" si="86"/>
        <v>1</v>
      </c>
      <c r="F522" s="631" t="s">
        <v>3815</v>
      </c>
      <c r="G522" s="21">
        <f t="shared" si="87"/>
        <v>0.95</v>
      </c>
      <c r="H522" s="631">
        <v>3</v>
      </c>
      <c r="I522" s="21">
        <f t="shared" si="88"/>
        <v>1</v>
      </c>
      <c r="J522" s="631"/>
      <c r="K522" s="21">
        <f t="shared" si="89"/>
        <v>1</v>
      </c>
      <c r="L522" s="631"/>
      <c r="M522" s="21">
        <f t="shared" si="90"/>
        <v>1</v>
      </c>
      <c r="N522" s="631"/>
      <c r="O522" s="21">
        <f t="shared" si="91"/>
        <v>1</v>
      </c>
      <c r="P522" s="631" t="s">
        <v>3409</v>
      </c>
      <c r="Q522" s="21">
        <f t="shared" si="92"/>
        <v>1</v>
      </c>
      <c r="R522" s="21">
        <f t="shared" ca="1" si="93"/>
        <v>13443</v>
      </c>
      <c r="S522" s="307">
        <f t="shared" ca="1" si="94"/>
        <v>68</v>
      </c>
      <c r="T522" s="3190">
        <f>面积表!A517</f>
        <v>0</v>
      </c>
    </row>
    <row r="523" spans="1:20">
      <c r="A523" s="3169" t="str">
        <f>面积表!D518</f>
        <v>507</v>
      </c>
      <c r="B523" s="52">
        <f>面积表!E518</f>
        <v>50.33</v>
      </c>
      <c r="C523" s="21">
        <f t="shared" si="85"/>
        <v>1</v>
      </c>
      <c r="D523" s="2559" t="s">
        <v>4016</v>
      </c>
      <c r="E523" s="21">
        <f t="shared" si="86"/>
        <v>1</v>
      </c>
      <c r="F523" s="631" t="s">
        <v>3815</v>
      </c>
      <c r="G523" s="21">
        <f t="shared" si="87"/>
        <v>0.95</v>
      </c>
      <c r="H523" s="631">
        <v>3</v>
      </c>
      <c r="I523" s="21">
        <f t="shared" si="88"/>
        <v>1</v>
      </c>
      <c r="J523" s="631"/>
      <c r="K523" s="21">
        <f t="shared" si="89"/>
        <v>1</v>
      </c>
      <c r="L523" s="631"/>
      <c r="M523" s="21">
        <f t="shared" si="90"/>
        <v>1</v>
      </c>
      <c r="N523" s="631"/>
      <c r="O523" s="21">
        <f t="shared" si="91"/>
        <v>1</v>
      </c>
      <c r="P523" s="631" t="s">
        <v>3409</v>
      </c>
      <c r="Q523" s="21">
        <f t="shared" si="92"/>
        <v>1</v>
      </c>
      <c r="R523" s="21">
        <f t="shared" ca="1" si="93"/>
        <v>13443</v>
      </c>
      <c r="S523" s="307">
        <f t="shared" ca="1" si="94"/>
        <v>68</v>
      </c>
      <c r="T523" s="3190">
        <f>面积表!A518</f>
        <v>0</v>
      </c>
    </row>
    <row r="524" spans="1:20">
      <c r="A524" s="3169" t="str">
        <f>面积表!D519</f>
        <v>508</v>
      </c>
      <c r="B524" s="52">
        <f>面积表!E519</f>
        <v>50.33</v>
      </c>
      <c r="C524" s="21">
        <f t="shared" si="85"/>
        <v>1</v>
      </c>
      <c r="D524" s="2559" t="s">
        <v>4016</v>
      </c>
      <c r="E524" s="21">
        <f t="shared" si="86"/>
        <v>1</v>
      </c>
      <c r="F524" s="631" t="s">
        <v>3815</v>
      </c>
      <c r="G524" s="21">
        <f t="shared" si="87"/>
        <v>0.95</v>
      </c>
      <c r="H524" s="631">
        <v>3</v>
      </c>
      <c r="I524" s="21">
        <f t="shared" si="88"/>
        <v>1</v>
      </c>
      <c r="J524" s="631"/>
      <c r="K524" s="21">
        <f t="shared" si="89"/>
        <v>1</v>
      </c>
      <c r="L524" s="631"/>
      <c r="M524" s="21">
        <f t="shared" si="90"/>
        <v>1</v>
      </c>
      <c r="N524" s="631"/>
      <c r="O524" s="21">
        <f t="shared" si="91"/>
        <v>1</v>
      </c>
      <c r="P524" s="631" t="s">
        <v>3409</v>
      </c>
      <c r="Q524" s="21">
        <f t="shared" si="92"/>
        <v>1</v>
      </c>
      <c r="R524" s="21">
        <f t="shared" ca="1" si="93"/>
        <v>13443</v>
      </c>
      <c r="S524" s="307">
        <f t="shared" ca="1" si="94"/>
        <v>68</v>
      </c>
      <c r="T524" s="3190">
        <f>面积表!A519</f>
        <v>0</v>
      </c>
    </row>
    <row r="525" spans="1:20">
      <c r="A525" s="3169" t="str">
        <f>面积表!D520</f>
        <v>509</v>
      </c>
      <c r="B525" s="52">
        <f>面积表!E520</f>
        <v>50.33</v>
      </c>
      <c r="C525" s="3192">
        <f t="shared" ref="C525:C588" si="95">IF(B525="",1,(LOOKUP(B525,$3:$3,$4:$4)-LOOKUP($B$24,$3:$3,$4:$4)+100)/100)</f>
        <v>1</v>
      </c>
      <c r="D525" s="2559" t="s">
        <v>4016</v>
      </c>
      <c r="E525" s="3192">
        <f t="shared" ref="E525:E588" si="96">(SUMIF($5:$5,D525,$6:$6)-SUMIF($5:$5,$D$24,$6:$6)+100)/100</f>
        <v>1</v>
      </c>
      <c r="F525" s="631" t="s">
        <v>3815</v>
      </c>
      <c r="G525" s="3192">
        <f t="shared" ref="G525:G588" si="97">(SUMIF($7:$7,F525,$8:$8)-SUMIF($7:$7,$F$24,$8:$8)+100)/100</f>
        <v>0.95</v>
      </c>
      <c r="H525" s="631">
        <v>3</v>
      </c>
      <c r="I525" s="3192">
        <f t="shared" ref="I525:I588" si="98">(SUMIF($9:$9,H525,$10:$10)-SUMIF($9:$9,$H$24,$10:$10)+100)/100</f>
        <v>1</v>
      </c>
      <c r="J525" s="631"/>
      <c r="K525" s="3192">
        <f t="shared" ref="K525:K588" si="99">(SUMIF($11:$11,J525,$12:$12)-SUMIF($11:$11,$J$24,$12:$12)+100)/100</f>
        <v>1</v>
      </c>
      <c r="L525" s="631"/>
      <c r="M525" s="3192">
        <f t="shared" ref="M525:M588" si="100">(SUMIF($13:$13,L525,$14:$14)-SUMIF($13:$13,$L$24,$14:$14)+100)/100</f>
        <v>1</v>
      </c>
      <c r="N525" s="631"/>
      <c r="O525" s="3192">
        <f t="shared" ref="O525:O588" si="101">(SUMIF($15:$15,N525,$16:$16)-SUMIF($15:$15,$N$24,$16:$16)+100)/100</f>
        <v>1</v>
      </c>
      <c r="P525" s="631" t="s">
        <v>3409</v>
      </c>
      <c r="Q525" s="3192">
        <f t="shared" ref="Q525:Q588" si="102">(SUMIF($17:$17,P525,$18:$18)-SUMIF($17:$17,$P$24,$18:$18)+100)/100</f>
        <v>1</v>
      </c>
      <c r="R525" s="3192">
        <f t="shared" ref="R525:R588" ca="1" si="103">IF(B525="",0,ROUND($R$24*C525*E525*G525*I525*K525*M525*O525*Q525,0))</f>
        <v>13443</v>
      </c>
      <c r="S525" s="898">
        <f t="shared" ref="S525:S588" ca="1" si="104">ROUND(R525*B525/10000,0)</f>
        <v>68</v>
      </c>
      <c r="T525" s="3190">
        <f>面积表!A520</f>
        <v>0</v>
      </c>
    </row>
    <row r="526" spans="1:20">
      <c r="A526" s="3169" t="str">
        <f>面积表!D521</f>
        <v>510</v>
      </c>
      <c r="B526" s="52">
        <f>面积表!E521</f>
        <v>50.33</v>
      </c>
      <c r="C526" s="3192">
        <f t="shared" si="95"/>
        <v>1</v>
      </c>
      <c r="D526" s="2559" t="s">
        <v>4016</v>
      </c>
      <c r="E526" s="3192">
        <f t="shared" si="96"/>
        <v>1</v>
      </c>
      <c r="F526" s="631" t="s">
        <v>3815</v>
      </c>
      <c r="G526" s="3192">
        <f t="shared" si="97"/>
        <v>0.95</v>
      </c>
      <c r="H526" s="631">
        <v>3</v>
      </c>
      <c r="I526" s="3192">
        <f t="shared" si="98"/>
        <v>1</v>
      </c>
      <c r="J526" s="631"/>
      <c r="K526" s="3192">
        <f t="shared" si="99"/>
        <v>1</v>
      </c>
      <c r="L526" s="631"/>
      <c r="M526" s="3192">
        <f t="shared" si="100"/>
        <v>1</v>
      </c>
      <c r="N526" s="631"/>
      <c r="O526" s="3192">
        <f t="shared" si="101"/>
        <v>1</v>
      </c>
      <c r="P526" s="631" t="s">
        <v>3409</v>
      </c>
      <c r="Q526" s="3192">
        <f t="shared" si="102"/>
        <v>1</v>
      </c>
      <c r="R526" s="3192">
        <f t="shared" ca="1" si="103"/>
        <v>13443</v>
      </c>
      <c r="S526" s="898">
        <f t="shared" ca="1" si="104"/>
        <v>68</v>
      </c>
      <c r="T526" s="3190">
        <f>面积表!A521</f>
        <v>0</v>
      </c>
    </row>
    <row r="527" spans="1:20">
      <c r="A527" s="3169" t="str">
        <f>面积表!D522</f>
        <v>511</v>
      </c>
      <c r="B527" s="52">
        <f>面积表!E522</f>
        <v>50.33</v>
      </c>
      <c r="C527" s="3192">
        <f t="shared" si="95"/>
        <v>1</v>
      </c>
      <c r="D527" s="2559" t="s">
        <v>4016</v>
      </c>
      <c r="E527" s="3192">
        <f t="shared" si="96"/>
        <v>1</v>
      </c>
      <c r="F527" s="631" t="s">
        <v>3815</v>
      </c>
      <c r="G527" s="3192">
        <f t="shared" si="97"/>
        <v>0.95</v>
      </c>
      <c r="H527" s="631">
        <v>3</v>
      </c>
      <c r="I527" s="3192">
        <f t="shared" si="98"/>
        <v>1</v>
      </c>
      <c r="J527" s="631"/>
      <c r="K527" s="3192">
        <f t="shared" si="99"/>
        <v>1</v>
      </c>
      <c r="L527" s="631"/>
      <c r="M527" s="3192">
        <f t="shared" si="100"/>
        <v>1</v>
      </c>
      <c r="N527" s="631"/>
      <c r="O527" s="3192">
        <f t="shared" si="101"/>
        <v>1</v>
      </c>
      <c r="P527" s="631" t="s">
        <v>3409</v>
      </c>
      <c r="Q527" s="3192">
        <f t="shared" si="102"/>
        <v>1</v>
      </c>
      <c r="R527" s="3192">
        <f t="shared" ca="1" si="103"/>
        <v>13443</v>
      </c>
      <c r="S527" s="898">
        <f t="shared" ca="1" si="104"/>
        <v>68</v>
      </c>
      <c r="T527" s="3190">
        <f>面积表!A522</f>
        <v>0</v>
      </c>
    </row>
    <row r="528" spans="1:20">
      <c r="A528" s="3169" t="str">
        <f>面积表!D523</f>
        <v>512</v>
      </c>
      <c r="B528" s="52">
        <f>面积表!E523</f>
        <v>50.33</v>
      </c>
      <c r="C528" s="3192">
        <f t="shared" si="95"/>
        <v>1</v>
      </c>
      <c r="D528" s="2559" t="s">
        <v>4016</v>
      </c>
      <c r="E528" s="3192">
        <f t="shared" si="96"/>
        <v>1</v>
      </c>
      <c r="F528" s="631" t="s">
        <v>3815</v>
      </c>
      <c r="G528" s="3192">
        <f t="shared" si="97"/>
        <v>0.95</v>
      </c>
      <c r="H528" s="631">
        <v>3</v>
      </c>
      <c r="I528" s="3192">
        <f t="shared" si="98"/>
        <v>1</v>
      </c>
      <c r="J528" s="631"/>
      <c r="K528" s="3192">
        <f t="shared" si="99"/>
        <v>1</v>
      </c>
      <c r="L528" s="631"/>
      <c r="M528" s="3192">
        <f t="shared" si="100"/>
        <v>1</v>
      </c>
      <c r="N528" s="631"/>
      <c r="O528" s="3192">
        <f t="shared" si="101"/>
        <v>1</v>
      </c>
      <c r="P528" s="631" t="s">
        <v>3409</v>
      </c>
      <c r="Q528" s="3192">
        <f t="shared" si="102"/>
        <v>1</v>
      </c>
      <c r="R528" s="3192">
        <f t="shared" ca="1" si="103"/>
        <v>13443</v>
      </c>
      <c r="S528" s="898">
        <f t="shared" ca="1" si="104"/>
        <v>68</v>
      </c>
      <c r="T528" s="3190">
        <f>面积表!A523</f>
        <v>0</v>
      </c>
    </row>
    <row r="529" spans="1:20">
      <c r="A529" s="3169" t="str">
        <f>面积表!D524</f>
        <v>513</v>
      </c>
      <c r="B529" s="52">
        <f>面积表!E524</f>
        <v>50.33</v>
      </c>
      <c r="C529" s="3192">
        <f t="shared" si="95"/>
        <v>1</v>
      </c>
      <c r="D529" s="2559" t="s">
        <v>4016</v>
      </c>
      <c r="E529" s="3192">
        <f t="shared" si="96"/>
        <v>1</v>
      </c>
      <c r="F529" s="631" t="s">
        <v>3815</v>
      </c>
      <c r="G529" s="3192">
        <f t="shared" si="97"/>
        <v>0.95</v>
      </c>
      <c r="H529" s="631">
        <v>3</v>
      </c>
      <c r="I529" s="3192">
        <f t="shared" si="98"/>
        <v>1</v>
      </c>
      <c r="J529" s="631"/>
      <c r="K529" s="3192">
        <f t="shared" si="99"/>
        <v>1</v>
      </c>
      <c r="L529" s="631"/>
      <c r="M529" s="3192">
        <f t="shared" si="100"/>
        <v>1</v>
      </c>
      <c r="N529" s="631"/>
      <c r="O529" s="3192">
        <f t="shared" si="101"/>
        <v>1</v>
      </c>
      <c r="P529" s="631" t="s">
        <v>3409</v>
      </c>
      <c r="Q529" s="3192">
        <f t="shared" si="102"/>
        <v>1</v>
      </c>
      <c r="R529" s="3192">
        <f t="shared" ca="1" si="103"/>
        <v>13443</v>
      </c>
      <c r="S529" s="898">
        <f t="shared" ca="1" si="104"/>
        <v>68</v>
      </c>
      <c r="T529" s="3190">
        <f>面积表!A524</f>
        <v>0</v>
      </c>
    </row>
    <row r="530" spans="1:20">
      <c r="A530" s="3169" t="str">
        <f>面积表!D525</f>
        <v>514</v>
      </c>
      <c r="B530" s="52">
        <f>面积表!E525</f>
        <v>50.33</v>
      </c>
      <c r="C530" s="3192">
        <f t="shared" si="95"/>
        <v>1</v>
      </c>
      <c r="D530" s="2559" t="s">
        <v>4016</v>
      </c>
      <c r="E530" s="3192">
        <f t="shared" si="96"/>
        <v>1</v>
      </c>
      <c r="F530" s="631" t="s">
        <v>3815</v>
      </c>
      <c r="G530" s="3192">
        <f t="shared" si="97"/>
        <v>0.95</v>
      </c>
      <c r="H530" s="631">
        <v>3</v>
      </c>
      <c r="I530" s="3192">
        <f t="shared" si="98"/>
        <v>1</v>
      </c>
      <c r="J530" s="631"/>
      <c r="K530" s="3192">
        <f t="shared" si="99"/>
        <v>1</v>
      </c>
      <c r="L530" s="631"/>
      <c r="M530" s="3192">
        <f t="shared" si="100"/>
        <v>1</v>
      </c>
      <c r="N530" s="631"/>
      <c r="O530" s="3192">
        <f t="shared" si="101"/>
        <v>1</v>
      </c>
      <c r="P530" s="631" t="s">
        <v>3409</v>
      </c>
      <c r="Q530" s="3192">
        <f t="shared" si="102"/>
        <v>1</v>
      </c>
      <c r="R530" s="3192">
        <f t="shared" ca="1" si="103"/>
        <v>13443</v>
      </c>
      <c r="S530" s="898">
        <f t="shared" ca="1" si="104"/>
        <v>68</v>
      </c>
      <c r="T530" s="3190">
        <f>面积表!A525</f>
        <v>0</v>
      </c>
    </row>
    <row r="531" spans="1:20">
      <c r="A531" s="3169" t="str">
        <f>面积表!D526</f>
        <v>515</v>
      </c>
      <c r="B531" s="52">
        <f>面积表!E526</f>
        <v>50.33</v>
      </c>
      <c r="C531" s="3192">
        <f t="shared" si="95"/>
        <v>1</v>
      </c>
      <c r="D531" s="2559" t="s">
        <v>4016</v>
      </c>
      <c r="E531" s="3192">
        <f t="shared" si="96"/>
        <v>1</v>
      </c>
      <c r="F531" s="631" t="s">
        <v>3815</v>
      </c>
      <c r="G531" s="3192">
        <f t="shared" si="97"/>
        <v>0.95</v>
      </c>
      <c r="H531" s="631">
        <v>3</v>
      </c>
      <c r="I531" s="3192">
        <f t="shared" si="98"/>
        <v>1</v>
      </c>
      <c r="J531" s="631"/>
      <c r="K531" s="3192">
        <f t="shared" si="99"/>
        <v>1</v>
      </c>
      <c r="L531" s="631"/>
      <c r="M531" s="3192">
        <f t="shared" si="100"/>
        <v>1</v>
      </c>
      <c r="N531" s="631"/>
      <c r="O531" s="3192">
        <f t="shared" si="101"/>
        <v>1</v>
      </c>
      <c r="P531" s="631" t="s">
        <v>3409</v>
      </c>
      <c r="Q531" s="3192">
        <f t="shared" si="102"/>
        <v>1</v>
      </c>
      <c r="R531" s="3192">
        <f t="shared" ca="1" si="103"/>
        <v>13443</v>
      </c>
      <c r="S531" s="898">
        <f t="shared" ca="1" si="104"/>
        <v>68</v>
      </c>
      <c r="T531" s="3190">
        <f>面积表!A526</f>
        <v>0</v>
      </c>
    </row>
    <row r="532" spans="1:20">
      <c r="A532" s="3169" t="str">
        <f>面积表!D527</f>
        <v>518</v>
      </c>
      <c r="B532" s="52">
        <f>面积表!E527</f>
        <v>41.99</v>
      </c>
      <c r="C532" s="3192">
        <f t="shared" si="95"/>
        <v>1</v>
      </c>
      <c r="D532" s="2559" t="s">
        <v>4016</v>
      </c>
      <c r="E532" s="3192">
        <f t="shared" si="96"/>
        <v>1</v>
      </c>
      <c r="F532" s="631" t="s">
        <v>3815</v>
      </c>
      <c r="G532" s="3192">
        <f t="shared" si="97"/>
        <v>0.95</v>
      </c>
      <c r="H532" s="631">
        <v>3</v>
      </c>
      <c r="I532" s="3192">
        <f t="shared" si="98"/>
        <v>1</v>
      </c>
      <c r="J532" s="631"/>
      <c r="K532" s="3192">
        <f t="shared" si="99"/>
        <v>1</v>
      </c>
      <c r="L532" s="631"/>
      <c r="M532" s="3192">
        <f t="shared" si="100"/>
        <v>1</v>
      </c>
      <c r="N532" s="631"/>
      <c r="O532" s="3192">
        <f t="shared" si="101"/>
        <v>1</v>
      </c>
      <c r="P532" s="631" t="s">
        <v>3409</v>
      </c>
      <c r="Q532" s="3192">
        <f t="shared" si="102"/>
        <v>1</v>
      </c>
      <c r="R532" s="3192">
        <f t="shared" ca="1" si="103"/>
        <v>13443</v>
      </c>
      <c r="S532" s="898">
        <f t="shared" ca="1" si="104"/>
        <v>56</v>
      </c>
      <c r="T532" s="3190">
        <f>面积表!A527</f>
        <v>0</v>
      </c>
    </row>
    <row r="533" spans="1:20">
      <c r="A533" s="3169" t="str">
        <f>面积表!D528</f>
        <v>519</v>
      </c>
      <c r="B533" s="52">
        <f>面积表!E528</f>
        <v>44.72</v>
      </c>
      <c r="C533" s="3192">
        <f t="shared" si="95"/>
        <v>1</v>
      </c>
      <c r="D533" s="2559" t="s">
        <v>4016</v>
      </c>
      <c r="E533" s="3192">
        <f t="shared" si="96"/>
        <v>1</v>
      </c>
      <c r="F533" s="631" t="s">
        <v>3815</v>
      </c>
      <c r="G533" s="3192">
        <f t="shared" si="97"/>
        <v>0.95</v>
      </c>
      <c r="H533" s="631">
        <v>3</v>
      </c>
      <c r="I533" s="3192">
        <f t="shared" si="98"/>
        <v>1</v>
      </c>
      <c r="J533" s="631"/>
      <c r="K533" s="3192">
        <f t="shared" si="99"/>
        <v>1</v>
      </c>
      <c r="L533" s="631"/>
      <c r="M533" s="3192">
        <f t="shared" si="100"/>
        <v>1</v>
      </c>
      <c r="N533" s="631"/>
      <c r="O533" s="3192">
        <f t="shared" si="101"/>
        <v>1</v>
      </c>
      <c r="P533" s="631" t="s">
        <v>3409</v>
      </c>
      <c r="Q533" s="3192">
        <f t="shared" si="102"/>
        <v>1</v>
      </c>
      <c r="R533" s="3192">
        <f t="shared" ca="1" si="103"/>
        <v>13443</v>
      </c>
      <c r="S533" s="898">
        <f t="shared" ca="1" si="104"/>
        <v>60</v>
      </c>
      <c r="T533" s="3190">
        <f>面积表!A528</f>
        <v>0</v>
      </c>
    </row>
    <row r="534" spans="1:20">
      <c r="A534" s="3169" t="str">
        <f>面积表!D529</f>
        <v>520</v>
      </c>
      <c r="B534" s="52">
        <f>面积表!E529</f>
        <v>46.83</v>
      </c>
      <c r="C534" s="3192">
        <f t="shared" si="95"/>
        <v>1</v>
      </c>
      <c r="D534" s="2559" t="s">
        <v>4016</v>
      </c>
      <c r="E534" s="3192">
        <f t="shared" si="96"/>
        <v>1</v>
      </c>
      <c r="F534" s="631" t="s">
        <v>3815</v>
      </c>
      <c r="G534" s="3192">
        <f t="shared" si="97"/>
        <v>0.95</v>
      </c>
      <c r="H534" s="631">
        <v>3</v>
      </c>
      <c r="I534" s="3192">
        <f t="shared" si="98"/>
        <v>1</v>
      </c>
      <c r="J534" s="631"/>
      <c r="K534" s="3192">
        <f t="shared" si="99"/>
        <v>1</v>
      </c>
      <c r="L534" s="631"/>
      <c r="M534" s="3192">
        <f t="shared" si="100"/>
        <v>1</v>
      </c>
      <c r="N534" s="631"/>
      <c r="O534" s="3192">
        <f t="shared" si="101"/>
        <v>1</v>
      </c>
      <c r="P534" s="631" t="s">
        <v>3409</v>
      </c>
      <c r="Q534" s="3192">
        <f t="shared" si="102"/>
        <v>1</v>
      </c>
      <c r="R534" s="3192">
        <f t="shared" ca="1" si="103"/>
        <v>13443</v>
      </c>
      <c r="S534" s="898">
        <f t="shared" ca="1" si="104"/>
        <v>63</v>
      </c>
      <c r="T534" s="3190">
        <f>面积表!A529</f>
        <v>0</v>
      </c>
    </row>
    <row r="535" spans="1:20">
      <c r="A535" s="3169" t="str">
        <f>面积表!D530</f>
        <v>521</v>
      </c>
      <c r="B535" s="52">
        <f>面积表!E530</f>
        <v>48.33</v>
      </c>
      <c r="C535" s="3192">
        <f t="shared" si="95"/>
        <v>1</v>
      </c>
      <c r="D535" s="2559" t="s">
        <v>4016</v>
      </c>
      <c r="E535" s="3192">
        <f t="shared" si="96"/>
        <v>1</v>
      </c>
      <c r="F535" s="631" t="s">
        <v>3815</v>
      </c>
      <c r="G535" s="3192">
        <f t="shared" si="97"/>
        <v>0.95</v>
      </c>
      <c r="H535" s="631">
        <v>3</v>
      </c>
      <c r="I535" s="3192">
        <f t="shared" si="98"/>
        <v>1</v>
      </c>
      <c r="J535" s="631"/>
      <c r="K535" s="3192">
        <f t="shared" si="99"/>
        <v>1</v>
      </c>
      <c r="L535" s="631"/>
      <c r="M535" s="3192">
        <f t="shared" si="100"/>
        <v>1</v>
      </c>
      <c r="N535" s="631"/>
      <c r="O535" s="3192">
        <f t="shared" si="101"/>
        <v>1</v>
      </c>
      <c r="P535" s="631" t="s">
        <v>3409</v>
      </c>
      <c r="Q535" s="3192">
        <f t="shared" si="102"/>
        <v>1</v>
      </c>
      <c r="R535" s="3192">
        <f t="shared" ca="1" si="103"/>
        <v>13443</v>
      </c>
      <c r="S535" s="898">
        <f t="shared" ca="1" si="104"/>
        <v>65</v>
      </c>
      <c r="T535" s="3190">
        <f>面积表!A530</f>
        <v>0</v>
      </c>
    </row>
    <row r="536" spans="1:20">
      <c r="A536" s="3169" t="str">
        <f>面积表!D531</f>
        <v>522</v>
      </c>
      <c r="B536" s="52">
        <f>面积表!E531</f>
        <v>49.3</v>
      </c>
      <c r="C536" s="3192">
        <f t="shared" si="95"/>
        <v>1</v>
      </c>
      <c r="D536" s="2559" t="s">
        <v>4016</v>
      </c>
      <c r="E536" s="3192">
        <f t="shared" si="96"/>
        <v>1</v>
      </c>
      <c r="F536" s="631" t="s">
        <v>3815</v>
      </c>
      <c r="G536" s="3192">
        <f t="shared" si="97"/>
        <v>0.95</v>
      </c>
      <c r="H536" s="631">
        <v>3</v>
      </c>
      <c r="I536" s="3192">
        <f t="shared" si="98"/>
        <v>1</v>
      </c>
      <c r="J536" s="631"/>
      <c r="K536" s="3192">
        <f t="shared" si="99"/>
        <v>1</v>
      </c>
      <c r="L536" s="631"/>
      <c r="M536" s="3192">
        <f t="shared" si="100"/>
        <v>1</v>
      </c>
      <c r="N536" s="631"/>
      <c r="O536" s="3192">
        <f t="shared" si="101"/>
        <v>1</v>
      </c>
      <c r="P536" s="631" t="s">
        <v>3409</v>
      </c>
      <c r="Q536" s="3192">
        <f t="shared" si="102"/>
        <v>1</v>
      </c>
      <c r="R536" s="3192">
        <f t="shared" ca="1" si="103"/>
        <v>13443</v>
      </c>
      <c r="S536" s="898">
        <f t="shared" ca="1" si="104"/>
        <v>66</v>
      </c>
      <c r="T536" s="3190">
        <f>面积表!A531</f>
        <v>0</v>
      </c>
    </row>
    <row r="537" spans="1:20">
      <c r="A537" s="3169" t="str">
        <f>面积表!D532</f>
        <v>523</v>
      </c>
      <c r="B537" s="52">
        <f>面积表!E532</f>
        <v>49.59</v>
      </c>
      <c r="C537" s="3192">
        <f t="shared" si="95"/>
        <v>1</v>
      </c>
      <c r="D537" s="2559" t="s">
        <v>4016</v>
      </c>
      <c r="E537" s="3192">
        <f t="shared" si="96"/>
        <v>1</v>
      </c>
      <c r="F537" s="631" t="s">
        <v>3815</v>
      </c>
      <c r="G537" s="3192">
        <f t="shared" si="97"/>
        <v>0.95</v>
      </c>
      <c r="H537" s="631">
        <v>3</v>
      </c>
      <c r="I537" s="3192">
        <f t="shared" si="98"/>
        <v>1</v>
      </c>
      <c r="J537" s="631"/>
      <c r="K537" s="3192">
        <f t="shared" si="99"/>
        <v>1</v>
      </c>
      <c r="L537" s="631"/>
      <c r="M537" s="3192">
        <f t="shared" si="100"/>
        <v>1</v>
      </c>
      <c r="N537" s="631"/>
      <c r="O537" s="3192">
        <f t="shared" si="101"/>
        <v>1</v>
      </c>
      <c r="P537" s="631" t="s">
        <v>3409</v>
      </c>
      <c r="Q537" s="3192">
        <f t="shared" si="102"/>
        <v>1</v>
      </c>
      <c r="R537" s="3192">
        <f t="shared" ca="1" si="103"/>
        <v>13443</v>
      </c>
      <c r="S537" s="898">
        <f t="shared" ca="1" si="104"/>
        <v>67</v>
      </c>
      <c r="T537" s="3190">
        <f>面积表!A532</f>
        <v>0</v>
      </c>
    </row>
    <row r="538" spans="1:20">
      <c r="A538" s="3169" t="str">
        <f>面积表!D533</f>
        <v>524</v>
      </c>
      <c r="B538" s="52">
        <f>面积表!E533</f>
        <v>49.28</v>
      </c>
      <c r="C538" s="3192">
        <f t="shared" si="95"/>
        <v>1</v>
      </c>
      <c r="D538" s="2559" t="s">
        <v>4016</v>
      </c>
      <c r="E538" s="3192">
        <f t="shared" si="96"/>
        <v>1</v>
      </c>
      <c r="F538" s="631" t="s">
        <v>3815</v>
      </c>
      <c r="G538" s="3192">
        <f t="shared" si="97"/>
        <v>0.95</v>
      </c>
      <c r="H538" s="631">
        <v>3</v>
      </c>
      <c r="I538" s="3192">
        <f t="shared" si="98"/>
        <v>1</v>
      </c>
      <c r="J538" s="631"/>
      <c r="K538" s="3192">
        <f t="shared" si="99"/>
        <v>1</v>
      </c>
      <c r="L538" s="631"/>
      <c r="M538" s="3192">
        <f t="shared" si="100"/>
        <v>1</v>
      </c>
      <c r="N538" s="631"/>
      <c r="O538" s="3192">
        <f t="shared" si="101"/>
        <v>1</v>
      </c>
      <c r="P538" s="631" t="s">
        <v>3409</v>
      </c>
      <c r="Q538" s="3192">
        <f t="shared" si="102"/>
        <v>1</v>
      </c>
      <c r="R538" s="3192">
        <f t="shared" ca="1" si="103"/>
        <v>13443</v>
      </c>
      <c r="S538" s="898">
        <f t="shared" ca="1" si="104"/>
        <v>66</v>
      </c>
      <c r="T538" s="3190">
        <f>面积表!A533</f>
        <v>0</v>
      </c>
    </row>
    <row r="539" spans="1:20">
      <c r="A539" s="3169" t="str">
        <f>面积表!D534</f>
        <v>525</v>
      </c>
      <c r="B539" s="52">
        <f>面积表!E534</f>
        <v>48.41</v>
      </c>
      <c r="C539" s="3192">
        <f t="shared" si="95"/>
        <v>1</v>
      </c>
      <c r="D539" s="2559" t="s">
        <v>4016</v>
      </c>
      <c r="E539" s="3192">
        <f t="shared" si="96"/>
        <v>1</v>
      </c>
      <c r="F539" s="631" t="s">
        <v>3815</v>
      </c>
      <c r="G539" s="3192">
        <f t="shared" si="97"/>
        <v>0.95</v>
      </c>
      <c r="H539" s="631">
        <v>3</v>
      </c>
      <c r="I539" s="3192">
        <f t="shared" si="98"/>
        <v>1</v>
      </c>
      <c r="J539" s="631"/>
      <c r="K539" s="3192">
        <f t="shared" si="99"/>
        <v>1</v>
      </c>
      <c r="L539" s="631"/>
      <c r="M539" s="3192">
        <f t="shared" si="100"/>
        <v>1</v>
      </c>
      <c r="N539" s="631"/>
      <c r="O539" s="3192">
        <f t="shared" si="101"/>
        <v>1</v>
      </c>
      <c r="P539" s="631" t="s">
        <v>3409</v>
      </c>
      <c r="Q539" s="3192">
        <f t="shared" si="102"/>
        <v>1</v>
      </c>
      <c r="R539" s="3192">
        <f t="shared" ca="1" si="103"/>
        <v>13443</v>
      </c>
      <c r="S539" s="898">
        <f t="shared" ca="1" si="104"/>
        <v>65</v>
      </c>
      <c r="T539" s="3190">
        <f>面积表!A534</f>
        <v>0</v>
      </c>
    </row>
    <row r="540" spans="1:20">
      <c r="A540" s="3169" t="str">
        <f>面积表!D535</f>
        <v>526</v>
      </c>
      <c r="B540" s="52">
        <f>面积表!E535</f>
        <v>47.44</v>
      </c>
      <c r="C540" s="3192">
        <f t="shared" si="95"/>
        <v>1</v>
      </c>
      <c r="D540" s="2559" t="s">
        <v>4016</v>
      </c>
      <c r="E540" s="3192">
        <f t="shared" si="96"/>
        <v>1</v>
      </c>
      <c r="F540" s="631" t="s">
        <v>3815</v>
      </c>
      <c r="G540" s="3192">
        <f t="shared" si="97"/>
        <v>0.95</v>
      </c>
      <c r="H540" s="631">
        <v>3</v>
      </c>
      <c r="I540" s="3192">
        <f t="shared" si="98"/>
        <v>1</v>
      </c>
      <c r="J540" s="631"/>
      <c r="K540" s="3192">
        <f t="shared" si="99"/>
        <v>1</v>
      </c>
      <c r="L540" s="631"/>
      <c r="M540" s="3192">
        <f t="shared" si="100"/>
        <v>1</v>
      </c>
      <c r="N540" s="631"/>
      <c r="O540" s="3192">
        <f t="shared" si="101"/>
        <v>1</v>
      </c>
      <c r="P540" s="631" t="s">
        <v>3409</v>
      </c>
      <c r="Q540" s="3192">
        <f t="shared" si="102"/>
        <v>1</v>
      </c>
      <c r="R540" s="3192">
        <f t="shared" ca="1" si="103"/>
        <v>13443</v>
      </c>
      <c r="S540" s="898">
        <f t="shared" ca="1" si="104"/>
        <v>64</v>
      </c>
      <c r="T540" s="3190">
        <f>面积表!A535</f>
        <v>0</v>
      </c>
    </row>
    <row r="541" spans="1:20">
      <c r="A541" s="3169" t="str">
        <f>面积表!D536</f>
        <v>601</v>
      </c>
      <c r="B541" s="52">
        <f>面积表!E536</f>
        <v>52.2</v>
      </c>
      <c r="C541" s="3192">
        <f t="shared" si="95"/>
        <v>1</v>
      </c>
      <c r="D541" s="2559" t="s">
        <v>4016</v>
      </c>
      <c r="E541" s="3192">
        <f t="shared" si="96"/>
        <v>1</v>
      </c>
      <c r="F541" s="631" t="s">
        <v>3815</v>
      </c>
      <c r="G541" s="3192">
        <f t="shared" si="97"/>
        <v>0.95</v>
      </c>
      <c r="H541" s="631">
        <v>3</v>
      </c>
      <c r="I541" s="3192">
        <f t="shared" si="98"/>
        <v>1</v>
      </c>
      <c r="J541" s="631"/>
      <c r="K541" s="3192">
        <f t="shared" si="99"/>
        <v>1</v>
      </c>
      <c r="L541" s="631"/>
      <c r="M541" s="3192">
        <f t="shared" si="100"/>
        <v>1</v>
      </c>
      <c r="N541" s="631"/>
      <c r="O541" s="3192">
        <f t="shared" si="101"/>
        <v>1</v>
      </c>
      <c r="P541" s="631" t="s">
        <v>3409</v>
      </c>
      <c r="Q541" s="3192">
        <f t="shared" si="102"/>
        <v>1</v>
      </c>
      <c r="R541" s="3192">
        <f t="shared" ca="1" si="103"/>
        <v>13443</v>
      </c>
      <c r="S541" s="898">
        <f t="shared" ca="1" si="104"/>
        <v>70</v>
      </c>
      <c r="T541" s="3190">
        <f>面积表!A536</f>
        <v>0</v>
      </c>
    </row>
    <row r="542" spans="1:20">
      <c r="A542" s="3169" t="str">
        <f>面积表!D537</f>
        <v>602</v>
      </c>
      <c r="B542" s="52">
        <f>面积表!E537</f>
        <v>50.33</v>
      </c>
      <c r="C542" s="3192">
        <f t="shared" si="95"/>
        <v>1</v>
      </c>
      <c r="D542" s="2559" t="s">
        <v>4016</v>
      </c>
      <c r="E542" s="3192">
        <f t="shared" si="96"/>
        <v>1</v>
      </c>
      <c r="F542" s="631" t="s">
        <v>3815</v>
      </c>
      <c r="G542" s="3192">
        <f t="shared" si="97"/>
        <v>0.95</v>
      </c>
      <c r="H542" s="631">
        <v>3</v>
      </c>
      <c r="I542" s="3192">
        <f t="shared" si="98"/>
        <v>1</v>
      </c>
      <c r="J542" s="631"/>
      <c r="K542" s="3192">
        <f t="shared" si="99"/>
        <v>1</v>
      </c>
      <c r="L542" s="631"/>
      <c r="M542" s="3192">
        <f t="shared" si="100"/>
        <v>1</v>
      </c>
      <c r="N542" s="631"/>
      <c r="O542" s="3192">
        <f t="shared" si="101"/>
        <v>1</v>
      </c>
      <c r="P542" s="631" t="s">
        <v>3409</v>
      </c>
      <c r="Q542" s="3192">
        <f t="shared" si="102"/>
        <v>1</v>
      </c>
      <c r="R542" s="3192">
        <f t="shared" ca="1" si="103"/>
        <v>13443</v>
      </c>
      <c r="S542" s="898">
        <f t="shared" ca="1" si="104"/>
        <v>68</v>
      </c>
      <c r="T542" s="3190">
        <f>面积表!A537</f>
        <v>0</v>
      </c>
    </row>
    <row r="543" spans="1:20">
      <c r="A543" s="3169" t="str">
        <f>面积表!D538</f>
        <v>603</v>
      </c>
      <c r="B543" s="52">
        <f>面积表!E538</f>
        <v>50.33</v>
      </c>
      <c r="C543" s="3192">
        <f t="shared" si="95"/>
        <v>1</v>
      </c>
      <c r="D543" s="2559" t="s">
        <v>4016</v>
      </c>
      <c r="E543" s="3192">
        <f t="shared" si="96"/>
        <v>1</v>
      </c>
      <c r="F543" s="631" t="s">
        <v>3815</v>
      </c>
      <c r="G543" s="3192">
        <f t="shared" si="97"/>
        <v>0.95</v>
      </c>
      <c r="H543" s="631">
        <v>3</v>
      </c>
      <c r="I543" s="3192">
        <f t="shared" si="98"/>
        <v>1</v>
      </c>
      <c r="J543" s="631"/>
      <c r="K543" s="3192">
        <f t="shared" si="99"/>
        <v>1</v>
      </c>
      <c r="L543" s="631"/>
      <c r="M543" s="3192">
        <f t="shared" si="100"/>
        <v>1</v>
      </c>
      <c r="N543" s="631"/>
      <c r="O543" s="3192">
        <f t="shared" si="101"/>
        <v>1</v>
      </c>
      <c r="P543" s="631" t="s">
        <v>3409</v>
      </c>
      <c r="Q543" s="3192">
        <f t="shared" si="102"/>
        <v>1</v>
      </c>
      <c r="R543" s="3192">
        <f t="shared" ca="1" si="103"/>
        <v>13443</v>
      </c>
      <c r="S543" s="898">
        <f t="shared" ca="1" si="104"/>
        <v>68</v>
      </c>
      <c r="T543" s="3190">
        <f>面积表!A538</f>
        <v>0</v>
      </c>
    </row>
    <row r="544" spans="1:20">
      <c r="A544" s="3169" t="str">
        <f>面积表!D539</f>
        <v>604</v>
      </c>
      <c r="B544" s="52">
        <f>面积表!E539</f>
        <v>50.33</v>
      </c>
      <c r="C544" s="3192">
        <f t="shared" si="95"/>
        <v>1</v>
      </c>
      <c r="D544" s="2559" t="s">
        <v>4016</v>
      </c>
      <c r="E544" s="3192">
        <f t="shared" si="96"/>
        <v>1</v>
      </c>
      <c r="F544" s="631" t="s">
        <v>3815</v>
      </c>
      <c r="G544" s="3192">
        <f t="shared" si="97"/>
        <v>0.95</v>
      </c>
      <c r="H544" s="631">
        <v>3</v>
      </c>
      <c r="I544" s="3192">
        <f t="shared" si="98"/>
        <v>1</v>
      </c>
      <c r="J544" s="631"/>
      <c r="K544" s="3192">
        <f t="shared" si="99"/>
        <v>1</v>
      </c>
      <c r="L544" s="631"/>
      <c r="M544" s="3192">
        <f t="shared" si="100"/>
        <v>1</v>
      </c>
      <c r="N544" s="631"/>
      <c r="O544" s="3192">
        <f t="shared" si="101"/>
        <v>1</v>
      </c>
      <c r="P544" s="631" t="s">
        <v>3409</v>
      </c>
      <c r="Q544" s="3192">
        <f t="shared" si="102"/>
        <v>1</v>
      </c>
      <c r="R544" s="3192">
        <f t="shared" ca="1" si="103"/>
        <v>13443</v>
      </c>
      <c r="S544" s="898">
        <f t="shared" ca="1" si="104"/>
        <v>68</v>
      </c>
      <c r="T544" s="3190">
        <f>面积表!A539</f>
        <v>0</v>
      </c>
    </row>
    <row r="545" spans="1:20">
      <c r="A545" s="3169" t="str">
        <f>面积表!D540</f>
        <v>605</v>
      </c>
      <c r="B545" s="52">
        <f>面积表!E540</f>
        <v>50.33</v>
      </c>
      <c r="C545" s="3192">
        <f t="shared" si="95"/>
        <v>1</v>
      </c>
      <c r="D545" s="2559" t="s">
        <v>4016</v>
      </c>
      <c r="E545" s="3192">
        <f t="shared" si="96"/>
        <v>1</v>
      </c>
      <c r="F545" s="631" t="s">
        <v>3815</v>
      </c>
      <c r="G545" s="3192">
        <f t="shared" si="97"/>
        <v>0.95</v>
      </c>
      <c r="H545" s="631">
        <v>3</v>
      </c>
      <c r="I545" s="3192">
        <f t="shared" si="98"/>
        <v>1</v>
      </c>
      <c r="J545" s="631"/>
      <c r="K545" s="3192">
        <f t="shared" si="99"/>
        <v>1</v>
      </c>
      <c r="L545" s="631"/>
      <c r="M545" s="3192">
        <f t="shared" si="100"/>
        <v>1</v>
      </c>
      <c r="N545" s="631"/>
      <c r="O545" s="3192">
        <f t="shared" si="101"/>
        <v>1</v>
      </c>
      <c r="P545" s="631" t="s">
        <v>3409</v>
      </c>
      <c r="Q545" s="3192">
        <f t="shared" si="102"/>
        <v>1</v>
      </c>
      <c r="R545" s="3192">
        <f t="shared" ca="1" si="103"/>
        <v>13443</v>
      </c>
      <c r="S545" s="898">
        <f t="shared" ca="1" si="104"/>
        <v>68</v>
      </c>
      <c r="T545" s="3190">
        <f>面积表!A540</f>
        <v>0</v>
      </c>
    </row>
    <row r="546" spans="1:20">
      <c r="A546" s="3169" t="str">
        <f>面积表!D541</f>
        <v>606</v>
      </c>
      <c r="B546" s="52">
        <f>面积表!E541</f>
        <v>50.33</v>
      </c>
      <c r="C546" s="3192">
        <f t="shared" si="95"/>
        <v>1</v>
      </c>
      <c r="D546" s="2559" t="s">
        <v>4016</v>
      </c>
      <c r="E546" s="3192">
        <f t="shared" si="96"/>
        <v>1</v>
      </c>
      <c r="F546" s="631" t="s">
        <v>3815</v>
      </c>
      <c r="G546" s="3192">
        <f t="shared" si="97"/>
        <v>0.95</v>
      </c>
      <c r="H546" s="631">
        <v>3</v>
      </c>
      <c r="I546" s="3192">
        <f t="shared" si="98"/>
        <v>1</v>
      </c>
      <c r="J546" s="631"/>
      <c r="K546" s="3192">
        <f t="shared" si="99"/>
        <v>1</v>
      </c>
      <c r="L546" s="631"/>
      <c r="M546" s="3192">
        <f t="shared" si="100"/>
        <v>1</v>
      </c>
      <c r="N546" s="631"/>
      <c r="O546" s="3192">
        <f t="shared" si="101"/>
        <v>1</v>
      </c>
      <c r="P546" s="631" t="s">
        <v>3409</v>
      </c>
      <c r="Q546" s="3192">
        <f t="shared" si="102"/>
        <v>1</v>
      </c>
      <c r="R546" s="3192">
        <f t="shared" ca="1" si="103"/>
        <v>13443</v>
      </c>
      <c r="S546" s="898">
        <f t="shared" ca="1" si="104"/>
        <v>68</v>
      </c>
      <c r="T546" s="3190">
        <f>面积表!A541</f>
        <v>0</v>
      </c>
    </row>
    <row r="547" spans="1:20">
      <c r="A547" s="3169" t="str">
        <f>面积表!D542</f>
        <v>607</v>
      </c>
      <c r="B547" s="52">
        <f>面积表!E542</f>
        <v>50.33</v>
      </c>
      <c r="C547" s="3192">
        <f t="shared" si="95"/>
        <v>1</v>
      </c>
      <c r="D547" s="2559" t="s">
        <v>4016</v>
      </c>
      <c r="E547" s="3192">
        <f t="shared" si="96"/>
        <v>1</v>
      </c>
      <c r="F547" s="631" t="s">
        <v>3815</v>
      </c>
      <c r="G547" s="3192">
        <f t="shared" si="97"/>
        <v>0.95</v>
      </c>
      <c r="H547" s="631">
        <v>3</v>
      </c>
      <c r="I547" s="3192">
        <f t="shared" si="98"/>
        <v>1</v>
      </c>
      <c r="J547" s="631"/>
      <c r="K547" s="3192">
        <f t="shared" si="99"/>
        <v>1</v>
      </c>
      <c r="L547" s="631"/>
      <c r="M547" s="3192">
        <f t="shared" si="100"/>
        <v>1</v>
      </c>
      <c r="N547" s="631"/>
      <c r="O547" s="3192">
        <f t="shared" si="101"/>
        <v>1</v>
      </c>
      <c r="P547" s="631" t="s">
        <v>3409</v>
      </c>
      <c r="Q547" s="3192">
        <f t="shared" si="102"/>
        <v>1</v>
      </c>
      <c r="R547" s="3192">
        <f t="shared" ca="1" si="103"/>
        <v>13443</v>
      </c>
      <c r="S547" s="898">
        <f t="shared" ca="1" si="104"/>
        <v>68</v>
      </c>
      <c r="T547" s="3190">
        <f>面积表!A542</f>
        <v>0</v>
      </c>
    </row>
    <row r="548" spans="1:20">
      <c r="A548" s="3169" t="str">
        <f>面积表!D543</f>
        <v>608</v>
      </c>
      <c r="B548" s="52">
        <f>面积表!E543</f>
        <v>50.33</v>
      </c>
      <c r="C548" s="3192">
        <f t="shared" si="95"/>
        <v>1</v>
      </c>
      <c r="D548" s="2559" t="s">
        <v>4016</v>
      </c>
      <c r="E548" s="3192">
        <f t="shared" si="96"/>
        <v>1</v>
      </c>
      <c r="F548" s="631" t="s">
        <v>3815</v>
      </c>
      <c r="G548" s="3192">
        <f t="shared" si="97"/>
        <v>0.95</v>
      </c>
      <c r="H548" s="631">
        <v>3</v>
      </c>
      <c r="I548" s="3192">
        <f t="shared" si="98"/>
        <v>1</v>
      </c>
      <c r="J548" s="631"/>
      <c r="K548" s="3192">
        <f t="shared" si="99"/>
        <v>1</v>
      </c>
      <c r="L548" s="631"/>
      <c r="M548" s="3192">
        <f t="shared" si="100"/>
        <v>1</v>
      </c>
      <c r="N548" s="631"/>
      <c r="O548" s="3192">
        <f t="shared" si="101"/>
        <v>1</v>
      </c>
      <c r="P548" s="631" t="s">
        <v>3409</v>
      </c>
      <c r="Q548" s="3192">
        <f t="shared" si="102"/>
        <v>1</v>
      </c>
      <c r="R548" s="3192">
        <f t="shared" ca="1" si="103"/>
        <v>13443</v>
      </c>
      <c r="S548" s="898">
        <f t="shared" ca="1" si="104"/>
        <v>68</v>
      </c>
      <c r="T548" s="3190">
        <f>面积表!A543</f>
        <v>0</v>
      </c>
    </row>
    <row r="549" spans="1:20">
      <c r="A549" s="3169" t="str">
        <f>面积表!D544</f>
        <v>609</v>
      </c>
      <c r="B549" s="52">
        <f>面积表!E544</f>
        <v>50.33</v>
      </c>
      <c r="C549" s="3192">
        <f t="shared" si="95"/>
        <v>1</v>
      </c>
      <c r="D549" s="2559" t="s">
        <v>4016</v>
      </c>
      <c r="E549" s="3192">
        <f t="shared" si="96"/>
        <v>1</v>
      </c>
      <c r="F549" s="631" t="s">
        <v>3815</v>
      </c>
      <c r="G549" s="3192">
        <f t="shared" si="97"/>
        <v>0.95</v>
      </c>
      <c r="H549" s="631">
        <v>3</v>
      </c>
      <c r="I549" s="3192">
        <f t="shared" si="98"/>
        <v>1</v>
      </c>
      <c r="J549" s="631"/>
      <c r="K549" s="3192">
        <f t="shared" si="99"/>
        <v>1</v>
      </c>
      <c r="L549" s="631"/>
      <c r="M549" s="3192">
        <f t="shared" si="100"/>
        <v>1</v>
      </c>
      <c r="N549" s="631"/>
      <c r="O549" s="3192">
        <f t="shared" si="101"/>
        <v>1</v>
      </c>
      <c r="P549" s="631" t="s">
        <v>3409</v>
      </c>
      <c r="Q549" s="3192">
        <f t="shared" si="102"/>
        <v>1</v>
      </c>
      <c r="R549" s="3192">
        <f t="shared" ca="1" si="103"/>
        <v>13443</v>
      </c>
      <c r="S549" s="898">
        <f t="shared" ca="1" si="104"/>
        <v>68</v>
      </c>
      <c r="T549" s="3190">
        <f>面积表!A544</f>
        <v>0</v>
      </c>
    </row>
    <row r="550" spans="1:20">
      <c r="A550" s="3169" t="str">
        <f>面积表!D545</f>
        <v>610</v>
      </c>
      <c r="B550" s="52">
        <f>面积表!E545</f>
        <v>50.33</v>
      </c>
      <c r="C550" s="3192">
        <f t="shared" si="95"/>
        <v>1</v>
      </c>
      <c r="D550" s="2559" t="s">
        <v>4016</v>
      </c>
      <c r="E550" s="3192">
        <f t="shared" si="96"/>
        <v>1</v>
      </c>
      <c r="F550" s="631" t="s">
        <v>3815</v>
      </c>
      <c r="G550" s="3192">
        <f t="shared" si="97"/>
        <v>0.95</v>
      </c>
      <c r="H550" s="631">
        <v>3</v>
      </c>
      <c r="I550" s="3192">
        <f t="shared" si="98"/>
        <v>1</v>
      </c>
      <c r="J550" s="631"/>
      <c r="K550" s="3192">
        <f t="shared" si="99"/>
        <v>1</v>
      </c>
      <c r="L550" s="631"/>
      <c r="M550" s="3192">
        <f t="shared" si="100"/>
        <v>1</v>
      </c>
      <c r="N550" s="631"/>
      <c r="O550" s="3192">
        <f t="shared" si="101"/>
        <v>1</v>
      </c>
      <c r="P550" s="631" t="s">
        <v>3409</v>
      </c>
      <c r="Q550" s="3192">
        <f t="shared" si="102"/>
        <v>1</v>
      </c>
      <c r="R550" s="3192">
        <f t="shared" ca="1" si="103"/>
        <v>13443</v>
      </c>
      <c r="S550" s="898">
        <f t="shared" ca="1" si="104"/>
        <v>68</v>
      </c>
      <c r="T550" s="3190">
        <f>面积表!A545</f>
        <v>0</v>
      </c>
    </row>
    <row r="551" spans="1:20">
      <c r="A551" s="3169" t="str">
        <f>面积表!D546</f>
        <v>611</v>
      </c>
      <c r="B551" s="52">
        <f>面积表!E546</f>
        <v>50.33</v>
      </c>
      <c r="C551" s="3192">
        <f t="shared" si="95"/>
        <v>1</v>
      </c>
      <c r="D551" s="2559" t="s">
        <v>4016</v>
      </c>
      <c r="E551" s="3192">
        <f t="shared" si="96"/>
        <v>1</v>
      </c>
      <c r="F551" s="631" t="s">
        <v>3815</v>
      </c>
      <c r="G551" s="3192">
        <f t="shared" si="97"/>
        <v>0.95</v>
      </c>
      <c r="H551" s="631">
        <v>3</v>
      </c>
      <c r="I551" s="3192">
        <f t="shared" si="98"/>
        <v>1</v>
      </c>
      <c r="J551" s="631"/>
      <c r="K551" s="3192">
        <f t="shared" si="99"/>
        <v>1</v>
      </c>
      <c r="L551" s="631"/>
      <c r="M551" s="3192">
        <f t="shared" si="100"/>
        <v>1</v>
      </c>
      <c r="N551" s="631"/>
      <c r="O551" s="3192">
        <f t="shared" si="101"/>
        <v>1</v>
      </c>
      <c r="P551" s="631" t="s">
        <v>3409</v>
      </c>
      <c r="Q551" s="3192">
        <f t="shared" si="102"/>
        <v>1</v>
      </c>
      <c r="R551" s="3192">
        <f t="shared" ca="1" si="103"/>
        <v>13443</v>
      </c>
      <c r="S551" s="898">
        <f t="shared" ca="1" si="104"/>
        <v>68</v>
      </c>
      <c r="T551" s="3190">
        <f>面积表!A546</f>
        <v>0</v>
      </c>
    </row>
    <row r="552" spans="1:20">
      <c r="A552" s="3169" t="str">
        <f>面积表!D547</f>
        <v>612</v>
      </c>
      <c r="B552" s="52">
        <f>面积表!E547</f>
        <v>50.33</v>
      </c>
      <c r="C552" s="3192">
        <f t="shared" si="95"/>
        <v>1</v>
      </c>
      <c r="D552" s="2559" t="s">
        <v>4016</v>
      </c>
      <c r="E552" s="3192">
        <f t="shared" si="96"/>
        <v>1</v>
      </c>
      <c r="F552" s="631" t="s">
        <v>3815</v>
      </c>
      <c r="G552" s="3192">
        <f t="shared" si="97"/>
        <v>0.95</v>
      </c>
      <c r="H552" s="631">
        <v>3</v>
      </c>
      <c r="I552" s="3192">
        <f t="shared" si="98"/>
        <v>1</v>
      </c>
      <c r="J552" s="631"/>
      <c r="K552" s="3192">
        <f t="shared" si="99"/>
        <v>1</v>
      </c>
      <c r="L552" s="631"/>
      <c r="M552" s="3192">
        <f t="shared" si="100"/>
        <v>1</v>
      </c>
      <c r="N552" s="631"/>
      <c r="O552" s="3192">
        <f t="shared" si="101"/>
        <v>1</v>
      </c>
      <c r="P552" s="631" t="s">
        <v>3409</v>
      </c>
      <c r="Q552" s="3192">
        <f t="shared" si="102"/>
        <v>1</v>
      </c>
      <c r="R552" s="3192">
        <f t="shared" ca="1" si="103"/>
        <v>13443</v>
      </c>
      <c r="S552" s="898">
        <f t="shared" ca="1" si="104"/>
        <v>68</v>
      </c>
      <c r="T552" s="3190">
        <f>面积表!A547</f>
        <v>0</v>
      </c>
    </row>
    <row r="553" spans="1:20">
      <c r="A553" s="3169" t="str">
        <f>面积表!D548</f>
        <v>613</v>
      </c>
      <c r="B553" s="52">
        <f>面积表!E548</f>
        <v>50.33</v>
      </c>
      <c r="C553" s="3192">
        <f t="shared" si="95"/>
        <v>1</v>
      </c>
      <c r="D553" s="2559" t="s">
        <v>4016</v>
      </c>
      <c r="E553" s="3192">
        <f t="shared" si="96"/>
        <v>1</v>
      </c>
      <c r="F553" s="631" t="s">
        <v>3815</v>
      </c>
      <c r="G553" s="3192">
        <f t="shared" si="97"/>
        <v>0.95</v>
      </c>
      <c r="H553" s="631">
        <v>3</v>
      </c>
      <c r="I553" s="3192">
        <f t="shared" si="98"/>
        <v>1</v>
      </c>
      <c r="J553" s="631"/>
      <c r="K553" s="3192">
        <f t="shared" si="99"/>
        <v>1</v>
      </c>
      <c r="L553" s="631"/>
      <c r="M553" s="3192">
        <f t="shared" si="100"/>
        <v>1</v>
      </c>
      <c r="N553" s="631"/>
      <c r="O553" s="3192">
        <f t="shared" si="101"/>
        <v>1</v>
      </c>
      <c r="P553" s="631" t="s">
        <v>3409</v>
      </c>
      <c r="Q553" s="3192">
        <f t="shared" si="102"/>
        <v>1</v>
      </c>
      <c r="R553" s="3192">
        <f t="shared" ca="1" si="103"/>
        <v>13443</v>
      </c>
      <c r="S553" s="898">
        <f t="shared" ca="1" si="104"/>
        <v>68</v>
      </c>
      <c r="T553" s="3190">
        <f>面积表!A548</f>
        <v>0</v>
      </c>
    </row>
    <row r="554" spans="1:20">
      <c r="A554" s="3169" t="str">
        <f>面积表!D549</f>
        <v>614</v>
      </c>
      <c r="B554" s="52">
        <f>面积表!E549</f>
        <v>50.33</v>
      </c>
      <c r="C554" s="3192">
        <f t="shared" si="95"/>
        <v>1</v>
      </c>
      <c r="D554" s="2559" t="s">
        <v>4016</v>
      </c>
      <c r="E554" s="3192">
        <f t="shared" si="96"/>
        <v>1</v>
      </c>
      <c r="F554" s="631" t="s">
        <v>3815</v>
      </c>
      <c r="G554" s="3192">
        <f t="shared" si="97"/>
        <v>0.95</v>
      </c>
      <c r="H554" s="631">
        <v>3</v>
      </c>
      <c r="I554" s="3192">
        <f t="shared" si="98"/>
        <v>1</v>
      </c>
      <c r="J554" s="631"/>
      <c r="K554" s="3192">
        <f t="shared" si="99"/>
        <v>1</v>
      </c>
      <c r="L554" s="631"/>
      <c r="M554" s="3192">
        <f t="shared" si="100"/>
        <v>1</v>
      </c>
      <c r="N554" s="631"/>
      <c r="O554" s="3192">
        <f t="shared" si="101"/>
        <v>1</v>
      </c>
      <c r="P554" s="631" t="s">
        <v>3409</v>
      </c>
      <c r="Q554" s="3192">
        <f t="shared" si="102"/>
        <v>1</v>
      </c>
      <c r="R554" s="3192">
        <f t="shared" ca="1" si="103"/>
        <v>13443</v>
      </c>
      <c r="S554" s="898">
        <f t="shared" ca="1" si="104"/>
        <v>68</v>
      </c>
      <c r="T554" s="3190">
        <f>面积表!A549</f>
        <v>0</v>
      </c>
    </row>
    <row r="555" spans="1:20">
      <c r="A555" s="3169" t="str">
        <f>面积表!D550</f>
        <v>615</v>
      </c>
      <c r="B555" s="52">
        <f>面积表!E550</f>
        <v>50.33</v>
      </c>
      <c r="C555" s="3192">
        <f t="shared" si="95"/>
        <v>1</v>
      </c>
      <c r="D555" s="2559" t="s">
        <v>4016</v>
      </c>
      <c r="E555" s="3192">
        <f t="shared" si="96"/>
        <v>1</v>
      </c>
      <c r="F555" s="631" t="s">
        <v>3815</v>
      </c>
      <c r="G555" s="3192">
        <f t="shared" si="97"/>
        <v>0.95</v>
      </c>
      <c r="H555" s="631">
        <v>3</v>
      </c>
      <c r="I555" s="3192">
        <f t="shared" si="98"/>
        <v>1</v>
      </c>
      <c r="J555" s="631"/>
      <c r="K555" s="3192">
        <f t="shared" si="99"/>
        <v>1</v>
      </c>
      <c r="L555" s="631"/>
      <c r="M555" s="3192">
        <f t="shared" si="100"/>
        <v>1</v>
      </c>
      <c r="N555" s="631"/>
      <c r="O555" s="3192">
        <f t="shared" si="101"/>
        <v>1</v>
      </c>
      <c r="P555" s="631" t="s">
        <v>3409</v>
      </c>
      <c r="Q555" s="3192">
        <f t="shared" si="102"/>
        <v>1</v>
      </c>
      <c r="R555" s="3192">
        <f t="shared" ca="1" si="103"/>
        <v>13443</v>
      </c>
      <c r="S555" s="898">
        <f t="shared" ca="1" si="104"/>
        <v>68</v>
      </c>
      <c r="T555" s="3190">
        <f>面积表!A550</f>
        <v>0</v>
      </c>
    </row>
    <row r="556" spans="1:20">
      <c r="A556" s="3169" t="str">
        <f>面积表!D551</f>
        <v>616</v>
      </c>
      <c r="B556" s="52">
        <f>面积表!E551</f>
        <v>69.77</v>
      </c>
      <c r="C556" s="3192">
        <f t="shared" si="95"/>
        <v>1.01</v>
      </c>
      <c r="D556" s="2559" t="s">
        <v>4016</v>
      </c>
      <c r="E556" s="3192">
        <f t="shared" si="96"/>
        <v>1</v>
      </c>
      <c r="F556" s="631" t="s">
        <v>3815</v>
      </c>
      <c r="G556" s="3192">
        <f t="shared" si="97"/>
        <v>0.95</v>
      </c>
      <c r="H556" s="631">
        <v>3</v>
      </c>
      <c r="I556" s="3192">
        <f t="shared" si="98"/>
        <v>1</v>
      </c>
      <c r="J556" s="631"/>
      <c r="K556" s="3192">
        <f t="shared" si="99"/>
        <v>1</v>
      </c>
      <c r="L556" s="631"/>
      <c r="M556" s="3192">
        <f t="shared" si="100"/>
        <v>1</v>
      </c>
      <c r="N556" s="631"/>
      <c r="O556" s="3192">
        <f t="shared" si="101"/>
        <v>1</v>
      </c>
      <c r="P556" s="631" t="s">
        <v>3409</v>
      </c>
      <c r="Q556" s="3192">
        <f t="shared" si="102"/>
        <v>1</v>
      </c>
      <c r="R556" s="3192">
        <f t="shared" ca="1" si="103"/>
        <v>13577</v>
      </c>
      <c r="S556" s="898">
        <f t="shared" ca="1" si="104"/>
        <v>95</v>
      </c>
      <c r="T556" s="3190">
        <f>面积表!A551</f>
        <v>0</v>
      </c>
    </row>
    <row r="557" spans="1:20">
      <c r="A557" s="3169" t="str">
        <f>面积表!D552</f>
        <v>617</v>
      </c>
      <c r="B557" s="52">
        <f>面积表!E552</f>
        <v>38.65</v>
      </c>
      <c r="C557" s="3192">
        <f t="shared" si="95"/>
        <v>1</v>
      </c>
      <c r="D557" s="2559" t="s">
        <v>4016</v>
      </c>
      <c r="E557" s="3192">
        <f t="shared" si="96"/>
        <v>1</v>
      </c>
      <c r="F557" s="631" t="s">
        <v>3815</v>
      </c>
      <c r="G557" s="3192">
        <f t="shared" si="97"/>
        <v>0.95</v>
      </c>
      <c r="H557" s="631">
        <v>3</v>
      </c>
      <c r="I557" s="3192">
        <f t="shared" si="98"/>
        <v>1</v>
      </c>
      <c r="J557" s="631"/>
      <c r="K557" s="3192">
        <f t="shared" si="99"/>
        <v>1</v>
      </c>
      <c r="L557" s="631"/>
      <c r="M557" s="3192">
        <f t="shared" si="100"/>
        <v>1</v>
      </c>
      <c r="N557" s="631"/>
      <c r="O557" s="3192">
        <f t="shared" si="101"/>
        <v>1</v>
      </c>
      <c r="P557" s="631" t="s">
        <v>3409</v>
      </c>
      <c r="Q557" s="3192">
        <f t="shared" si="102"/>
        <v>1</v>
      </c>
      <c r="R557" s="3192">
        <f t="shared" ca="1" si="103"/>
        <v>13443</v>
      </c>
      <c r="S557" s="898">
        <f t="shared" ca="1" si="104"/>
        <v>52</v>
      </c>
      <c r="T557" s="3190">
        <f>面积表!A552</f>
        <v>0</v>
      </c>
    </row>
    <row r="558" spans="1:20">
      <c r="A558" s="3169" t="str">
        <f>面积表!D553</f>
        <v>618</v>
      </c>
      <c r="B558" s="52">
        <f>面积表!E553</f>
        <v>41.99</v>
      </c>
      <c r="C558" s="3192">
        <f t="shared" si="95"/>
        <v>1</v>
      </c>
      <c r="D558" s="2559" t="s">
        <v>4016</v>
      </c>
      <c r="E558" s="3192">
        <f t="shared" si="96"/>
        <v>1</v>
      </c>
      <c r="F558" s="631" t="s">
        <v>3815</v>
      </c>
      <c r="G558" s="3192">
        <f t="shared" si="97"/>
        <v>0.95</v>
      </c>
      <c r="H558" s="631">
        <v>3</v>
      </c>
      <c r="I558" s="3192">
        <f t="shared" si="98"/>
        <v>1</v>
      </c>
      <c r="J558" s="631"/>
      <c r="K558" s="3192">
        <f t="shared" si="99"/>
        <v>1</v>
      </c>
      <c r="L558" s="631"/>
      <c r="M558" s="3192">
        <f t="shared" si="100"/>
        <v>1</v>
      </c>
      <c r="N558" s="631"/>
      <c r="O558" s="3192">
        <f t="shared" si="101"/>
        <v>1</v>
      </c>
      <c r="P558" s="631" t="s">
        <v>3409</v>
      </c>
      <c r="Q558" s="3192">
        <f t="shared" si="102"/>
        <v>1</v>
      </c>
      <c r="R558" s="3192">
        <f t="shared" ca="1" si="103"/>
        <v>13443</v>
      </c>
      <c r="S558" s="898">
        <f t="shared" ca="1" si="104"/>
        <v>56</v>
      </c>
      <c r="T558" s="3190">
        <f>面积表!A553</f>
        <v>0</v>
      </c>
    </row>
    <row r="559" spans="1:20">
      <c r="A559" s="3169" t="str">
        <f>面积表!D554</f>
        <v>619</v>
      </c>
      <c r="B559" s="52">
        <f>面积表!E554</f>
        <v>44.72</v>
      </c>
      <c r="C559" s="3192">
        <f t="shared" si="95"/>
        <v>1</v>
      </c>
      <c r="D559" s="2559" t="s">
        <v>4016</v>
      </c>
      <c r="E559" s="3192">
        <f t="shared" si="96"/>
        <v>1</v>
      </c>
      <c r="F559" s="631" t="s">
        <v>3815</v>
      </c>
      <c r="G559" s="3192">
        <f t="shared" si="97"/>
        <v>0.95</v>
      </c>
      <c r="H559" s="631">
        <v>3</v>
      </c>
      <c r="I559" s="3192">
        <f t="shared" si="98"/>
        <v>1</v>
      </c>
      <c r="J559" s="631"/>
      <c r="K559" s="3192">
        <f t="shared" si="99"/>
        <v>1</v>
      </c>
      <c r="L559" s="631"/>
      <c r="M559" s="3192">
        <f t="shared" si="100"/>
        <v>1</v>
      </c>
      <c r="N559" s="631"/>
      <c r="O559" s="3192">
        <f t="shared" si="101"/>
        <v>1</v>
      </c>
      <c r="P559" s="631" t="s">
        <v>3409</v>
      </c>
      <c r="Q559" s="3192">
        <f t="shared" si="102"/>
        <v>1</v>
      </c>
      <c r="R559" s="3192">
        <f t="shared" ca="1" si="103"/>
        <v>13443</v>
      </c>
      <c r="S559" s="898">
        <f t="shared" ca="1" si="104"/>
        <v>60</v>
      </c>
      <c r="T559" s="3190">
        <f>面积表!A554</f>
        <v>0</v>
      </c>
    </row>
    <row r="560" spans="1:20">
      <c r="A560" s="3169" t="str">
        <f>面积表!D555</f>
        <v>620</v>
      </c>
      <c r="B560" s="52">
        <f>面积表!E555</f>
        <v>46.83</v>
      </c>
      <c r="C560" s="3192">
        <f t="shared" si="95"/>
        <v>1</v>
      </c>
      <c r="D560" s="2559" t="s">
        <v>4016</v>
      </c>
      <c r="E560" s="3192">
        <f t="shared" si="96"/>
        <v>1</v>
      </c>
      <c r="F560" s="631" t="s">
        <v>3815</v>
      </c>
      <c r="G560" s="3192">
        <f t="shared" si="97"/>
        <v>0.95</v>
      </c>
      <c r="H560" s="631">
        <v>3</v>
      </c>
      <c r="I560" s="3192">
        <f t="shared" si="98"/>
        <v>1</v>
      </c>
      <c r="J560" s="631"/>
      <c r="K560" s="3192">
        <f t="shared" si="99"/>
        <v>1</v>
      </c>
      <c r="L560" s="631"/>
      <c r="M560" s="3192">
        <f t="shared" si="100"/>
        <v>1</v>
      </c>
      <c r="N560" s="631"/>
      <c r="O560" s="3192">
        <f t="shared" si="101"/>
        <v>1</v>
      </c>
      <c r="P560" s="631" t="s">
        <v>3409</v>
      </c>
      <c r="Q560" s="3192">
        <f t="shared" si="102"/>
        <v>1</v>
      </c>
      <c r="R560" s="3192">
        <f t="shared" ca="1" si="103"/>
        <v>13443</v>
      </c>
      <c r="S560" s="898">
        <f t="shared" ca="1" si="104"/>
        <v>63</v>
      </c>
      <c r="T560" s="3190">
        <f>面积表!A555</f>
        <v>0</v>
      </c>
    </row>
    <row r="561" spans="1:20">
      <c r="A561" s="3169" t="str">
        <f>面积表!D556</f>
        <v>621</v>
      </c>
      <c r="B561" s="52">
        <f>面积表!E556</f>
        <v>48.33</v>
      </c>
      <c r="C561" s="3192">
        <f t="shared" si="95"/>
        <v>1</v>
      </c>
      <c r="D561" s="2559" t="s">
        <v>4016</v>
      </c>
      <c r="E561" s="3192">
        <f t="shared" si="96"/>
        <v>1</v>
      </c>
      <c r="F561" s="631" t="s">
        <v>3815</v>
      </c>
      <c r="G561" s="3192">
        <f t="shared" si="97"/>
        <v>0.95</v>
      </c>
      <c r="H561" s="631">
        <v>3</v>
      </c>
      <c r="I561" s="3192">
        <f t="shared" si="98"/>
        <v>1</v>
      </c>
      <c r="J561" s="631"/>
      <c r="K561" s="3192">
        <f t="shared" si="99"/>
        <v>1</v>
      </c>
      <c r="L561" s="631"/>
      <c r="M561" s="3192">
        <f t="shared" si="100"/>
        <v>1</v>
      </c>
      <c r="N561" s="631"/>
      <c r="O561" s="3192">
        <f t="shared" si="101"/>
        <v>1</v>
      </c>
      <c r="P561" s="631" t="s">
        <v>3409</v>
      </c>
      <c r="Q561" s="3192">
        <f t="shared" si="102"/>
        <v>1</v>
      </c>
      <c r="R561" s="3192">
        <f t="shared" ca="1" si="103"/>
        <v>13443</v>
      </c>
      <c r="S561" s="898">
        <f t="shared" ca="1" si="104"/>
        <v>65</v>
      </c>
      <c r="T561" s="3190">
        <f>面积表!A556</f>
        <v>0</v>
      </c>
    </row>
    <row r="562" spans="1:20">
      <c r="A562" s="3169" t="str">
        <f>面积表!D557</f>
        <v>622</v>
      </c>
      <c r="B562" s="52">
        <f>面积表!E557</f>
        <v>49.3</v>
      </c>
      <c r="C562" s="3192">
        <f t="shared" si="95"/>
        <v>1</v>
      </c>
      <c r="D562" s="2559" t="s">
        <v>4016</v>
      </c>
      <c r="E562" s="3192">
        <f t="shared" si="96"/>
        <v>1</v>
      </c>
      <c r="F562" s="631" t="s">
        <v>3815</v>
      </c>
      <c r="G562" s="3192">
        <f t="shared" si="97"/>
        <v>0.95</v>
      </c>
      <c r="H562" s="631">
        <v>3</v>
      </c>
      <c r="I562" s="3192">
        <f t="shared" si="98"/>
        <v>1</v>
      </c>
      <c r="J562" s="631"/>
      <c r="K562" s="3192">
        <f t="shared" si="99"/>
        <v>1</v>
      </c>
      <c r="L562" s="631"/>
      <c r="M562" s="3192">
        <f t="shared" si="100"/>
        <v>1</v>
      </c>
      <c r="N562" s="631"/>
      <c r="O562" s="3192">
        <f t="shared" si="101"/>
        <v>1</v>
      </c>
      <c r="P562" s="631" t="s">
        <v>3409</v>
      </c>
      <c r="Q562" s="3192">
        <f t="shared" si="102"/>
        <v>1</v>
      </c>
      <c r="R562" s="3192">
        <f t="shared" ca="1" si="103"/>
        <v>13443</v>
      </c>
      <c r="S562" s="898">
        <f t="shared" ca="1" si="104"/>
        <v>66</v>
      </c>
      <c r="T562" s="3190">
        <f>面积表!A557</f>
        <v>0</v>
      </c>
    </row>
    <row r="563" spans="1:20">
      <c r="A563" s="3169" t="str">
        <f>面积表!D558</f>
        <v>623</v>
      </c>
      <c r="B563" s="52">
        <f>面积表!E558</f>
        <v>49.59</v>
      </c>
      <c r="C563" s="3192">
        <f t="shared" si="95"/>
        <v>1</v>
      </c>
      <c r="D563" s="2559" t="s">
        <v>4016</v>
      </c>
      <c r="E563" s="3192">
        <f t="shared" si="96"/>
        <v>1</v>
      </c>
      <c r="F563" s="631" t="s">
        <v>3815</v>
      </c>
      <c r="G563" s="3192">
        <f t="shared" si="97"/>
        <v>0.95</v>
      </c>
      <c r="H563" s="631">
        <v>3</v>
      </c>
      <c r="I563" s="3192">
        <f t="shared" si="98"/>
        <v>1</v>
      </c>
      <c r="J563" s="631"/>
      <c r="K563" s="3192">
        <f t="shared" si="99"/>
        <v>1</v>
      </c>
      <c r="L563" s="631"/>
      <c r="M563" s="3192">
        <f t="shared" si="100"/>
        <v>1</v>
      </c>
      <c r="N563" s="631"/>
      <c r="O563" s="3192">
        <f t="shared" si="101"/>
        <v>1</v>
      </c>
      <c r="P563" s="631" t="s">
        <v>3409</v>
      </c>
      <c r="Q563" s="3192">
        <f t="shared" si="102"/>
        <v>1</v>
      </c>
      <c r="R563" s="3192">
        <f t="shared" ca="1" si="103"/>
        <v>13443</v>
      </c>
      <c r="S563" s="898">
        <f t="shared" ca="1" si="104"/>
        <v>67</v>
      </c>
      <c r="T563" s="3190">
        <f>面积表!A558</f>
        <v>0</v>
      </c>
    </row>
    <row r="564" spans="1:20">
      <c r="A564" s="3169" t="str">
        <f>面积表!D559</f>
        <v>624</v>
      </c>
      <c r="B564" s="52">
        <f>面积表!E559</f>
        <v>49.28</v>
      </c>
      <c r="C564" s="3192">
        <f t="shared" si="95"/>
        <v>1</v>
      </c>
      <c r="D564" s="2559" t="s">
        <v>4016</v>
      </c>
      <c r="E564" s="3192">
        <f t="shared" si="96"/>
        <v>1</v>
      </c>
      <c r="F564" s="631" t="s">
        <v>3815</v>
      </c>
      <c r="G564" s="3192">
        <f t="shared" si="97"/>
        <v>0.95</v>
      </c>
      <c r="H564" s="631">
        <v>3</v>
      </c>
      <c r="I564" s="3192">
        <f t="shared" si="98"/>
        <v>1</v>
      </c>
      <c r="J564" s="631"/>
      <c r="K564" s="3192">
        <f t="shared" si="99"/>
        <v>1</v>
      </c>
      <c r="L564" s="631"/>
      <c r="M564" s="3192">
        <f t="shared" si="100"/>
        <v>1</v>
      </c>
      <c r="N564" s="631"/>
      <c r="O564" s="3192">
        <f t="shared" si="101"/>
        <v>1</v>
      </c>
      <c r="P564" s="631" t="s">
        <v>3409</v>
      </c>
      <c r="Q564" s="3192">
        <f t="shared" si="102"/>
        <v>1</v>
      </c>
      <c r="R564" s="3192">
        <f t="shared" ca="1" si="103"/>
        <v>13443</v>
      </c>
      <c r="S564" s="898">
        <f t="shared" ca="1" si="104"/>
        <v>66</v>
      </c>
      <c r="T564" s="3190">
        <f>面积表!A559</f>
        <v>0</v>
      </c>
    </row>
    <row r="565" spans="1:20">
      <c r="A565" s="3169" t="str">
        <f>面积表!D560</f>
        <v>625</v>
      </c>
      <c r="B565" s="52">
        <f>面积表!E560</f>
        <v>48.41</v>
      </c>
      <c r="C565" s="3192">
        <f t="shared" si="95"/>
        <v>1</v>
      </c>
      <c r="D565" s="2559" t="s">
        <v>4016</v>
      </c>
      <c r="E565" s="3192">
        <f t="shared" si="96"/>
        <v>1</v>
      </c>
      <c r="F565" s="631" t="s">
        <v>3815</v>
      </c>
      <c r="G565" s="3192">
        <f t="shared" si="97"/>
        <v>0.95</v>
      </c>
      <c r="H565" s="631">
        <v>3</v>
      </c>
      <c r="I565" s="3192">
        <f t="shared" si="98"/>
        <v>1</v>
      </c>
      <c r="J565" s="631"/>
      <c r="K565" s="3192">
        <f t="shared" si="99"/>
        <v>1</v>
      </c>
      <c r="L565" s="631"/>
      <c r="M565" s="3192">
        <f t="shared" si="100"/>
        <v>1</v>
      </c>
      <c r="N565" s="631"/>
      <c r="O565" s="3192">
        <f t="shared" si="101"/>
        <v>1</v>
      </c>
      <c r="P565" s="631" t="s">
        <v>3409</v>
      </c>
      <c r="Q565" s="3192">
        <f t="shared" si="102"/>
        <v>1</v>
      </c>
      <c r="R565" s="3192">
        <f t="shared" ca="1" si="103"/>
        <v>13443</v>
      </c>
      <c r="S565" s="898">
        <f t="shared" ca="1" si="104"/>
        <v>65</v>
      </c>
      <c r="T565" s="3190">
        <f>面积表!A560</f>
        <v>0</v>
      </c>
    </row>
    <row r="566" spans="1:20">
      <c r="A566" s="3169" t="str">
        <f>面积表!D561</f>
        <v>626</v>
      </c>
      <c r="B566" s="52">
        <f>面积表!E561</f>
        <v>47.44</v>
      </c>
      <c r="C566" s="3192">
        <f t="shared" si="95"/>
        <v>1</v>
      </c>
      <c r="D566" s="2559" t="s">
        <v>4016</v>
      </c>
      <c r="E566" s="3192">
        <f t="shared" si="96"/>
        <v>1</v>
      </c>
      <c r="F566" s="631" t="s">
        <v>3815</v>
      </c>
      <c r="G566" s="3192">
        <f t="shared" si="97"/>
        <v>0.95</v>
      </c>
      <c r="H566" s="631">
        <v>3</v>
      </c>
      <c r="I566" s="3192">
        <f t="shared" si="98"/>
        <v>1</v>
      </c>
      <c r="J566" s="631"/>
      <c r="K566" s="3192">
        <f t="shared" si="99"/>
        <v>1</v>
      </c>
      <c r="L566" s="631"/>
      <c r="M566" s="3192">
        <f t="shared" si="100"/>
        <v>1</v>
      </c>
      <c r="N566" s="631"/>
      <c r="O566" s="3192">
        <f t="shared" si="101"/>
        <v>1</v>
      </c>
      <c r="P566" s="631" t="s">
        <v>3409</v>
      </c>
      <c r="Q566" s="3192">
        <f t="shared" si="102"/>
        <v>1</v>
      </c>
      <c r="R566" s="3192">
        <f t="shared" ca="1" si="103"/>
        <v>13443</v>
      </c>
      <c r="S566" s="898">
        <f t="shared" ca="1" si="104"/>
        <v>64</v>
      </c>
      <c r="T566" s="3190">
        <f>面积表!A561</f>
        <v>0</v>
      </c>
    </row>
    <row r="567" spans="1:20">
      <c r="A567" s="3169" t="str">
        <f>面积表!D562</f>
        <v>701</v>
      </c>
      <c r="B567" s="52">
        <f>面积表!E562</f>
        <v>52.2</v>
      </c>
      <c r="C567" s="3192">
        <f t="shared" si="95"/>
        <v>1</v>
      </c>
      <c r="D567" s="2559" t="s">
        <v>4016</v>
      </c>
      <c r="E567" s="3192">
        <f t="shared" si="96"/>
        <v>1</v>
      </c>
      <c r="F567" s="631" t="s">
        <v>3815</v>
      </c>
      <c r="G567" s="3192">
        <f t="shared" si="97"/>
        <v>0.95</v>
      </c>
      <c r="H567" s="631">
        <v>3</v>
      </c>
      <c r="I567" s="3192">
        <f t="shared" si="98"/>
        <v>1</v>
      </c>
      <c r="J567" s="631"/>
      <c r="K567" s="3192">
        <f t="shared" si="99"/>
        <v>1</v>
      </c>
      <c r="L567" s="631"/>
      <c r="M567" s="3192">
        <f t="shared" si="100"/>
        <v>1</v>
      </c>
      <c r="N567" s="631"/>
      <c r="O567" s="3192">
        <f t="shared" si="101"/>
        <v>1</v>
      </c>
      <c r="P567" s="631" t="s">
        <v>3409</v>
      </c>
      <c r="Q567" s="3192">
        <f t="shared" si="102"/>
        <v>1</v>
      </c>
      <c r="R567" s="3192">
        <f t="shared" ca="1" si="103"/>
        <v>13443</v>
      </c>
      <c r="S567" s="898">
        <f t="shared" ca="1" si="104"/>
        <v>70</v>
      </c>
      <c r="T567" s="3190">
        <f>面积表!A562</f>
        <v>0</v>
      </c>
    </row>
    <row r="568" spans="1:20">
      <c r="A568" s="3169" t="str">
        <f>面积表!D563</f>
        <v>702</v>
      </c>
      <c r="B568" s="52">
        <f>面积表!E563</f>
        <v>50.33</v>
      </c>
      <c r="C568" s="3192">
        <f t="shared" si="95"/>
        <v>1</v>
      </c>
      <c r="D568" s="2559" t="s">
        <v>4016</v>
      </c>
      <c r="E568" s="3192">
        <f t="shared" si="96"/>
        <v>1</v>
      </c>
      <c r="F568" s="631" t="s">
        <v>3815</v>
      </c>
      <c r="G568" s="3192">
        <f t="shared" si="97"/>
        <v>0.95</v>
      </c>
      <c r="H568" s="631">
        <v>3</v>
      </c>
      <c r="I568" s="3192">
        <f t="shared" si="98"/>
        <v>1</v>
      </c>
      <c r="J568" s="631"/>
      <c r="K568" s="3192">
        <f t="shared" si="99"/>
        <v>1</v>
      </c>
      <c r="L568" s="631"/>
      <c r="M568" s="3192">
        <f t="shared" si="100"/>
        <v>1</v>
      </c>
      <c r="N568" s="631"/>
      <c r="O568" s="3192">
        <f t="shared" si="101"/>
        <v>1</v>
      </c>
      <c r="P568" s="631" t="s">
        <v>3409</v>
      </c>
      <c r="Q568" s="3192">
        <f t="shared" si="102"/>
        <v>1</v>
      </c>
      <c r="R568" s="3192">
        <f t="shared" ca="1" si="103"/>
        <v>13443</v>
      </c>
      <c r="S568" s="898">
        <f t="shared" ca="1" si="104"/>
        <v>68</v>
      </c>
      <c r="T568" s="3190">
        <f>面积表!A563</f>
        <v>0</v>
      </c>
    </row>
    <row r="569" spans="1:20">
      <c r="A569" s="3169" t="str">
        <f>面积表!D564</f>
        <v>703</v>
      </c>
      <c r="B569" s="52">
        <f>面积表!E564</f>
        <v>50.33</v>
      </c>
      <c r="C569" s="3192">
        <f t="shared" si="95"/>
        <v>1</v>
      </c>
      <c r="D569" s="2559" t="s">
        <v>4016</v>
      </c>
      <c r="E569" s="3192">
        <f t="shared" si="96"/>
        <v>1</v>
      </c>
      <c r="F569" s="631" t="s">
        <v>3815</v>
      </c>
      <c r="G569" s="3192">
        <f t="shared" si="97"/>
        <v>0.95</v>
      </c>
      <c r="H569" s="631">
        <v>3</v>
      </c>
      <c r="I569" s="3192">
        <f t="shared" si="98"/>
        <v>1</v>
      </c>
      <c r="J569" s="631"/>
      <c r="K569" s="3192">
        <f t="shared" si="99"/>
        <v>1</v>
      </c>
      <c r="L569" s="631"/>
      <c r="M569" s="3192">
        <f t="shared" si="100"/>
        <v>1</v>
      </c>
      <c r="N569" s="631"/>
      <c r="O569" s="3192">
        <f t="shared" si="101"/>
        <v>1</v>
      </c>
      <c r="P569" s="631" t="s">
        <v>3409</v>
      </c>
      <c r="Q569" s="3192">
        <f t="shared" si="102"/>
        <v>1</v>
      </c>
      <c r="R569" s="3192">
        <f t="shared" ca="1" si="103"/>
        <v>13443</v>
      </c>
      <c r="S569" s="898">
        <f t="shared" ca="1" si="104"/>
        <v>68</v>
      </c>
      <c r="T569" s="3190">
        <f>面积表!A564</f>
        <v>0</v>
      </c>
    </row>
    <row r="570" spans="1:20">
      <c r="A570" s="3169" t="str">
        <f>面积表!D565</f>
        <v>704</v>
      </c>
      <c r="B570" s="52">
        <f>面积表!E565</f>
        <v>50.33</v>
      </c>
      <c r="C570" s="3192">
        <f t="shared" si="95"/>
        <v>1</v>
      </c>
      <c r="D570" s="2559" t="s">
        <v>4016</v>
      </c>
      <c r="E570" s="3192">
        <f t="shared" si="96"/>
        <v>1</v>
      </c>
      <c r="F570" s="631" t="s">
        <v>3815</v>
      </c>
      <c r="G570" s="3192">
        <f t="shared" si="97"/>
        <v>0.95</v>
      </c>
      <c r="H570" s="631">
        <v>3</v>
      </c>
      <c r="I570" s="3192">
        <f t="shared" si="98"/>
        <v>1</v>
      </c>
      <c r="J570" s="631"/>
      <c r="K570" s="3192">
        <f t="shared" si="99"/>
        <v>1</v>
      </c>
      <c r="L570" s="631"/>
      <c r="M570" s="3192">
        <f t="shared" si="100"/>
        <v>1</v>
      </c>
      <c r="N570" s="631"/>
      <c r="O570" s="3192">
        <f t="shared" si="101"/>
        <v>1</v>
      </c>
      <c r="P570" s="631" t="s">
        <v>3409</v>
      </c>
      <c r="Q570" s="3192">
        <f t="shared" si="102"/>
        <v>1</v>
      </c>
      <c r="R570" s="3192">
        <f t="shared" ca="1" si="103"/>
        <v>13443</v>
      </c>
      <c r="S570" s="898">
        <f t="shared" ca="1" si="104"/>
        <v>68</v>
      </c>
      <c r="T570" s="3190">
        <f>面积表!A565</f>
        <v>0</v>
      </c>
    </row>
    <row r="571" spans="1:20">
      <c r="A571" s="3169" t="str">
        <f>面积表!D566</f>
        <v>705</v>
      </c>
      <c r="B571" s="52">
        <f>面积表!E566</f>
        <v>50.33</v>
      </c>
      <c r="C571" s="3192">
        <f t="shared" si="95"/>
        <v>1</v>
      </c>
      <c r="D571" s="2559" t="s">
        <v>4016</v>
      </c>
      <c r="E571" s="3192">
        <f t="shared" si="96"/>
        <v>1</v>
      </c>
      <c r="F571" s="631" t="s">
        <v>3815</v>
      </c>
      <c r="G571" s="3192">
        <f t="shared" si="97"/>
        <v>0.95</v>
      </c>
      <c r="H571" s="631">
        <v>3</v>
      </c>
      <c r="I571" s="3192">
        <f t="shared" si="98"/>
        <v>1</v>
      </c>
      <c r="J571" s="631"/>
      <c r="K571" s="3192">
        <f t="shared" si="99"/>
        <v>1</v>
      </c>
      <c r="L571" s="631"/>
      <c r="M571" s="3192">
        <f t="shared" si="100"/>
        <v>1</v>
      </c>
      <c r="N571" s="631"/>
      <c r="O571" s="3192">
        <f t="shared" si="101"/>
        <v>1</v>
      </c>
      <c r="P571" s="631" t="s">
        <v>3409</v>
      </c>
      <c r="Q571" s="3192">
        <f t="shared" si="102"/>
        <v>1</v>
      </c>
      <c r="R571" s="3192">
        <f t="shared" ca="1" si="103"/>
        <v>13443</v>
      </c>
      <c r="S571" s="898">
        <f t="shared" ca="1" si="104"/>
        <v>68</v>
      </c>
      <c r="T571" s="3190">
        <f>面积表!A566</f>
        <v>0</v>
      </c>
    </row>
    <row r="572" spans="1:20">
      <c r="A572" s="3169" t="str">
        <f>面积表!D567</f>
        <v>706</v>
      </c>
      <c r="B572" s="52">
        <f>面积表!E567</f>
        <v>50.33</v>
      </c>
      <c r="C572" s="3192">
        <f t="shared" si="95"/>
        <v>1</v>
      </c>
      <c r="D572" s="2559" t="s">
        <v>4016</v>
      </c>
      <c r="E572" s="3192">
        <f t="shared" si="96"/>
        <v>1</v>
      </c>
      <c r="F572" s="631" t="s">
        <v>3815</v>
      </c>
      <c r="G572" s="3192">
        <f t="shared" si="97"/>
        <v>0.95</v>
      </c>
      <c r="H572" s="631">
        <v>3</v>
      </c>
      <c r="I572" s="3192">
        <f t="shared" si="98"/>
        <v>1</v>
      </c>
      <c r="J572" s="631"/>
      <c r="K572" s="3192">
        <f t="shared" si="99"/>
        <v>1</v>
      </c>
      <c r="L572" s="631"/>
      <c r="M572" s="3192">
        <f t="shared" si="100"/>
        <v>1</v>
      </c>
      <c r="N572" s="631"/>
      <c r="O572" s="3192">
        <f t="shared" si="101"/>
        <v>1</v>
      </c>
      <c r="P572" s="631" t="s">
        <v>3409</v>
      </c>
      <c r="Q572" s="3192">
        <f t="shared" si="102"/>
        <v>1</v>
      </c>
      <c r="R572" s="3192">
        <f t="shared" ca="1" si="103"/>
        <v>13443</v>
      </c>
      <c r="S572" s="898">
        <f t="shared" ca="1" si="104"/>
        <v>68</v>
      </c>
      <c r="T572" s="3190">
        <f>面积表!A567</f>
        <v>0</v>
      </c>
    </row>
    <row r="573" spans="1:20">
      <c r="A573" s="3169" t="str">
        <f>面积表!D568</f>
        <v>707</v>
      </c>
      <c r="B573" s="52">
        <f>面积表!E568</f>
        <v>50.33</v>
      </c>
      <c r="C573" s="3192">
        <f t="shared" si="95"/>
        <v>1</v>
      </c>
      <c r="D573" s="2559" t="s">
        <v>4016</v>
      </c>
      <c r="E573" s="3192">
        <f t="shared" si="96"/>
        <v>1</v>
      </c>
      <c r="F573" s="631" t="s">
        <v>3815</v>
      </c>
      <c r="G573" s="3192">
        <f t="shared" si="97"/>
        <v>0.95</v>
      </c>
      <c r="H573" s="631">
        <v>3</v>
      </c>
      <c r="I573" s="3192">
        <f t="shared" si="98"/>
        <v>1</v>
      </c>
      <c r="J573" s="631"/>
      <c r="K573" s="3192">
        <f t="shared" si="99"/>
        <v>1</v>
      </c>
      <c r="L573" s="631"/>
      <c r="M573" s="3192">
        <f t="shared" si="100"/>
        <v>1</v>
      </c>
      <c r="N573" s="631"/>
      <c r="O573" s="3192">
        <f t="shared" si="101"/>
        <v>1</v>
      </c>
      <c r="P573" s="631" t="s">
        <v>3409</v>
      </c>
      <c r="Q573" s="3192">
        <f t="shared" si="102"/>
        <v>1</v>
      </c>
      <c r="R573" s="3192">
        <f t="shared" ca="1" si="103"/>
        <v>13443</v>
      </c>
      <c r="S573" s="898">
        <f t="shared" ca="1" si="104"/>
        <v>68</v>
      </c>
      <c r="T573" s="3190">
        <f>面积表!A568</f>
        <v>0</v>
      </c>
    </row>
    <row r="574" spans="1:20">
      <c r="A574" s="3169" t="str">
        <f>面积表!D569</f>
        <v>708</v>
      </c>
      <c r="B574" s="52">
        <f>面积表!E569</f>
        <v>50.33</v>
      </c>
      <c r="C574" s="3192">
        <f t="shared" si="95"/>
        <v>1</v>
      </c>
      <c r="D574" s="2559" t="s">
        <v>4016</v>
      </c>
      <c r="E574" s="3192">
        <f t="shared" si="96"/>
        <v>1</v>
      </c>
      <c r="F574" s="631" t="s">
        <v>3815</v>
      </c>
      <c r="G574" s="3192">
        <f t="shared" si="97"/>
        <v>0.95</v>
      </c>
      <c r="H574" s="631">
        <v>3</v>
      </c>
      <c r="I574" s="3192">
        <f t="shared" si="98"/>
        <v>1</v>
      </c>
      <c r="J574" s="631"/>
      <c r="K574" s="3192">
        <f t="shared" si="99"/>
        <v>1</v>
      </c>
      <c r="L574" s="631"/>
      <c r="M574" s="3192">
        <f t="shared" si="100"/>
        <v>1</v>
      </c>
      <c r="N574" s="631"/>
      <c r="O574" s="3192">
        <f t="shared" si="101"/>
        <v>1</v>
      </c>
      <c r="P574" s="631" t="s">
        <v>3409</v>
      </c>
      <c r="Q574" s="3192">
        <f t="shared" si="102"/>
        <v>1</v>
      </c>
      <c r="R574" s="3192">
        <f t="shared" ca="1" si="103"/>
        <v>13443</v>
      </c>
      <c r="S574" s="898">
        <f t="shared" ca="1" si="104"/>
        <v>68</v>
      </c>
      <c r="T574" s="3190">
        <f>面积表!A569</f>
        <v>0</v>
      </c>
    </row>
    <row r="575" spans="1:20">
      <c r="A575" s="3169" t="str">
        <f>面积表!D570</f>
        <v>709</v>
      </c>
      <c r="B575" s="52">
        <f>面积表!E570</f>
        <v>50.33</v>
      </c>
      <c r="C575" s="3192">
        <f t="shared" si="95"/>
        <v>1</v>
      </c>
      <c r="D575" s="2559" t="s">
        <v>4016</v>
      </c>
      <c r="E575" s="3192">
        <f t="shared" si="96"/>
        <v>1</v>
      </c>
      <c r="F575" s="631" t="s">
        <v>3815</v>
      </c>
      <c r="G575" s="3192">
        <f t="shared" si="97"/>
        <v>0.95</v>
      </c>
      <c r="H575" s="631">
        <v>3</v>
      </c>
      <c r="I575" s="3192">
        <f t="shared" si="98"/>
        <v>1</v>
      </c>
      <c r="J575" s="631"/>
      <c r="K575" s="3192">
        <f t="shared" si="99"/>
        <v>1</v>
      </c>
      <c r="L575" s="631"/>
      <c r="M575" s="3192">
        <f t="shared" si="100"/>
        <v>1</v>
      </c>
      <c r="N575" s="631"/>
      <c r="O575" s="3192">
        <f t="shared" si="101"/>
        <v>1</v>
      </c>
      <c r="P575" s="631" t="s">
        <v>3409</v>
      </c>
      <c r="Q575" s="3192">
        <f t="shared" si="102"/>
        <v>1</v>
      </c>
      <c r="R575" s="3192">
        <f t="shared" ca="1" si="103"/>
        <v>13443</v>
      </c>
      <c r="S575" s="898">
        <f t="shared" ca="1" si="104"/>
        <v>68</v>
      </c>
      <c r="T575" s="3190">
        <f>面积表!A570</f>
        <v>0</v>
      </c>
    </row>
    <row r="576" spans="1:20">
      <c r="A576" s="3169" t="str">
        <f>面积表!D571</f>
        <v>710</v>
      </c>
      <c r="B576" s="52">
        <f>面积表!E571</f>
        <v>50.33</v>
      </c>
      <c r="C576" s="3192">
        <f t="shared" si="95"/>
        <v>1</v>
      </c>
      <c r="D576" s="2559" t="s">
        <v>4016</v>
      </c>
      <c r="E576" s="3192">
        <f t="shared" si="96"/>
        <v>1</v>
      </c>
      <c r="F576" s="631" t="s">
        <v>3815</v>
      </c>
      <c r="G576" s="3192">
        <f t="shared" si="97"/>
        <v>0.95</v>
      </c>
      <c r="H576" s="631">
        <v>3</v>
      </c>
      <c r="I576" s="3192">
        <f t="shared" si="98"/>
        <v>1</v>
      </c>
      <c r="J576" s="631"/>
      <c r="K576" s="3192">
        <f t="shared" si="99"/>
        <v>1</v>
      </c>
      <c r="L576" s="631"/>
      <c r="M576" s="3192">
        <f t="shared" si="100"/>
        <v>1</v>
      </c>
      <c r="N576" s="631"/>
      <c r="O576" s="3192">
        <f t="shared" si="101"/>
        <v>1</v>
      </c>
      <c r="P576" s="631" t="s">
        <v>3409</v>
      </c>
      <c r="Q576" s="3192">
        <f t="shared" si="102"/>
        <v>1</v>
      </c>
      <c r="R576" s="3192">
        <f t="shared" ca="1" si="103"/>
        <v>13443</v>
      </c>
      <c r="S576" s="898">
        <f t="shared" ca="1" si="104"/>
        <v>68</v>
      </c>
      <c r="T576" s="3190">
        <f>面积表!A571</f>
        <v>0</v>
      </c>
    </row>
    <row r="577" spans="1:20">
      <c r="A577" s="3169" t="str">
        <f>面积表!D572</f>
        <v>711</v>
      </c>
      <c r="B577" s="52">
        <f>面积表!E572</f>
        <v>50.33</v>
      </c>
      <c r="C577" s="3192">
        <f t="shared" si="95"/>
        <v>1</v>
      </c>
      <c r="D577" s="2559" t="s">
        <v>4016</v>
      </c>
      <c r="E577" s="3192">
        <f t="shared" si="96"/>
        <v>1</v>
      </c>
      <c r="F577" s="631" t="s">
        <v>3815</v>
      </c>
      <c r="G577" s="3192">
        <f t="shared" si="97"/>
        <v>0.95</v>
      </c>
      <c r="H577" s="631">
        <v>3</v>
      </c>
      <c r="I577" s="3192">
        <f t="shared" si="98"/>
        <v>1</v>
      </c>
      <c r="J577" s="631"/>
      <c r="K577" s="3192">
        <f t="shared" si="99"/>
        <v>1</v>
      </c>
      <c r="L577" s="631"/>
      <c r="M577" s="3192">
        <f t="shared" si="100"/>
        <v>1</v>
      </c>
      <c r="N577" s="631"/>
      <c r="O577" s="3192">
        <f t="shared" si="101"/>
        <v>1</v>
      </c>
      <c r="P577" s="631" t="s">
        <v>3409</v>
      </c>
      <c r="Q577" s="3192">
        <f t="shared" si="102"/>
        <v>1</v>
      </c>
      <c r="R577" s="3192">
        <f t="shared" ca="1" si="103"/>
        <v>13443</v>
      </c>
      <c r="S577" s="898">
        <f t="shared" ca="1" si="104"/>
        <v>68</v>
      </c>
      <c r="T577" s="3190">
        <f>面积表!A572</f>
        <v>0</v>
      </c>
    </row>
    <row r="578" spans="1:20">
      <c r="A578" s="3169" t="str">
        <f>面积表!D573</f>
        <v>712</v>
      </c>
      <c r="B578" s="52">
        <f>面积表!E573</f>
        <v>50.33</v>
      </c>
      <c r="C578" s="3192">
        <f t="shared" si="95"/>
        <v>1</v>
      </c>
      <c r="D578" s="2559" t="s">
        <v>4016</v>
      </c>
      <c r="E578" s="3192">
        <f t="shared" si="96"/>
        <v>1</v>
      </c>
      <c r="F578" s="631" t="s">
        <v>3815</v>
      </c>
      <c r="G578" s="3192">
        <f t="shared" si="97"/>
        <v>0.95</v>
      </c>
      <c r="H578" s="631">
        <v>3</v>
      </c>
      <c r="I578" s="3192">
        <f t="shared" si="98"/>
        <v>1</v>
      </c>
      <c r="J578" s="631"/>
      <c r="K578" s="3192">
        <f t="shared" si="99"/>
        <v>1</v>
      </c>
      <c r="L578" s="631"/>
      <c r="M578" s="3192">
        <f t="shared" si="100"/>
        <v>1</v>
      </c>
      <c r="N578" s="631"/>
      <c r="O578" s="3192">
        <f t="shared" si="101"/>
        <v>1</v>
      </c>
      <c r="P578" s="631" t="s">
        <v>3409</v>
      </c>
      <c r="Q578" s="3192">
        <f t="shared" si="102"/>
        <v>1</v>
      </c>
      <c r="R578" s="3192">
        <f t="shared" ca="1" si="103"/>
        <v>13443</v>
      </c>
      <c r="S578" s="898">
        <f t="shared" ca="1" si="104"/>
        <v>68</v>
      </c>
      <c r="T578" s="3190">
        <f>面积表!A573</f>
        <v>0</v>
      </c>
    </row>
    <row r="579" spans="1:20">
      <c r="A579" s="3169" t="str">
        <f>面积表!D574</f>
        <v>713</v>
      </c>
      <c r="B579" s="52">
        <f>面积表!E574</f>
        <v>50.33</v>
      </c>
      <c r="C579" s="3192">
        <f t="shared" si="95"/>
        <v>1</v>
      </c>
      <c r="D579" s="2559" t="s">
        <v>4016</v>
      </c>
      <c r="E579" s="3192">
        <f t="shared" si="96"/>
        <v>1</v>
      </c>
      <c r="F579" s="631" t="s">
        <v>3815</v>
      </c>
      <c r="G579" s="3192">
        <f t="shared" si="97"/>
        <v>0.95</v>
      </c>
      <c r="H579" s="631">
        <v>3</v>
      </c>
      <c r="I579" s="3192">
        <f t="shared" si="98"/>
        <v>1</v>
      </c>
      <c r="J579" s="631"/>
      <c r="K579" s="3192">
        <f t="shared" si="99"/>
        <v>1</v>
      </c>
      <c r="L579" s="631"/>
      <c r="M579" s="3192">
        <f t="shared" si="100"/>
        <v>1</v>
      </c>
      <c r="N579" s="631"/>
      <c r="O579" s="3192">
        <f t="shared" si="101"/>
        <v>1</v>
      </c>
      <c r="P579" s="631" t="s">
        <v>3409</v>
      </c>
      <c r="Q579" s="3192">
        <f t="shared" si="102"/>
        <v>1</v>
      </c>
      <c r="R579" s="3192">
        <f t="shared" ca="1" si="103"/>
        <v>13443</v>
      </c>
      <c r="S579" s="898">
        <f t="shared" ca="1" si="104"/>
        <v>68</v>
      </c>
      <c r="T579" s="3190">
        <f>面积表!A574</f>
        <v>0</v>
      </c>
    </row>
    <row r="580" spans="1:20">
      <c r="A580" s="3169" t="str">
        <f>面积表!D575</f>
        <v>714</v>
      </c>
      <c r="B580" s="52">
        <f>面积表!E575</f>
        <v>50.33</v>
      </c>
      <c r="C580" s="3192">
        <f t="shared" si="95"/>
        <v>1</v>
      </c>
      <c r="D580" s="2559" t="s">
        <v>4016</v>
      </c>
      <c r="E580" s="3192">
        <f t="shared" si="96"/>
        <v>1</v>
      </c>
      <c r="F580" s="631" t="s">
        <v>3815</v>
      </c>
      <c r="G580" s="3192">
        <f t="shared" si="97"/>
        <v>0.95</v>
      </c>
      <c r="H580" s="631">
        <v>3</v>
      </c>
      <c r="I580" s="3192">
        <f t="shared" si="98"/>
        <v>1</v>
      </c>
      <c r="J580" s="631"/>
      <c r="K580" s="3192">
        <f t="shared" si="99"/>
        <v>1</v>
      </c>
      <c r="L580" s="631"/>
      <c r="M580" s="3192">
        <f t="shared" si="100"/>
        <v>1</v>
      </c>
      <c r="N580" s="631"/>
      <c r="O580" s="3192">
        <f t="shared" si="101"/>
        <v>1</v>
      </c>
      <c r="P580" s="631" t="s">
        <v>3409</v>
      </c>
      <c r="Q580" s="3192">
        <f t="shared" si="102"/>
        <v>1</v>
      </c>
      <c r="R580" s="3192">
        <f t="shared" ca="1" si="103"/>
        <v>13443</v>
      </c>
      <c r="S580" s="898">
        <f t="shared" ca="1" si="104"/>
        <v>68</v>
      </c>
      <c r="T580" s="3190">
        <f>面积表!A575</f>
        <v>0</v>
      </c>
    </row>
    <row r="581" spans="1:20">
      <c r="A581" s="3169" t="str">
        <f>面积表!D576</f>
        <v>715</v>
      </c>
      <c r="B581" s="52">
        <f>面积表!E576</f>
        <v>50.33</v>
      </c>
      <c r="C581" s="3192">
        <f t="shared" si="95"/>
        <v>1</v>
      </c>
      <c r="D581" s="2559" t="s">
        <v>4016</v>
      </c>
      <c r="E581" s="3192">
        <f t="shared" si="96"/>
        <v>1</v>
      </c>
      <c r="F581" s="631" t="s">
        <v>3815</v>
      </c>
      <c r="G581" s="3192">
        <f t="shared" si="97"/>
        <v>0.95</v>
      </c>
      <c r="H581" s="631">
        <v>3</v>
      </c>
      <c r="I581" s="3192">
        <f t="shared" si="98"/>
        <v>1</v>
      </c>
      <c r="J581" s="631"/>
      <c r="K581" s="3192">
        <f t="shared" si="99"/>
        <v>1</v>
      </c>
      <c r="L581" s="631"/>
      <c r="M581" s="3192">
        <f t="shared" si="100"/>
        <v>1</v>
      </c>
      <c r="N581" s="631"/>
      <c r="O581" s="3192">
        <f t="shared" si="101"/>
        <v>1</v>
      </c>
      <c r="P581" s="631" t="s">
        <v>3409</v>
      </c>
      <c r="Q581" s="3192">
        <f t="shared" si="102"/>
        <v>1</v>
      </c>
      <c r="R581" s="3192">
        <f t="shared" ca="1" si="103"/>
        <v>13443</v>
      </c>
      <c r="S581" s="898">
        <f t="shared" ca="1" si="104"/>
        <v>68</v>
      </c>
      <c r="T581" s="3190">
        <f>面积表!A576</f>
        <v>0</v>
      </c>
    </row>
    <row r="582" spans="1:20">
      <c r="A582" s="3169" t="str">
        <f>面积表!D577</f>
        <v>716</v>
      </c>
      <c r="B582" s="52">
        <f>面积表!E577</f>
        <v>69.77</v>
      </c>
      <c r="C582" s="3192">
        <f t="shared" si="95"/>
        <v>1.01</v>
      </c>
      <c r="D582" s="2559" t="s">
        <v>4016</v>
      </c>
      <c r="E582" s="3192">
        <f t="shared" si="96"/>
        <v>1</v>
      </c>
      <c r="F582" s="631" t="s">
        <v>3815</v>
      </c>
      <c r="G582" s="3192">
        <f t="shared" si="97"/>
        <v>0.95</v>
      </c>
      <c r="H582" s="631">
        <v>3</v>
      </c>
      <c r="I582" s="3192">
        <f t="shared" si="98"/>
        <v>1</v>
      </c>
      <c r="J582" s="631"/>
      <c r="K582" s="3192">
        <f t="shared" si="99"/>
        <v>1</v>
      </c>
      <c r="L582" s="631"/>
      <c r="M582" s="3192">
        <f t="shared" si="100"/>
        <v>1</v>
      </c>
      <c r="N582" s="631"/>
      <c r="O582" s="3192">
        <f t="shared" si="101"/>
        <v>1</v>
      </c>
      <c r="P582" s="631" t="s">
        <v>3409</v>
      </c>
      <c r="Q582" s="3192">
        <f t="shared" si="102"/>
        <v>1</v>
      </c>
      <c r="R582" s="3192">
        <f t="shared" ca="1" si="103"/>
        <v>13577</v>
      </c>
      <c r="S582" s="898">
        <f t="shared" ca="1" si="104"/>
        <v>95</v>
      </c>
      <c r="T582" s="3190">
        <f>面积表!A577</f>
        <v>0</v>
      </c>
    </row>
    <row r="583" spans="1:20">
      <c r="A583" s="3169" t="str">
        <f>面积表!D578</f>
        <v>717</v>
      </c>
      <c r="B583" s="52">
        <f>面积表!E578</f>
        <v>38.65</v>
      </c>
      <c r="C583" s="3192">
        <f t="shared" si="95"/>
        <v>1</v>
      </c>
      <c r="D583" s="2559" t="s">
        <v>4016</v>
      </c>
      <c r="E583" s="3192">
        <f t="shared" si="96"/>
        <v>1</v>
      </c>
      <c r="F583" s="631" t="s">
        <v>3815</v>
      </c>
      <c r="G583" s="3192">
        <f t="shared" si="97"/>
        <v>0.95</v>
      </c>
      <c r="H583" s="631">
        <v>3</v>
      </c>
      <c r="I583" s="3192">
        <f t="shared" si="98"/>
        <v>1</v>
      </c>
      <c r="J583" s="631"/>
      <c r="K583" s="3192">
        <f t="shared" si="99"/>
        <v>1</v>
      </c>
      <c r="L583" s="631"/>
      <c r="M583" s="3192">
        <f t="shared" si="100"/>
        <v>1</v>
      </c>
      <c r="N583" s="631"/>
      <c r="O583" s="3192">
        <f t="shared" si="101"/>
        <v>1</v>
      </c>
      <c r="P583" s="631" t="s">
        <v>3409</v>
      </c>
      <c r="Q583" s="3192">
        <f t="shared" si="102"/>
        <v>1</v>
      </c>
      <c r="R583" s="3192">
        <f t="shared" ca="1" si="103"/>
        <v>13443</v>
      </c>
      <c r="S583" s="898">
        <f t="shared" ca="1" si="104"/>
        <v>52</v>
      </c>
      <c r="T583" s="3190">
        <f>面积表!A578</f>
        <v>0</v>
      </c>
    </row>
    <row r="584" spans="1:20">
      <c r="A584" s="3169" t="str">
        <f>面积表!D579</f>
        <v>718</v>
      </c>
      <c r="B584" s="52">
        <f>面积表!E579</f>
        <v>41.99</v>
      </c>
      <c r="C584" s="3192">
        <f t="shared" si="95"/>
        <v>1</v>
      </c>
      <c r="D584" s="2559" t="s">
        <v>4016</v>
      </c>
      <c r="E584" s="3192">
        <f t="shared" si="96"/>
        <v>1</v>
      </c>
      <c r="F584" s="631" t="s">
        <v>3815</v>
      </c>
      <c r="G584" s="3192">
        <f t="shared" si="97"/>
        <v>0.95</v>
      </c>
      <c r="H584" s="631">
        <v>3</v>
      </c>
      <c r="I584" s="3192">
        <f t="shared" si="98"/>
        <v>1</v>
      </c>
      <c r="J584" s="631"/>
      <c r="K584" s="3192">
        <f t="shared" si="99"/>
        <v>1</v>
      </c>
      <c r="L584" s="631"/>
      <c r="M584" s="3192">
        <f t="shared" si="100"/>
        <v>1</v>
      </c>
      <c r="N584" s="631"/>
      <c r="O584" s="3192">
        <f t="shared" si="101"/>
        <v>1</v>
      </c>
      <c r="P584" s="631" t="s">
        <v>3409</v>
      </c>
      <c r="Q584" s="3192">
        <f t="shared" si="102"/>
        <v>1</v>
      </c>
      <c r="R584" s="3192">
        <f t="shared" ca="1" si="103"/>
        <v>13443</v>
      </c>
      <c r="S584" s="898">
        <f t="shared" ca="1" si="104"/>
        <v>56</v>
      </c>
      <c r="T584" s="3190">
        <f>面积表!A579</f>
        <v>0</v>
      </c>
    </row>
    <row r="585" spans="1:20">
      <c r="A585" s="3169" t="str">
        <f>面积表!D580</f>
        <v>719</v>
      </c>
      <c r="B585" s="52">
        <f>面积表!E580</f>
        <v>44.72</v>
      </c>
      <c r="C585" s="3192">
        <f t="shared" si="95"/>
        <v>1</v>
      </c>
      <c r="D585" s="2559" t="s">
        <v>4016</v>
      </c>
      <c r="E585" s="3192">
        <f t="shared" si="96"/>
        <v>1</v>
      </c>
      <c r="F585" s="631" t="s">
        <v>3815</v>
      </c>
      <c r="G585" s="3192">
        <f t="shared" si="97"/>
        <v>0.95</v>
      </c>
      <c r="H585" s="631">
        <v>3</v>
      </c>
      <c r="I585" s="3192">
        <f t="shared" si="98"/>
        <v>1</v>
      </c>
      <c r="J585" s="631"/>
      <c r="K585" s="3192">
        <f t="shared" si="99"/>
        <v>1</v>
      </c>
      <c r="L585" s="631"/>
      <c r="M585" s="3192">
        <f t="shared" si="100"/>
        <v>1</v>
      </c>
      <c r="N585" s="631"/>
      <c r="O585" s="3192">
        <f t="shared" si="101"/>
        <v>1</v>
      </c>
      <c r="P585" s="631" t="s">
        <v>3409</v>
      </c>
      <c r="Q585" s="3192">
        <f t="shared" si="102"/>
        <v>1</v>
      </c>
      <c r="R585" s="3192">
        <f t="shared" ca="1" si="103"/>
        <v>13443</v>
      </c>
      <c r="S585" s="898">
        <f t="shared" ca="1" si="104"/>
        <v>60</v>
      </c>
      <c r="T585" s="3190">
        <f>面积表!A580</f>
        <v>0</v>
      </c>
    </row>
    <row r="586" spans="1:20">
      <c r="A586" s="3169" t="str">
        <f>面积表!D581</f>
        <v>720</v>
      </c>
      <c r="B586" s="52">
        <f>面积表!E581</f>
        <v>46.83</v>
      </c>
      <c r="C586" s="3192">
        <f t="shared" si="95"/>
        <v>1</v>
      </c>
      <c r="D586" s="2559" t="s">
        <v>4016</v>
      </c>
      <c r="E586" s="3192">
        <f t="shared" si="96"/>
        <v>1</v>
      </c>
      <c r="F586" s="631" t="s">
        <v>3815</v>
      </c>
      <c r="G586" s="3192">
        <f t="shared" si="97"/>
        <v>0.95</v>
      </c>
      <c r="H586" s="631">
        <v>3</v>
      </c>
      <c r="I586" s="3192">
        <f t="shared" si="98"/>
        <v>1</v>
      </c>
      <c r="J586" s="631"/>
      <c r="K586" s="3192">
        <f t="shared" si="99"/>
        <v>1</v>
      </c>
      <c r="L586" s="631"/>
      <c r="M586" s="3192">
        <f t="shared" si="100"/>
        <v>1</v>
      </c>
      <c r="N586" s="631"/>
      <c r="O586" s="3192">
        <f t="shared" si="101"/>
        <v>1</v>
      </c>
      <c r="P586" s="631" t="s">
        <v>3409</v>
      </c>
      <c r="Q586" s="3192">
        <f t="shared" si="102"/>
        <v>1</v>
      </c>
      <c r="R586" s="3192">
        <f t="shared" ca="1" si="103"/>
        <v>13443</v>
      </c>
      <c r="S586" s="898">
        <f t="shared" ca="1" si="104"/>
        <v>63</v>
      </c>
      <c r="T586" s="3190">
        <f>面积表!A581</f>
        <v>0</v>
      </c>
    </row>
    <row r="587" spans="1:20">
      <c r="A587" s="3169" t="str">
        <f>面积表!D582</f>
        <v>721</v>
      </c>
      <c r="B587" s="52">
        <f>面积表!E582</f>
        <v>48.33</v>
      </c>
      <c r="C587" s="3192">
        <f t="shared" si="95"/>
        <v>1</v>
      </c>
      <c r="D587" s="2559" t="s">
        <v>4016</v>
      </c>
      <c r="E587" s="3192">
        <f t="shared" si="96"/>
        <v>1</v>
      </c>
      <c r="F587" s="631" t="s">
        <v>3815</v>
      </c>
      <c r="G587" s="3192">
        <f t="shared" si="97"/>
        <v>0.95</v>
      </c>
      <c r="H587" s="631">
        <v>3</v>
      </c>
      <c r="I587" s="3192">
        <f t="shared" si="98"/>
        <v>1</v>
      </c>
      <c r="J587" s="631"/>
      <c r="K587" s="3192">
        <f t="shared" si="99"/>
        <v>1</v>
      </c>
      <c r="L587" s="631"/>
      <c r="M587" s="3192">
        <f t="shared" si="100"/>
        <v>1</v>
      </c>
      <c r="N587" s="631"/>
      <c r="O587" s="3192">
        <f t="shared" si="101"/>
        <v>1</v>
      </c>
      <c r="P587" s="631" t="s">
        <v>3409</v>
      </c>
      <c r="Q587" s="3192">
        <f t="shared" si="102"/>
        <v>1</v>
      </c>
      <c r="R587" s="3192">
        <f t="shared" ca="1" si="103"/>
        <v>13443</v>
      </c>
      <c r="S587" s="898">
        <f t="shared" ca="1" si="104"/>
        <v>65</v>
      </c>
      <c r="T587" s="3190">
        <f>面积表!A582</f>
        <v>0</v>
      </c>
    </row>
    <row r="588" spans="1:20">
      <c r="A588" s="3169" t="str">
        <f>面积表!D583</f>
        <v>722</v>
      </c>
      <c r="B588" s="52">
        <f>面积表!E583</f>
        <v>49.3</v>
      </c>
      <c r="C588" s="3192">
        <f t="shared" si="95"/>
        <v>1</v>
      </c>
      <c r="D588" s="2559" t="s">
        <v>4016</v>
      </c>
      <c r="E588" s="3192">
        <f t="shared" si="96"/>
        <v>1</v>
      </c>
      <c r="F588" s="631" t="s">
        <v>3815</v>
      </c>
      <c r="G588" s="3192">
        <f t="shared" si="97"/>
        <v>0.95</v>
      </c>
      <c r="H588" s="631">
        <v>3</v>
      </c>
      <c r="I588" s="3192">
        <f t="shared" si="98"/>
        <v>1</v>
      </c>
      <c r="J588" s="631"/>
      <c r="K588" s="3192">
        <f t="shared" si="99"/>
        <v>1</v>
      </c>
      <c r="L588" s="631"/>
      <c r="M588" s="3192">
        <f t="shared" si="100"/>
        <v>1</v>
      </c>
      <c r="N588" s="631"/>
      <c r="O588" s="3192">
        <f t="shared" si="101"/>
        <v>1</v>
      </c>
      <c r="P588" s="631" t="s">
        <v>3409</v>
      </c>
      <c r="Q588" s="3192">
        <f t="shared" si="102"/>
        <v>1</v>
      </c>
      <c r="R588" s="3192">
        <f t="shared" ca="1" si="103"/>
        <v>13443</v>
      </c>
      <c r="S588" s="898">
        <f t="shared" ca="1" si="104"/>
        <v>66</v>
      </c>
      <c r="T588" s="3190">
        <f>面积表!A583</f>
        <v>0</v>
      </c>
    </row>
    <row r="589" spans="1:20">
      <c r="A589" s="3169" t="str">
        <f>面积表!D584</f>
        <v>723</v>
      </c>
      <c r="B589" s="52">
        <f>面积表!E584</f>
        <v>49.59</v>
      </c>
      <c r="C589" s="3192">
        <f t="shared" ref="C589:C652" si="105">IF(B589="",1,(LOOKUP(B589,$3:$3,$4:$4)-LOOKUP($B$24,$3:$3,$4:$4)+100)/100)</f>
        <v>1</v>
      </c>
      <c r="D589" s="2559" t="s">
        <v>4016</v>
      </c>
      <c r="E589" s="3192">
        <f t="shared" ref="E589:E652" si="106">(SUMIF($5:$5,D589,$6:$6)-SUMIF($5:$5,$D$24,$6:$6)+100)/100</f>
        <v>1</v>
      </c>
      <c r="F589" s="631" t="s">
        <v>3815</v>
      </c>
      <c r="G589" s="3192">
        <f t="shared" ref="G589:G652" si="107">(SUMIF($7:$7,F589,$8:$8)-SUMIF($7:$7,$F$24,$8:$8)+100)/100</f>
        <v>0.95</v>
      </c>
      <c r="H589" s="631">
        <v>3</v>
      </c>
      <c r="I589" s="3192">
        <f t="shared" ref="I589:I652" si="108">(SUMIF($9:$9,H589,$10:$10)-SUMIF($9:$9,$H$24,$10:$10)+100)/100</f>
        <v>1</v>
      </c>
      <c r="J589" s="631"/>
      <c r="K589" s="3192">
        <f t="shared" ref="K589:K652" si="109">(SUMIF($11:$11,J589,$12:$12)-SUMIF($11:$11,$J$24,$12:$12)+100)/100</f>
        <v>1</v>
      </c>
      <c r="L589" s="631"/>
      <c r="M589" s="3192">
        <f t="shared" ref="M589:M652" si="110">(SUMIF($13:$13,L589,$14:$14)-SUMIF($13:$13,$L$24,$14:$14)+100)/100</f>
        <v>1</v>
      </c>
      <c r="N589" s="631"/>
      <c r="O589" s="3192">
        <f t="shared" ref="O589:O652" si="111">(SUMIF($15:$15,N589,$16:$16)-SUMIF($15:$15,$N$24,$16:$16)+100)/100</f>
        <v>1</v>
      </c>
      <c r="P589" s="631" t="s">
        <v>3409</v>
      </c>
      <c r="Q589" s="3192">
        <f t="shared" ref="Q589:Q652" si="112">(SUMIF($17:$17,P589,$18:$18)-SUMIF($17:$17,$P$24,$18:$18)+100)/100</f>
        <v>1</v>
      </c>
      <c r="R589" s="3192">
        <f t="shared" ref="R589:R652" ca="1" si="113">IF(B589="",0,ROUND($R$24*C589*E589*G589*I589*K589*M589*O589*Q589,0))</f>
        <v>13443</v>
      </c>
      <c r="S589" s="898">
        <f t="shared" ref="S589:S652" ca="1" si="114">ROUND(R589*B589/10000,0)</f>
        <v>67</v>
      </c>
      <c r="T589" s="3190">
        <f>面积表!A584</f>
        <v>0</v>
      </c>
    </row>
    <row r="590" spans="1:20">
      <c r="A590" s="3169" t="str">
        <f>面积表!D585</f>
        <v>724</v>
      </c>
      <c r="B590" s="52">
        <f>面积表!E585</f>
        <v>49.28</v>
      </c>
      <c r="C590" s="3192">
        <f t="shared" si="105"/>
        <v>1</v>
      </c>
      <c r="D590" s="2559" t="s">
        <v>4016</v>
      </c>
      <c r="E590" s="3192">
        <f t="shared" si="106"/>
        <v>1</v>
      </c>
      <c r="F590" s="631" t="s">
        <v>3815</v>
      </c>
      <c r="G590" s="3192">
        <f t="shared" si="107"/>
        <v>0.95</v>
      </c>
      <c r="H590" s="631">
        <v>3</v>
      </c>
      <c r="I590" s="3192">
        <f t="shared" si="108"/>
        <v>1</v>
      </c>
      <c r="J590" s="631"/>
      <c r="K590" s="3192">
        <f t="shared" si="109"/>
        <v>1</v>
      </c>
      <c r="L590" s="631"/>
      <c r="M590" s="3192">
        <f t="shared" si="110"/>
        <v>1</v>
      </c>
      <c r="N590" s="631"/>
      <c r="O590" s="3192">
        <f t="shared" si="111"/>
        <v>1</v>
      </c>
      <c r="P590" s="631" t="s">
        <v>3409</v>
      </c>
      <c r="Q590" s="3192">
        <f t="shared" si="112"/>
        <v>1</v>
      </c>
      <c r="R590" s="3192">
        <f t="shared" ca="1" si="113"/>
        <v>13443</v>
      </c>
      <c r="S590" s="898">
        <f t="shared" ca="1" si="114"/>
        <v>66</v>
      </c>
      <c r="T590" s="3190">
        <f>面积表!A585</f>
        <v>0</v>
      </c>
    </row>
    <row r="591" spans="1:20">
      <c r="A591" s="3169" t="str">
        <f>面积表!D586</f>
        <v>725</v>
      </c>
      <c r="B591" s="52">
        <f>面积表!E586</f>
        <v>48.41</v>
      </c>
      <c r="C591" s="3192">
        <f t="shared" si="105"/>
        <v>1</v>
      </c>
      <c r="D591" s="2559" t="s">
        <v>4016</v>
      </c>
      <c r="E591" s="3192">
        <f t="shared" si="106"/>
        <v>1</v>
      </c>
      <c r="F591" s="631" t="s">
        <v>3815</v>
      </c>
      <c r="G591" s="3192">
        <f t="shared" si="107"/>
        <v>0.95</v>
      </c>
      <c r="H591" s="631">
        <v>3</v>
      </c>
      <c r="I591" s="3192">
        <f t="shared" si="108"/>
        <v>1</v>
      </c>
      <c r="J591" s="631"/>
      <c r="K591" s="3192">
        <f t="shared" si="109"/>
        <v>1</v>
      </c>
      <c r="L591" s="631"/>
      <c r="M591" s="3192">
        <f t="shared" si="110"/>
        <v>1</v>
      </c>
      <c r="N591" s="631"/>
      <c r="O591" s="3192">
        <f t="shared" si="111"/>
        <v>1</v>
      </c>
      <c r="P591" s="631" t="s">
        <v>3409</v>
      </c>
      <c r="Q591" s="3192">
        <f t="shared" si="112"/>
        <v>1</v>
      </c>
      <c r="R591" s="3192">
        <f t="shared" ca="1" si="113"/>
        <v>13443</v>
      </c>
      <c r="S591" s="898">
        <f t="shared" ca="1" si="114"/>
        <v>65</v>
      </c>
      <c r="T591" s="3190">
        <f>面积表!A586</f>
        <v>0</v>
      </c>
    </row>
    <row r="592" spans="1:20">
      <c r="A592" s="3169" t="str">
        <f>面积表!D587</f>
        <v>726</v>
      </c>
      <c r="B592" s="52">
        <f>面积表!E587</f>
        <v>47.44</v>
      </c>
      <c r="C592" s="3192">
        <f t="shared" si="105"/>
        <v>1</v>
      </c>
      <c r="D592" s="2559" t="s">
        <v>4016</v>
      </c>
      <c r="E592" s="3192">
        <f t="shared" si="106"/>
        <v>1</v>
      </c>
      <c r="F592" s="631" t="s">
        <v>3815</v>
      </c>
      <c r="G592" s="3192">
        <f t="shared" si="107"/>
        <v>0.95</v>
      </c>
      <c r="H592" s="631">
        <v>3</v>
      </c>
      <c r="I592" s="3192">
        <f t="shared" si="108"/>
        <v>1</v>
      </c>
      <c r="J592" s="631"/>
      <c r="K592" s="3192">
        <f t="shared" si="109"/>
        <v>1</v>
      </c>
      <c r="L592" s="631"/>
      <c r="M592" s="3192">
        <f t="shared" si="110"/>
        <v>1</v>
      </c>
      <c r="N592" s="631"/>
      <c r="O592" s="3192">
        <f t="shared" si="111"/>
        <v>1</v>
      </c>
      <c r="P592" s="631" t="s">
        <v>3409</v>
      </c>
      <c r="Q592" s="3192">
        <f t="shared" si="112"/>
        <v>1</v>
      </c>
      <c r="R592" s="3192">
        <f t="shared" ca="1" si="113"/>
        <v>13443</v>
      </c>
      <c r="S592" s="898">
        <f t="shared" ca="1" si="114"/>
        <v>64</v>
      </c>
      <c r="T592" s="3190">
        <f>面积表!A587</f>
        <v>0</v>
      </c>
    </row>
    <row r="593" spans="1:20">
      <c r="A593" s="3169" t="str">
        <f>面积表!D588</f>
        <v>801</v>
      </c>
      <c r="B593" s="52">
        <f>面积表!E588</f>
        <v>52.2</v>
      </c>
      <c r="C593" s="3192">
        <f t="shared" si="105"/>
        <v>1</v>
      </c>
      <c r="D593" s="2559" t="s">
        <v>4016</v>
      </c>
      <c r="E593" s="3192">
        <f t="shared" si="106"/>
        <v>1</v>
      </c>
      <c r="F593" s="631" t="s">
        <v>3815</v>
      </c>
      <c r="G593" s="3192">
        <f t="shared" si="107"/>
        <v>0.95</v>
      </c>
      <c r="H593" s="631">
        <v>3</v>
      </c>
      <c r="I593" s="3192">
        <f t="shared" si="108"/>
        <v>1</v>
      </c>
      <c r="J593" s="631"/>
      <c r="K593" s="3192">
        <f t="shared" si="109"/>
        <v>1</v>
      </c>
      <c r="L593" s="631"/>
      <c r="M593" s="3192">
        <f t="shared" si="110"/>
        <v>1</v>
      </c>
      <c r="N593" s="631"/>
      <c r="O593" s="3192">
        <f t="shared" si="111"/>
        <v>1</v>
      </c>
      <c r="P593" s="631" t="s">
        <v>3409</v>
      </c>
      <c r="Q593" s="3192">
        <f t="shared" si="112"/>
        <v>1</v>
      </c>
      <c r="R593" s="3192">
        <f t="shared" ca="1" si="113"/>
        <v>13443</v>
      </c>
      <c r="S593" s="898">
        <f t="shared" ca="1" si="114"/>
        <v>70</v>
      </c>
      <c r="T593" s="3190">
        <f>面积表!A588</f>
        <v>0</v>
      </c>
    </row>
    <row r="594" spans="1:20">
      <c r="A594" s="3169" t="str">
        <f>面积表!D589</f>
        <v>802</v>
      </c>
      <c r="B594" s="52">
        <f>面积表!E589</f>
        <v>50.33</v>
      </c>
      <c r="C594" s="3192">
        <f t="shared" si="105"/>
        <v>1</v>
      </c>
      <c r="D594" s="2559" t="s">
        <v>4016</v>
      </c>
      <c r="E594" s="3192">
        <f t="shared" si="106"/>
        <v>1</v>
      </c>
      <c r="F594" s="631" t="s">
        <v>3815</v>
      </c>
      <c r="G594" s="3192">
        <f t="shared" si="107"/>
        <v>0.95</v>
      </c>
      <c r="H594" s="631">
        <v>3</v>
      </c>
      <c r="I594" s="3192">
        <f t="shared" si="108"/>
        <v>1</v>
      </c>
      <c r="J594" s="631"/>
      <c r="K594" s="3192">
        <f t="shared" si="109"/>
        <v>1</v>
      </c>
      <c r="L594" s="631"/>
      <c r="M594" s="3192">
        <f t="shared" si="110"/>
        <v>1</v>
      </c>
      <c r="N594" s="631"/>
      <c r="O594" s="3192">
        <f t="shared" si="111"/>
        <v>1</v>
      </c>
      <c r="P594" s="631" t="s">
        <v>3409</v>
      </c>
      <c r="Q594" s="3192">
        <f t="shared" si="112"/>
        <v>1</v>
      </c>
      <c r="R594" s="3192">
        <f t="shared" ca="1" si="113"/>
        <v>13443</v>
      </c>
      <c r="S594" s="898">
        <f t="shared" ca="1" si="114"/>
        <v>68</v>
      </c>
      <c r="T594" s="3190">
        <f>面积表!A589</f>
        <v>0</v>
      </c>
    </row>
    <row r="595" spans="1:20">
      <c r="A595" s="3169" t="str">
        <f>面积表!D590</f>
        <v>803</v>
      </c>
      <c r="B595" s="52">
        <f>面积表!E590</f>
        <v>50.33</v>
      </c>
      <c r="C595" s="3192">
        <f t="shared" si="105"/>
        <v>1</v>
      </c>
      <c r="D595" s="2559" t="s">
        <v>4016</v>
      </c>
      <c r="E595" s="3192">
        <f t="shared" si="106"/>
        <v>1</v>
      </c>
      <c r="F595" s="631" t="s">
        <v>3815</v>
      </c>
      <c r="G595" s="3192">
        <f t="shared" si="107"/>
        <v>0.95</v>
      </c>
      <c r="H595" s="631">
        <v>3</v>
      </c>
      <c r="I595" s="3192">
        <f t="shared" si="108"/>
        <v>1</v>
      </c>
      <c r="J595" s="631"/>
      <c r="K595" s="3192">
        <f t="shared" si="109"/>
        <v>1</v>
      </c>
      <c r="L595" s="631"/>
      <c r="M595" s="3192">
        <f t="shared" si="110"/>
        <v>1</v>
      </c>
      <c r="N595" s="631"/>
      <c r="O595" s="3192">
        <f t="shared" si="111"/>
        <v>1</v>
      </c>
      <c r="P595" s="631" t="s">
        <v>3409</v>
      </c>
      <c r="Q595" s="3192">
        <f t="shared" si="112"/>
        <v>1</v>
      </c>
      <c r="R595" s="3192">
        <f t="shared" ca="1" si="113"/>
        <v>13443</v>
      </c>
      <c r="S595" s="898">
        <f t="shared" ca="1" si="114"/>
        <v>68</v>
      </c>
      <c r="T595" s="3190">
        <f>面积表!A590</f>
        <v>0</v>
      </c>
    </row>
    <row r="596" spans="1:20">
      <c r="A596" s="3169" t="str">
        <f>面积表!D591</f>
        <v>804</v>
      </c>
      <c r="B596" s="52">
        <f>面积表!E591</f>
        <v>50.33</v>
      </c>
      <c r="C596" s="3192">
        <f t="shared" si="105"/>
        <v>1</v>
      </c>
      <c r="D596" s="2559" t="s">
        <v>4016</v>
      </c>
      <c r="E596" s="3192">
        <f t="shared" si="106"/>
        <v>1</v>
      </c>
      <c r="F596" s="631" t="s">
        <v>3815</v>
      </c>
      <c r="G596" s="3192">
        <f t="shared" si="107"/>
        <v>0.95</v>
      </c>
      <c r="H596" s="631">
        <v>3</v>
      </c>
      <c r="I596" s="3192">
        <f t="shared" si="108"/>
        <v>1</v>
      </c>
      <c r="J596" s="631"/>
      <c r="K596" s="3192">
        <f t="shared" si="109"/>
        <v>1</v>
      </c>
      <c r="L596" s="631"/>
      <c r="M596" s="3192">
        <f t="shared" si="110"/>
        <v>1</v>
      </c>
      <c r="N596" s="631"/>
      <c r="O596" s="3192">
        <f t="shared" si="111"/>
        <v>1</v>
      </c>
      <c r="P596" s="631" t="s">
        <v>3409</v>
      </c>
      <c r="Q596" s="3192">
        <f t="shared" si="112"/>
        <v>1</v>
      </c>
      <c r="R596" s="3192">
        <f t="shared" ca="1" si="113"/>
        <v>13443</v>
      </c>
      <c r="S596" s="898">
        <f t="shared" ca="1" si="114"/>
        <v>68</v>
      </c>
      <c r="T596" s="3190">
        <f>面积表!A591</f>
        <v>0</v>
      </c>
    </row>
    <row r="597" spans="1:20">
      <c r="A597" s="3169" t="str">
        <f>面积表!D592</f>
        <v>805</v>
      </c>
      <c r="B597" s="52">
        <f>面积表!E592</f>
        <v>50.33</v>
      </c>
      <c r="C597" s="3192">
        <f t="shared" si="105"/>
        <v>1</v>
      </c>
      <c r="D597" s="2559" t="s">
        <v>4016</v>
      </c>
      <c r="E597" s="3192">
        <f t="shared" si="106"/>
        <v>1</v>
      </c>
      <c r="F597" s="631" t="s">
        <v>3815</v>
      </c>
      <c r="G597" s="3192">
        <f t="shared" si="107"/>
        <v>0.95</v>
      </c>
      <c r="H597" s="631">
        <v>3</v>
      </c>
      <c r="I597" s="3192">
        <f t="shared" si="108"/>
        <v>1</v>
      </c>
      <c r="J597" s="631"/>
      <c r="K597" s="3192">
        <f t="shared" si="109"/>
        <v>1</v>
      </c>
      <c r="L597" s="631"/>
      <c r="M597" s="3192">
        <f t="shared" si="110"/>
        <v>1</v>
      </c>
      <c r="N597" s="631"/>
      <c r="O597" s="3192">
        <f t="shared" si="111"/>
        <v>1</v>
      </c>
      <c r="P597" s="631" t="s">
        <v>3409</v>
      </c>
      <c r="Q597" s="3192">
        <f t="shared" si="112"/>
        <v>1</v>
      </c>
      <c r="R597" s="3192">
        <f t="shared" ca="1" si="113"/>
        <v>13443</v>
      </c>
      <c r="S597" s="898">
        <f t="shared" ca="1" si="114"/>
        <v>68</v>
      </c>
      <c r="T597" s="3190">
        <f>面积表!A592</f>
        <v>0</v>
      </c>
    </row>
    <row r="598" spans="1:20">
      <c r="A598" s="3169" t="str">
        <f>面积表!D593</f>
        <v>806</v>
      </c>
      <c r="B598" s="52">
        <f>面积表!E593</f>
        <v>50.33</v>
      </c>
      <c r="C598" s="3192">
        <f t="shared" si="105"/>
        <v>1</v>
      </c>
      <c r="D598" s="2559" t="s">
        <v>4016</v>
      </c>
      <c r="E598" s="3192">
        <f t="shared" si="106"/>
        <v>1</v>
      </c>
      <c r="F598" s="631" t="s">
        <v>3815</v>
      </c>
      <c r="G598" s="3192">
        <f t="shared" si="107"/>
        <v>0.95</v>
      </c>
      <c r="H598" s="631">
        <v>3</v>
      </c>
      <c r="I598" s="3192">
        <f t="shared" si="108"/>
        <v>1</v>
      </c>
      <c r="J598" s="631"/>
      <c r="K598" s="3192">
        <f t="shared" si="109"/>
        <v>1</v>
      </c>
      <c r="L598" s="631"/>
      <c r="M598" s="3192">
        <f t="shared" si="110"/>
        <v>1</v>
      </c>
      <c r="N598" s="631"/>
      <c r="O598" s="3192">
        <f t="shared" si="111"/>
        <v>1</v>
      </c>
      <c r="P598" s="631" t="s">
        <v>3409</v>
      </c>
      <c r="Q598" s="3192">
        <f t="shared" si="112"/>
        <v>1</v>
      </c>
      <c r="R598" s="3192">
        <f t="shared" ca="1" si="113"/>
        <v>13443</v>
      </c>
      <c r="S598" s="898">
        <f t="shared" ca="1" si="114"/>
        <v>68</v>
      </c>
      <c r="T598" s="3190">
        <f>面积表!A593</f>
        <v>0</v>
      </c>
    </row>
    <row r="599" spans="1:20">
      <c r="A599" s="3169" t="str">
        <f>面积表!D594</f>
        <v>807</v>
      </c>
      <c r="B599" s="52">
        <f>面积表!E594</f>
        <v>50.33</v>
      </c>
      <c r="C599" s="3192">
        <f t="shared" si="105"/>
        <v>1</v>
      </c>
      <c r="D599" s="2559" t="s">
        <v>4016</v>
      </c>
      <c r="E599" s="3192">
        <f t="shared" si="106"/>
        <v>1</v>
      </c>
      <c r="F599" s="631" t="s">
        <v>3815</v>
      </c>
      <c r="G599" s="3192">
        <f t="shared" si="107"/>
        <v>0.95</v>
      </c>
      <c r="H599" s="631">
        <v>3</v>
      </c>
      <c r="I599" s="3192">
        <f t="shared" si="108"/>
        <v>1</v>
      </c>
      <c r="J599" s="631"/>
      <c r="K599" s="3192">
        <f t="shared" si="109"/>
        <v>1</v>
      </c>
      <c r="L599" s="631"/>
      <c r="M599" s="3192">
        <f t="shared" si="110"/>
        <v>1</v>
      </c>
      <c r="N599" s="631"/>
      <c r="O599" s="3192">
        <f t="shared" si="111"/>
        <v>1</v>
      </c>
      <c r="P599" s="631" t="s">
        <v>3409</v>
      </c>
      <c r="Q599" s="3192">
        <f t="shared" si="112"/>
        <v>1</v>
      </c>
      <c r="R599" s="3192">
        <f t="shared" ca="1" si="113"/>
        <v>13443</v>
      </c>
      <c r="S599" s="898">
        <f t="shared" ca="1" si="114"/>
        <v>68</v>
      </c>
      <c r="T599" s="3190">
        <f>面积表!A594</f>
        <v>0</v>
      </c>
    </row>
    <row r="600" spans="1:20">
      <c r="A600" s="3169" t="str">
        <f>面积表!D595</f>
        <v>808</v>
      </c>
      <c r="B600" s="52">
        <f>面积表!E595</f>
        <v>50.33</v>
      </c>
      <c r="C600" s="3192">
        <f t="shared" si="105"/>
        <v>1</v>
      </c>
      <c r="D600" s="2559" t="s">
        <v>4016</v>
      </c>
      <c r="E600" s="3192">
        <f t="shared" si="106"/>
        <v>1</v>
      </c>
      <c r="F600" s="631" t="s">
        <v>3815</v>
      </c>
      <c r="G600" s="3192">
        <f t="shared" si="107"/>
        <v>0.95</v>
      </c>
      <c r="H600" s="631">
        <v>3</v>
      </c>
      <c r="I600" s="3192">
        <f t="shared" si="108"/>
        <v>1</v>
      </c>
      <c r="J600" s="631"/>
      <c r="K600" s="3192">
        <f t="shared" si="109"/>
        <v>1</v>
      </c>
      <c r="L600" s="631"/>
      <c r="M600" s="3192">
        <f t="shared" si="110"/>
        <v>1</v>
      </c>
      <c r="N600" s="631"/>
      <c r="O600" s="3192">
        <f t="shared" si="111"/>
        <v>1</v>
      </c>
      <c r="P600" s="631" t="s">
        <v>3409</v>
      </c>
      <c r="Q600" s="3192">
        <f t="shared" si="112"/>
        <v>1</v>
      </c>
      <c r="R600" s="3192">
        <f t="shared" ca="1" si="113"/>
        <v>13443</v>
      </c>
      <c r="S600" s="898">
        <f t="shared" ca="1" si="114"/>
        <v>68</v>
      </c>
      <c r="T600" s="3190">
        <f>面积表!A595</f>
        <v>0</v>
      </c>
    </row>
    <row r="601" spans="1:20">
      <c r="A601" s="3169" t="str">
        <f>面积表!D596</f>
        <v>809</v>
      </c>
      <c r="B601" s="52">
        <f>面积表!E596</f>
        <v>50.33</v>
      </c>
      <c r="C601" s="3192">
        <f t="shared" si="105"/>
        <v>1</v>
      </c>
      <c r="D601" s="2559" t="s">
        <v>4016</v>
      </c>
      <c r="E601" s="3192">
        <f t="shared" si="106"/>
        <v>1</v>
      </c>
      <c r="F601" s="631" t="s">
        <v>3815</v>
      </c>
      <c r="G601" s="3192">
        <f t="shared" si="107"/>
        <v>0.95</v>
      </c>
      <c r="H601" s="631">
        <v>3</v>
      </c>
      <c r="I601" s="3192">
        <f t="shared" si="108"/>
        <v>1</v>
      </c>
      <c r="J601" s="631"/>
      <c r="K601" s="3192">
        <f t="shared" si="109"/>
        <v>1</v>
      </c>
      <c r="L601" s="631"/>
      <c r="M601" s="3192">
        <f t="shared" si="110"/>
        <v>1</v>
      </c>
      <c r="N601" s="631"/>
      <c r="O601" s="3192">
        <f t="shared" si="111"/>
        <v>1</v>
      </c>
      <c r="P601" s="631" t="s">
        <v>3409</v>
      </c>
      <c r="Q601" s="3192">
        <f t="shared" si="112"/>
        <v>1</v>
      </c>
      <c r="R601" s="3192">
        <f t="shared" ca="1" si="113"/>
        <v>13443</v>
      </c>
      <c r="S601" s="898">
        <f t="shared" ca="1" si="114"/>
        <v>68</v>
      </c>
      <c r="T601" s="3190">
        <f>面积表!A596</f>
        <v>0</v>
      </c>
    </row>
    <row r="602" spans="1:20">
      <c r="A602" s="3169" t="str">
        <f>面积表!D597</f>
        <v>810</v>
      </c>
      <c r="B602" s="52">
        <f>面积表!E597</f>
        <v>50.33</v>
      </c>
      <c r="C602" s="3192">
        <f t="shared" si="105"/>
        <v>1</v>
      </c>
      <c r="D602" s="2559" t="s">
        <v>4016</v>
      </c>
      <c r="E602" s="3192">
        <f t="shared" si="106"/>
        <v>1</v>
      </c>
      <c r="F602" s="631" t="s">
        <v>3815</v>
      </c>
      <c r="G602" s="3192">
        <f t="shared" si="107"/>
        <v>0.95</v>
      </c>
      <c r="H602" s="631">
        <v>3</v>
      </c>
      <c r="I602" s="3192">
        <f t="shared" si="108"/>
        <v>1</v>
      </c>
      <c r="J602" s="631"/>
      <c r="K602" s="3192">
        <f t="shared" si="109"/>
        <v>1</v>
      </c>
      <c r="L602" s="631"/>
      <c r="M602" s="3192">
        <f t="shared" si="110"/>
        <v>1</v>
      </c>
      <c r="N602" s="631"/>
      <c r="O602" s="3192">
        <f t="shared" si="111"/>
        <v>1</v>
      </c>
      <c r="P602" s="631" t="s">
        <v>3409</v>
      </c>
      <c r="Q602" s="3192">
        <f t="shared" si="112"/>
        <v>1</v>
      </c>
      <c r="R602" s="3192">
        <f t="shared" ca="1" si="113"/>
        <v>13443</v>
      </c>
      <c r="S602" s="898">
        <f t="shared" ca="1" si="114"/>
        <v>68</v>
      </c>
      <c r="T602" s="3190">
        <f>面积表!A597</f>
        <v>0</v>
      </c>
    </row>
    <row r="603" spans="1:20">
      <c r="A603" s="3169" t="str">
        <f>面积表!D598</f>
        <v>811</v>
      </c>
      <c r="B603" s="52">
        <f>面积表!E598</f>
        <v>50.33</v>
      </c>
      <c r="C603" s="3192">
        <f t="shared" si="105"/>
        <v>1</v>
      </c>
      <c r="D603" s="2559" t="s">
        <v>4016</v>
      </c>
      <c r="E603" s="3192">
        <f t="shared" si="106"/>
        <v>1</v>
      </c>
      <c r="F603" s="631" t="s">
        <v>3815</v>
      </c>
      <c r="G603" s="3192">
        <f t="shared" si="107"/>
        <v>0.95</v>
      </c>
      <c r="H603" s="631">
        <v>3</v>
      </c>
      <c r="I603" s="3192">
        <f t="shared" si="108"/>
        <v>1</v>
      </c>
      <c r="J603" s="631"/>
      <c r="K603" s="3192">
        <f t="shared" si="109"/>
        <v>1</v>
      </c>
      <c r="L603" s="631"/>
      <c r="M603" s="3192">
        <f t="shared" si="110"/>
        <v>1</v>
      </c>
      <c r="N603" s="631"/>
      <c r="O603" s="3192">
        <f t="shared" si="111"/>
        <v>1</v>
      </c>
      <c r="P603" s="631" t="s">
        <v>3409</v>
      </c>
      <c r="Q603" s="3192">
        <f t="shared" si="112"/>
        <v>1</v>
      </c>
      <c r="R603" s="3192">
        <f t="shared" ca="1" si="113"/>
        <v>13443</v>
      </c>
      <c r="S603" s="898">
        <f t="shared" ca="1" si="114"/>
        <v>68</v>
      </c>
      <c r="T603" s="3190">
        <f>面积表!A598</f>
        <v>0</v>
      </c>
    </row>
    <row r="604" spans="1:20">
      <c r="A604" s="3169" t="str">
        <f>面积表!D599</f>
        <v>812</v>
      </c>
      <c r="B604" s="52">
        <f>面积表!E599</f>
        <v>50.33</v>
      </c>
      <c r="C604" s="3192">
        <f t="shared" si="105"/>
        <v>1</v>
      </c>
      <c r="D604" s="2559" t="s">
        <v>4016</v>
      </c>
      <c r="E604" s="3192">
        <f t="shared" si="106"/>
        <v>1</v>
      </c>
      <c r="F604" s="631" t="s">
        <v>3815</v>
      </c>
      <c r="G604" s="3192">
        <f t="shared" si="107"/>
        <v>0.95</v>
      </c>
      <c r="H604" s="631">
        <v>3</v>
      </c>
      <c r="I604" s="3192">
        <f t="shared" si="108"/>
        <v>1</v>
      </c>
      <c r="J604" s="631"/>
      <c r="K604" s="3192">
        <f t="shared" si="109"/>
        <v>1</v>
      </c>
      <c r="L604" s="631"/>
      <c r="M604" s="3192">
        <f t="shared" si="110"/>
        <v>1</v>
      </c>
      <c r="N604" s="631"/>
      <c r="O604" s="3192">
        <f t="shared" si="111"/>
        <v>1</v>
      </c>
      <c r="P604" s="631" t="s">
        <v>3409</v>
      </c>
      <c r="Q604" s="3192">
        <f t="shared" si="112"/>
        <v>1</v>
      </c>
      <c r="R604" s="3192">
        <f t="shared" ca="1" si="113"/>
        <v>13443</v>
      </c>
      <c r="S604" s="898">
        <f t="shared" ca="1" si="114"/>
        <v>68</v>
      </c>
      <c r="T604" s="3190">
        <f>面积表!A599</f>
        <v>0</v>
      </c>
    </row>
    <row r="605" spans="1:20">
      <c r="A605" s="3169" t="str">
        <f>面积表!D600</f>
        <v>813</v>
      </c>
      <c r="B605" s="52">
        <f>面积表!E600</f>
        <v>50.33</v>
      </c>
      <c r="C605" s="3192">
        <f t="shared" si="105"/>
        <v>1</v>
      </c>
      <c r="D605" s="2559" t="s">
        <v>4016</v>
      </c>
      <c r="E605" s="3192">
        <f t="shared" si="106"/>
        <v>1</v>
      </c>
      <c r="F605" s="631" t="s">
        <v>3815</v>
      </c>
      <c r="G605" s="3192">
        <f t="shared" si="107"/>
        <v>0.95</v>
      </c>
      <c r="H605" s="631">
        <v>3</v>
      </c>
      <c r="I605" s="3192">
        <f t="shared" si="108"/>
        <v>1</v>
      </c>
      <c r="J605" s="631"/>
      <c r="K605" s="3192">
        <f t="shared" si="109"/>
        <v>1</v>
      </c>
      <c r="L605" s="631"/>
      <c r="M605" s="3192">
        <f t="shared" si="110"/>
        <v>1</v>
      </c>
      <c r="N605" s="631"/>
      <c r="O605" s="3192">
        <f t="shared" si="111"/>
        <v>1</v>
      </c>
      <c r="P605" s="631" t="s">
        <v>3409</v>
      </c>
      <c r="Q605" s="3192">
        <f t="shared" si="112"/>
        <v>1</v>
      </c>
      <c r="R605" s="3192">
        <f t="shared" ca="1" si="113"/>
        <v>13443</v>
      </c>
      <c r="S605" s="898">
        <f t="shared" ca="1" si="114"/>
        <v>68</v>
      </c>
      <c r="T605" s="3190">
        <f>面积表!A600</f>
        <v>0</v>
      </c>
    </row>
    <row r="606" spans="1:20">
      <c r="A606" s="3169" t="str">
        <f>面积表!D601</f>
        <v>814</v>
      </c>
      <c r="B606" s="52">
        <f>面积表!E601</f>
        <v>50.33</v>
      </c>
      <c r="C606" s="3192">
        <f t="shared" si="105"/>
        <v>1</v>
      </c>
      <c r="D606" s="2559" t="s">
        <v>4016</v>
      </c>
      <c r="E606" s="3192">
        <f t="shared" si="106"/>
        <v>1</v>
      </c>
      <c r="F606" s="631" t="s">
        <v>3815</v>
      </c>
      <c r="G606" s="3192">
        <f t="shared" si="107"/>
        <v>0.95</v>
      </c>
      <c r="H606" s="631">
        <v>3</v>
      </c>
      <c r="I606" s="3192">
        <f t="shared" si="108"/>
        <v>1</v>
      </c>
      <c r="J606" s="631"/>
      <c r="K606" s="3192">
        <f t="shared" si="109"/>
        <v>1</v>
      </c>
      <c r="L606" s="631"/>
      <c r="M606" s="3192">
        <f t="shared" si="110"/>
        <v>1</v>
      </c>
      <c r="N606" s="631"/>
      <c r="O606" s="3192">
        <f t="shared" si="111"/>
        <v>1</v>
      </c>
      <c r="P606" s="631" t="s">
        <v>3409</v>
      </c>
      <c r="Q606" s="3192">
        <f t="shared" si="112"/>
        <v>1</v>
      </c>
      <c r="R606" s="3192">
        <f t="shared" ca="1" si="113"/>
        <v>13443</v>
      </c>
      <c r="S606" s="898">
        <f t="shared" ca="1" si="114"/>
        <v>68</v>
      </c>
      <c r="T606" s="3190">
        <f>面积表!A601</f>
        <v>0</v>
      </c>
    </row>
    <row r="607" spans="1:20">
      <c r="A607" s="3169" t="str">
        <f>面积表!D602</f>
        <v>815</v>
      </c>
      <c r="B607" s="52">
        <f>面积表!E602</f>
        <v>50.33</v>
      </c>
      <c r="C607" s="3192">
        <f t="shared" si="105"/>
        <v>1</v>
      </c>
      <c r="D607" s="2559" t="s">
        <v>4016</v>
      </c>
      <c r="E607" s="3192">
        <f t="shared" si="106"/>
        <v>1</v>
      </c>
      <c r="F607" s="631" t="s">
        <v>3815</v>
      </c>
      <c r="G607" s="3192">
        <f t="shared" si="107"/>
        <v>0.95</v>
      </c>
      <c r="H607" s="631">
        <v>3</v>
      </c>
      <c r="I607" s="3192">
        <f t="shared" si="108"/>
        <v>1</v>
      </c>
      <c r="J607" s="631"/>
      <c r="K607" s="3192">
        <f t="shared" si="109"/>
        <v>1</v>
      </c>
      <c r="L607" s="631"/>
      <c r="M607" s="3192">
        <f t="shared" si="110"/>
        <v>1</v>
      </c>
      <c r="N607" s="631"/>
      <c r="O607" s="3192">
        <f t="shared" si="111"/>
        <v>1</v>
      </c>
      <c r="P607" s="631" t="s">
        <v>3409</v>
      </c>
      <c r="Q607" s="3192">
        <f t="shared" si="112"/>
        <v>1</v>
      </c>
      <c r="R607" s="3192">
        <f t="shared" ca="1" si="113"/>
        <v>13443</v>
      </c>
      <c r="S607" s="898">
        <f t="shared" ca="1" si="114"/>
        <v>68</v>
      </c>
      <c r="T607" s="3190">
        <f>面积表!A602</f>
        <v>0</v>
      </c>
    </row>
    <row r="608" spans="1:20">
      <c r="A608" s="3169" t="str">
        <f>面积表!D603</f>
        <v>816</v>
      </c>
      <c r="B608" s="52">
        <f>面积表!E603</f>
        <v>69.77</v>
      </c>
      <c r="C608" s="3192">
        <f t="shared" si="105"/>
        <v>1.01</v>
      </c>
      <c r="D608" s="2559" t="s">
        <v>4016</v>
      </c>
      <c r="E608" s="3192">
        <f t="shared" si="106"/>
        <v>1</v>
      </c>
      <c r="F608" s="631" t="s">
        <v>3815</v>
      </c>
      <c r="G608" s="3192">
        <f t="shared" si="107"/>
        <v>0.95</v>
      </c>
      <c r="H608" s="631">
        <v>3</v>
      </c>
      <c r="I608" s="3192">
        <f t="shared" si="108"/>
        <v>1</v>
      </c>
      <c r="J608" s="631"/>
      <c r="K608" s="3192">
        <f t="shared" si="109"/>
        <v>1</v>
      </c>
      <c r="L608" s="631"/>
      <c r="M608" s="3192">
        <f t="shared" si="110"/>
        <v>1</v>
      </c>
      <c r="N608" s="631"/>
      <c r="O608" s="3192">
        <f t="shared" si="111"/>
        <v>1</v>
      </c>
      <c r="P608" s="631" t="s">
        <v>3409</v>
      </c>
      <c r="Q608" s="3192">
        <f t="shared" si="112"/>
        <v>1</v>
      </c>
      <c r="R608" s="3192">
        <f t="shared" ca="1" si="113"/>
        <v>13577</v>
      </c>
      <c r="S608" s="898">
        <f t="shared" ca="1" si="114"/>
        <v>95</v>
      </c>
      <c r="T608" s="3190">
        <f>面积表!A603</f>
        <v>0</v>
      </c>
    </row>
    <row r="609" spans="1:20">
      <c r="A609" s="3169" t="str">
        <f>面积表!D604</f>
        <v>817</v>
      </c>
      <c r="B609" s="52">
        <f>面积表!E604</f>
        <v>38.65</v>
      </c>
      <c r="C609" s="3192">
        <f t="shared" si="105"/>
        <v>1</v>
      </c>
      <c r="D609" s="2559" t="s">
        <v>4016</v>
      </c>
      <c r="E609" s="3192">
        <f t="shared" si="106"/>
        <v>1</v>
      </c>
      <c r="F609" s="631" t="s">
        <v>3815</v>
      </c>
      <c r="G609" s="3192">
        <f t="shared" si="107"/>
        <v>0.95</v>
      </c>
      <c r="H609" s="631">
        <v>3</v>
      </c>
      <c r="I609" s="3192">
        <f t="shared" si="108"/>
        <v>1</v>
      </c>
      <c r="J609" s="631"/>
      <c r="K609" s="3192">
        <f t="shared" si="109"/>
        <v>1</v>
      </c>
      <c r="L609" s="631"/>
      <c r="M609" s="3192">
        <f t="shared" si="110"/>
        <v>1</v>
      </c>
      <c r="N609" s="631"/>
      <c r="O609" s="3192">
        <f t="shared" si="111"/>
        <v>1</v>
      </c>
      <c r="P609" s="631" t="s">
        <v>3409</v>
      </c>
      <c r="Q609" s="3192">
        <f t="shared" si="112"/>
        <v>1</v>
      </c>
      <c r="R609" s="3192">
        <f t="shared" ca="1" si="113"/>
        <v>13443</v>
      </c>
      <c r="S609" s="898">
        <f t="shared" ca="1" si="114"/>
        <v>52</v>
      </c>
      <c r="T609" s="3190">
        <f>面积表!A604</f>
        <v>0</v>
      </c>
    </row>
    <row r="610" spans="1:20">
      <c r="A610" s="3169" t="str">
        <f>面积表!D605</f>
        <v>818</v>
      </c>
      <c r="B610" s="52">
        <f>面积表!E605</f>
        <v>41.99</v>
      </c>
      <c r="C610" s="3192">
        <f t="shared" si="105"/>
        <v>1</v>
      </c>
      <c r="D610" s="2559" t="s">
        <v>4016</v>
      </c>
      <c r="E610" s="3192">
        <f t="shared" si="106"/>
        <v>1</v>
      </c>
      <c r="F610" s="631" t="s">
        <v>3815</v>
      </c>
      <c r="G610" s="3192">
        <f t="shared" si="107"/>
        <v>0.95</v>
      </c>
      <c r="H610" s="631">
        <v>3</v>
      </c>
      <c r="I610" s="3192">
        <f t="shared" si="108"/>
        <v>1</v>
      </c>
      <c r="J610" s="631"/>
      <c r="K610" s="3192">
        <f t="shared" si="109"/>
        <v>1</v>
      </c>
      <c r="L610" s="631"/>
      <c r="M610" s="3192">
        <f t="shared" si="110"/>
        <v>1</v>
      </c>
      <c r="N610" s="631"/>
      <c r="O610" s="3192">
        <f t="shared" si="111"/>
        <v>1</v>
      </c>
      <c r="P610" s="631" t="s">
        <v>3409</v>
      </c>
      <c r="Q610" s="3192">
        <f t="shared" si="112"/>
        <v>1</v>
      </c>
      <c r="R610" s="3192">
        <f t="shared" ca="1" si="113"/>
        <v>13443</v>
      </c>
      <c r="S610" s="898">
        <f t="shared" ca="1" si="114"/>
        <v>56</v>
      </c>
      <c r="T610" s="3190">
        <f>面积表!A605</f>
        <v>0</v>
      </c>
    </row>
    <row r="611" spans="1:20">
      <c r="A611" s="3169" t="str">
        <f>面积表!D606</f>
        <v>819</v>
      </c>
      <c r="B611" s="52">
        <f>面积表!E606</f>
        <v>44.72</v>
      </c>
      <c r="C611" s="3192">
        <f t="shared" si="105"/>
        <v>1</v>
      </c>
      <c r="D611" s="2559" t="s">
        <v>4016</v>
      </c>
      <c r="E611" s="3192">
        <f t="shared" si="106"/>
        <v>1</v>
      </c>
      <c r="F611" s="631" t="s">
        <v>3815</v>
      </c>
      <c r="G611" s="3192">
        <f t="shared" si="107"/>
        <v>0.95</v>
      </c>
      <c r="H611" s="631">
        <v>3</v>
      </c>
      <c r="I611" s="3192">
        <f t="shared" si="108"/>
        <v>1</v>
      </c>
      <c r="J611" s="631"/>
      <c r="K611" s="3192">
        <f t="shared" si="109"/>
        <v>1</v>
      </c>
      <c r="L611" s="631"/>
      <c r="M611" s="3192">
        <f t="shared" si="110"/>
        <v>1</v>
      </c>
      <c r="N611" s="631"/>
      <c r="O611" s="3192">
        <f t="shared" si="111"/>
        <v>1</v>
      </c>
      <c r="P611" s="631" t="s">
        <v>3409</v>
      </c>
      <c r="Q611" s="3192">
        <f t="shared" si="112"/>
        <v>1</v>
      </c>
      <c r="R611" s="3192">
        <f t="shared" ca="1" si="113"/>
        <v>13443</v>
      </c>
      <c r="S611" s="898">
        <f t="shared" ca="1" si="114"/>
        <v>60</v>
      </c>
      <c r="T611" s="3190">
        <f>面积表!A606</f>
        <v>0</v>
      </c>
    </row>
    <row r="612" spans="1:20">
      <c r="A612" s="3169" t="str">
        <f>面积表!D607</f>
        <v>820</v>
      </c>
      <c r="B612" s="52">
        <f>面积表!E607</f>
        <v>46.83</v>
      </c>
      <c r="C612" s="3192">
        <f t="shared" si="105"/>
        <v>1</v>
      </c>
      <c r="D612" s="2559" t="s">
        <v>4016</v>
      </c>
      <c r="E612" s="3192">
        <f t="shared" si="106"/>
        <v>1</v>
      </c>
      <c r="F612" s="631" t="s">
        <v>3815</v>
      </c>
      <c r="G612" s="3192">
        <f t="shared" si="107"/>
        <v>0.95</v>
      </c>
      <c r="H612" s="631">
        <v>3</v>
      </c>
      <c r="I612" s="3192">
        <f t="shared" si="108"/>
        <v>1</v>
      </c>
      <c r="J612" s="631"/>
      <c r="K612" s="3192">
        <f t="shared" si="109"/>
        <v>1</v>
      </c>
      <c r="L612" s="631"/>
      <c r="M612" s="3192">
        <f t="shared" si="110"/>
        <v>1</v>
      </c>
      <c r="N612" s="631"/>
      <c r="O612" s="3192">
        <f t="shared" si="111"/>
        <v>1</v>
      </c>
      <c r="P612" s="631" t="s">
        <v>3409</v>
      </c>
      <c r="Q612" s="3192">
        <f t="shared" si="112"/>
        <v>1</v>
      </c>
      <c r="R612" s="3192">
        <f t="shared" ca="1" si="113"/>
        <v>13443</v>
      </c>
      <c r="S612" s="898">
        <f t="shared" ca="1" si="114"/>
        <v>63</v>
      </c>
      <c r="T612" s="3190">
        <f>面积表!A607</f>
        <v>0</v>
      </c>
    </row>
    <row r="613" spans="1:20">
      <c r="A613" s="3169" t="str">
        <f>面积表!D608</f>
        <v>821</v>
      </c>
      <c r="B613" s="52">
        <f>面积表!E608</f>
        <v>48.33</v>
      </c>
      <c r="C613" s="3192">
        <f t="shared" si="105"/>
        <v>1</v>
      </c>
      <c r="D613" s="2559" t="s">
        <v>4016</v>
      </c>
      <c r="E613" s="3192">
        <f t="shared" si="106"/>
        <v>1</v>
      </c>
      <c r="F613" s="631" t="s">
        <v>3815</v>
      </c>
      <c r="G613" s="3192">
        <f t="shared" si="107"/>
        <v>0.95</v>
      </c>
      <c r="H613" s="631">
        <v>3</v>
      </c>
      <c r="I613" s="3192">
        <f t="shared" si="108"/>
        <v>1</v>
      </c>
      <c r="J613" s="631"/>
      <c r="K613" s="3192">
        <f t="shared" si="109"/>
        <v>1</v>
      </c>
      <c r="L613" s="631"/>
      <c r="M613" s="3192">
        <f t="shared" si="110"/>
        <v>1</v>
      </c>
      <c r="N613" s="631"/>
      <c r="O613" s="3192">
        <f t="shared" si="111"/>
        <v>1</v>
      </c>
      <c r="P613" s="631" t="s">
        <v>3409</v>
      </c>
      <c r="Q613" s="3192">
        <f t="shared" si="112"/>
        <v>1</v>
      </c>
      <c r="R613" s="3192">
        <f t="shared" ca="1" si="113"/>
        <v>13443</v>
      </c>
      <c r="S613" s="898">
        <f t="shared" ca="1" si="114"/>
        <v>65</v>
      </c>
      <c r="T613" s="3190">
        <f>面积表!A608</f>
        <v>0</v>
      </c>
    </row>
    <row r="614" spans="1:20">
      <c r="A614" s="3169" t="str">
        <f>面积表!D609</f>
        <v>822</v>
      </c>
      <c r="B614" s="52">
        <f>面积表!E609</f>
        <v>49.3</v>
      </c>
      <c r="C614" s="3192">
        <f t="shared" si="105"/>
        <v>1</v>
      </c>
      <c r="D614" s="2559" t="s">
        <v>4016</v>
      </c>
      <c r="E614" s="3192">
        <f t="shared" si="106"/>
        <v>1</v>
      </c>
      <c r="F614" s="631" t="s">
        <v>3815</v>
      </c>
      <c r="G614" s="3192">
        <f t="shared" si="107"/>
        <v>0.95</v>
      </c>
      <c r="H614" s="631">
        <v>3</v>
      </c>
      <c r="I614" s="3192">
        <f t="shared" si="108"/>
        <v>1</v>
      </c>
      <c r="J614" s="631"/>
      <c r="K614" s="3192">
        <f t="shared" si="109"/>
        <v>1</v>
      </c>
      <c r="L614" s="631"/>
      <c r="M614" s="3192">
        <f t="shared" si="110"/>
        <v>1</v>
      </c>
      <c r="N614" s="631"/>
      <c r="O614" s="3192">
        <f t="shared" si="111"/>
        <v>1</v>
      </c>
      <c r="P614" s="631" t="s">
        <v>3409</v>
      </c>
      <c r="Q614" s="3192">
        <f t="shared" si="112"/>
        <v>1</v>
      </c>
      <c r="R614" s="3192">
        <f t="shared" ca="1" si="113"/>
        <v>13443</v>
      </c>
      <c r="S614" s="898">
        <f t="shared" ca="1" si="114"/>
        <v>66</v>
      </c>
      <c r="T614" s="3190">
        <f>面积表!A609</f>
        <v>0</v>
      </c>
    </row>
    <row r="615" spans="1:20">
      <c r="A615" s="3169" t="str">
        <f>面积表!D610</f>
        <v>823</v>
      </c>
      <c r="B615" s="52">
        <f>面积表!E610</f>
        <v>49.59</v>
      </c>
      <c r="C615" s="3192">
        <f t="shared" si="105"/>
        <v>1</v>
      </c>
      <c r="D615" s="2559" t="s">
        <v>4016</v>
      </c>
      <c r="E615" s="3192">
        <f t="shared" si="106"/>
        <v>1</v>
      </c>
      <c r="F615" s="631" t="s">
        <v>3815</v>
      </c>
      <c r="G615" s="3192">
        <f t="shared" si="107"/>
        <v>0.95</v>
      </c>
      <c r="H615" s="631">
        <v>3</v>
      </c>
      <c r="I615" s="3192">
        <f t="shared" si="108"/>
        <v>1</v>
      </c>
      <c r="J615" s="631"/>
      <c r="K615" s="3192">
        <f t="shared" si="109"/>
        <v>1</v>
      </c>
      <c r="L615" s="631"/>
      <c r="M615" s="3192">
        <f t="shared" si="110"/>
        <v>1</v>
      </c>
      <c r="N615" s="631"/>
      <c r="O615" s="3192">
        <f t="shared" si="111"/>
        <v>1</v>
      </c>
      <c r="P615" s="631" t="s">
        <v>3409</v>
      </c>
      <c r="Q615" s="3192">
        <f t="shared" si="112"/>
        <v>1</v>
      </c>
      <c r="R615" s="3192">
        <f t="shared" ca="1" si="113"/>
        <v>13443</v>
      </c>
      <c r="S615" s="898">
        <f t="shared" ca="1" si="114"/>
        <v>67</v>
      </c>
      <c r="T615" s="3190">
        <f>面积表!A610</f>
        <v>0</v>
      </c>
    </row>
    <row r="616" spans="1:20">
      <c r="A616" s="3169" t="str">
        <f>面积表!D611</f>
        <v>824</v>
      </c>
      <c r="B616" s="52">
        <f>面积表!E611</f>
        <v>49.28</v>
      </c>
      <c r="C616" s="3192">
        <f t="shared" si="105"/>
        <v>1</v>
      </c>
      <c r="D616" s="2559" t="s">
        <v>4016</v>
      </c>
      <c r="E616" s="3192">
        <f t="shared" si="106"/>
        <v>1</v>
      </c>
      <c r="F616" s="631" t="s">
        <v>3815</v>
      </c>
      <c r="G616" s="3192">
        <f t="shared" si="107"/>
        <v>0.95</v>
      </c>
      <c r="H616" s="631">
        <v>3</v>
      </c>
      <c r="I616" s="3192">
        <f t="shared" si="108"/>
        <v>1</v>
      </c>
      <c r="J616" s="631"/>
      <c r="K616" s="3192">
        <f t="shared" si="109"/>
        <v>1</v>
      </c>
      <c r="L616" s="631"/>
      <c r="M616" s="3192">
        <f t="shared" si="110"/>
        <v>1</v>
      </c>
      <c r="N616" s="631"/>
      <c r="O616" s="3192">
        <f t="shared" si="111"/>
        <v>1</v>
      </c>
      <c r="P616" s="631" t="s">
        <v>3409</v>
      </c>
      <c r="Q616" s="3192">
        <f t="shared" si="112"/>
        <v>1</v>
      </c>
      <c r="R616" s="3192">
        <f t="shared" ca="1" si="113"/>
        <v>13443</v>
      </c>
      <c r="S616" s="898">
        <f t="shared" ca="1" si="114"/>
        <v>66</v>
      </c>
      <c r="T616" s="3190">
        <f>面积表!A611</f>
        <v>0</v>
      </c>
    </row>
    <row r="617" spans="1:20">
      <c r="A617" s="3169" t="str">
        <f>面积表!D612</f>
        <v>825</v>
      </c>
      <c r="B617" s="52">
        <f>面积表!E612</f>
        <v>48.41</v>
      </c>
      <c r="C617" s="3192">
        <f t="shared" si="105"/>
        <v>1</v>
      </c>
      <c r="D617" s="2559" t="s">
        <v>4016</v>
      </c>
      <c r="E617" s="3192">
        <f t="shared" si="106"/>
        <v>1</v>
      </c>
      <c r="F617" s="631" t="s">
        <v>3815</v>
      </c>
      <c r="G617" s="3192">
        <f t="shared" si="107"/>
        <v>0.95</v>
      </c>
      <c r="H617" s="631">
        <v>3</v>
      </c>
      <c r="I617" s="3192">
        <f t="shared" si="108"/>
        <v>1</v>
      </c>
      <c r="J617" s="631"/>
      <c r="K617" s="3192">
        <f t="shared" si="109"/>
        <v>1</v>
      </c>
      <c r="L617" s="631"/>
      <c r="M617" s="3192">
        <f t="shared" si="110"/>
        <v>1</v>
      </c>
      <c r="N617" s="631"/>
      <c r="O617" s="3192">
        <f t="shared" si="111"/>
        <v>1</v>
      </c>
      <c r="P617" s="631" t="s">
        <v>3409</v>
      </c>
      <c r="Q617" s="3192">
        <f t="shared" si="112"/>
        <v>1</v>
      </c>
      <c r="R617" s="3192">
        <f t="shared" ca="1" si="113"/>
        <v>13443</v>
      </c>
      <c r="S617" s="898">
        <f t="shared" ca="1" si="114"/>
        <v>65</v>
      </c>
      <c r="T617" s="3190">
        <f>面积表!A612</f>
        <v>0</v>
      </c>
    </row>
    <row r="618" spans="1:20">
      <c r="A618" s="3169" t="str">
        <f>面积表!D613</f>
        <v>826</v>
      </c>
      <c r="B618" s="52">
        <f>面积表!E613</f>
        <v>47.44</v>
      </c>
      <c r="C618" s="3192">
        <f t="shared" si="105"/>
        <v>1</v>
      </c>
      <c r="D618" s="2559" t="s">
        <v>4016</v>
      </c>
      <c r="E618" s="3192">
        <f t="shared" si="106"/>
        <v>1</v>
      </c>
      <c r="F618" s="631" t="s">
        <v>3815</v>
      </c>
      <c r="G618" s="3192">
        <f t="shared" si="107"/>
        <v>0.95</v>
      </c>
      <c r="H618" s="631">
        <v>3</v>
      </c>
      <c r="I618" s="3192">
        <f t="shared" si="108"/>
        <v>1</v>
      </c>
      <c r="J618" s="631"/>
      <c r="K618" s="3192">
        <f t="shared" si="109"/>
        <v>1</v>
      </c>
      <c r="L618" s="631"/>
      <c r="M618" s="3192">
        <f t="shared" si="110"/>
        <v>1</v>
      </c>
      <c r="N618" s="631"/>
      <c r="O618" s="3192">
        <f t="shared" si="111"/>
        <v>1</v>
      </c>
      <c r="P618" s="631" t="s">
        <v>3409</v>
      </c>
      <c r="Q618" s="3192">
        <f t="shared" si="112"/>
        <v>1</v>
      </c>
      <c r="R618" s="3192">
        <f t="shared" ca="1" si="113"/>
        <v>13443</v>
      </c>
      <c r="S618" s="898">
        <f t="shared" ca="1" si="114"/>
        <v>64</v>
      </c>
      <c r="T618" s="3190">
        <f>面积表!A613</f>
        <v>0</v>
      </c>
    </row>
    <row r="619" spans="1:20">
      <c r="A619" s="3169" t="str">
        <f>面积表!D614</f>
        <v>901</v>
      </c>
      <c r="B619" s="52">
        <f>面积表!E614</f>
        <v>52.2</v>
      </c>
      <c r="C619" s="3192">
        <f t="shared" si="105"/>
        <v>1</v>
      </c>
      <c r="D619" s="2559" t="s">
        <v>4016</v>
      </c>
      <c r="E619" s="3192">
        <f t="shared" si="106"/>
        <v>1</v>
      </c>
      <c r="F619" s="631" t="s">
        <v>3815</v>
      </c>
      <c r="G619" s="3192">
        <f t="shared" si="107"/>
        <v>0.95</v>
      </c>
      <c r="H619" s="631">
        <v>3</v>
      </c>
      <c r="I619" s="3192">
        <f t="shared" si="108"/>
        <v>1</v>
      </c>
      <c r="J619" s="631"/>
      <c r="K619" s="3192">
        <f t="shared" si="109"/>
        <v>1</v>
      </c>
      <c r="L619" s="631"/>
      <c r="M619" s="3192">
        <f t="shared" si="110"/>
        <v>1</v>
      </c>
      <c r="N619" s="631"/>
      <c r="O619" s="3192">
        <f t="shared" si="111"/>
        <v>1</v>
      </c>
      <c r="P619" s="3194" t="s">
        <v>4044</v>
      </c>
      <c r="Q619" s="3192">
        <f t="shared" si="112"/>
        <v>1.02</v>
      </c>
      <c r="R619" s="3192">
        <f t="shared" ca="1" si="113"/>
        <v>13711</v>
      </c>
      <c r="S619" s="898">
        <f t="shared" ca="1" si="114"/>
        <v>72</v>
      </c>
      <c r="T619" s="3190">
        <f>面积表!A614</f>
        <v>0</v>
      </c>
    </row>
    <row r="620" spans="1:20">
      <c r="A620" s="3169" t="str">
        <f>面积表!D615</f>
        <v>902</v>
      </c>
      <c r="B620" s="52">
        <f>面积表!E615</f>
        <v>50.33</v>
      </c>
      <c r="C620" s="3192">
        <f t="shared" si="105"/>
        <v>1</v>
      </c>
      <c r="D620" s="2559" t="s">
        <v>4016</v>
      </c>
      <c r="E620" s="3192">
        <f t="shared" si="106"/>
        <v>1</v>
      </c>
      <c r="F620" s="631" t="s">
        <v>3815</v>
      </c>
      <c r="G620" s="3192">
        <f t="shared" si="107"/>
        <v>0.95</v>
      </c>
      <c r="H620" s="631">
        <v>3</v>
      </c>
      <c r="I620" s="3192">
        <f t="shared" si="108"/>
        <v>1</v>
      </c>
      <c r="J620" s="631"/>
      <c r="K620" s="3192">
        <f t="shared" si="109"/>
        <v>1</v>
      </c>
      <c r="L620" s="631"/>
      <c r="M620" s="3192">
        <f t="shared" si="110"/>
        <v>1</v>
      </c>
      <c r="N620" s="631"/>
      <c r="O620" s="3192">
        <f t="shared" si="111"/>
        <v>1</v>
      </c>
      <c r="P620" s="3194" t="s">
        <v>4044</v>
      </c>
      <c r="Q620" s="3192">
        <f t="shared" si="112"/>
        <v>1.02</v>
      </c>
      <c r="R620" s="3192">
        <f t="shared" ca="1" si="113"/>
        <v>13711</v>
      </c>
      <c r="S620" s="898">
        <f t="shared" ca="1" si="114"/>
        <v>69</v>
      </c>
      <c r="T620" s="3190">
        <f>面积表!A615</f>
        <v>0</v>
      </c>
    </row>
    <row r="621" spans="1:20">
      <c r="A621" s="3169" t="str">
        <f>面积表!D616</f>
        <v>903</v>
      </c>
      <c r="B621" s="52">
        <f>面积表!E616</f>
        <v>50.33</v>
      </c>
      <c r="C621" s="3192">
        <f t="shared" si="105"/>
        <v>1</v>
      </c>
      <c r="D621" s="2559" t="s">
        <v>4016</v>
      </c>
      <c r="E621" s="3192">
        <f t="shared" si="106"/>
        <v>1</v>
      </c>
      <c r="F621" s="631" t="s">
        <v>3815</v>
      </c>
      <c r="G621" s="3192">
        <f t="shared" si="107"/>
        <v>0.95</v>
      </c>
      <c r="H621" s="631">
        <v>3</v>
      </c>
      <c r="I621" s="3192">
        <f t="shared" si="108"/>
        <v>1</v>
      </c>
      <c r="J621" s="631"/>
      <c r="K621" s="3192">
        <f t="shared" si="109"/>
        <v>1</v>
      </c>
      <c r="L621" s="631"/>
      <c r="M621" s="3192">
        <f t="shared" si="110"/>
        <v>1</v>
      </c>
      <c r="N621" s="631"/>
      <c r="O621" s="3192">
        <f t="shared" si="111"/>
        <v>1</v>
      </c>
      <c r="P621" s="3194" t="s">
        <v>4044</v>
      </c>
      <c r="Q621" s="3192">
        <f t="shared" si="112"/>
        <v>1.02</v>
      </c>
      <c r="R621" s="3192">
        <f t="shared" ca="1" si="113"/>
        <v>13711</v>
      </c>
      <c r="S621" s="898">
        <f t="shared" ca="1" si="114"/>
        <v>69</v>
      </c>
      <c r="T621" s="3190">
        <f>面积表!A616</f>
        <v>0</v>
      </c>
    </row>
    <row r="622" spans="1:20">
      <c r="A622" s="3169" t="str">
        <f>面积表!D617</f>
        <v>904</v>
      </c>
      <c r="B622" s="52">
        <f>面积表!E617</f>
        <v>50.33</v>
      </c>
      <c r="C622" s="3192">
        <f t="shared" si="105"/>
        <v>1</v>
      </c>
      <c r="D622" s="2559" t="s">
        <v>4016</v>
      </c>
      <c r="E622" s="3192">
        <f t="shared" si="106"/>
        <v>1</v>
      </c>
      <c r="F622" s="631" t="s">
        <v>3815</v>
      </c>
      <c r="G622" s="3192">
        <f t="shared" si="107"/>
        <v>0.95</v>
      </c>
      <c r="H622" s="631">
        <v>3</v>
      </c>
      <c r="I622" s="3192">
        <f t="shared" si="108"/>
        <v>1</v>
      </c>
      <c r="J622" s="631"/>
      <c r="K622" s="3192">
        <f t="shared" si="109"/>
        <v>1</v>
      </c>
      <c r="L622" s="631"/>
      <c r="M622" s="3192">
        <f t="shared" si="110"/>
        <v>1</v>
      </c>
      <c r="N622" s="631"/>
      <c r="O622" s="3192">
        <f t="shared" si="111"/>
        <v>1</v>
      </c>
      <c r="P622" s="3194" t="s">
        <v>4044</v>
      </c>
      <c r="Q622" s="3192">
        <f t="shared" si="112"/>
        <v>1.02</v>
      </c>
      <c r="R622" s="3192">
        <f t="shared" ca="1" si="113"/>
        <v>13711</v>
      </c>
      <c r="S622" s="898">
        <f t="shared" ca="1" si="114"/>
        <v>69</v>
      </c>
      <c r="T622" s="3190">
        <f>面积表!A617</f>
        <v>0</v>
      </c>
    </row>
    <row r="623" spans="1:20">
      <c r="A623" s="3169" t="str">
        <f>面积表!D618</f>
        <v>905</v>
      </c>
      <c r="B623" s="52">
        <f>面积表!E618</f>
        <v>50.33</v>
      </c>
      <c r="C623" s="3192">
        <f t="shared" si="105"/>
        <v>1</v>
      </c>
      <c r="D623" s="2559" t="s">
        <v>4016</v>
      </c>
      <c r="E623" s="3192">
        <f t="shared" si="106"/>
        <v>1</v>
      </c>
      <c r="F623" s="631" t="s">
        <v>3815</v>
      </c>
      <c r="G623" s="3192">
        <f t="shared" si="107"/>
        <v>0.95</v>
      </c>
      <c r="H623" s="631">
        <v>3</v>
      </c>
      <c r="I623" s="3192">
        <f t="shared" si="108"/>
        <v>1</v>
      </c>
      <c r="J623" s="631"/>
      <c r="K623" s="3192">
        <f t="shared" si="109"/>
        <v>1</v>
      </c>
      <c r="L623" s="631"/>
      <c r="M623" s="3192">
        <f t="shared" si="110"/>
        <v>1</v>
      </c>
      <c r="N623" s="631"/>
      <c r="O623" s="3192">
        <f t="shared" si="111"/>
        <v>1</v>
      </c>
      <c r="P623" s="3194" t="s">
        <v>4044</v>
      </c>
      <c r="Q623" s="3192">
        <f t="shared" si="112"/>
        <v>1.02</v>
      </c>
      <c r="R623" s="3192">
        <f t="shared" ca="1" si="113"/>
        <v>13711</v>
      </c>
      <c r="S623" s="898">
        <f t="shared" ca="1" si="114"/>
        <v>69</v>
      </c>
      <c r="T623" s="3190">
        <f>面积表!A618</f>
        <v>0</v>
      </c>
    </row>
    <row r="624" spans="1:20">
      <c r="A624" s="3169" t="str">
        <f>面积表!D619</f>
        <v>906</v>
      </c>
      <c r="B624" s="52">
        <f>面积表!E619</f>
        <v>50.33</v>
      </c>
      <c r="C624" s="3192">
        <f t="shared" si="105"/>
        <v>1</v>
      </c>
      <c r="D624" s="2559" t="s">
        <v>4016</v>
      </c>
      <c r="E624" s="3192">
        <f t="shared" si="106"/>
        <v>1</v>
      </c>
      <c r="F624" s="631" t="s">
        <v>3815</v>
      </c>
      <c r="G624" s="3192">
        <f t="shared" si="107"/>
        <v>0.95</v>
      </c>
      <c r="H624" s="631">
        <v>3</v>
      </c>
      <c r="I624" s="3192">
        <f t="shared" si="108"/>
        <v>1</v>
      </c>
      <c r="J624" s="631"/>
      <c r="K624" s="3192">
        <f t="shared" si="109"/>
        <v>1</v>
      </c>
      <c r="L624" s="631"/>
      <c r="M624" s="3192">
        <f t="shared" si="110"/>
        <v>1</v>
      </c>
      <c r="N624" s="631"/>
      <c r="O624" s="3192">
        <f t="shared" si="111"/>
        <v>1</v>
      </c>
      <c r="P624" s="3194" t="s">
        <v>4044</v>
      </c>
      <c r="Q624" s="3192">
        <f t="shared" si="112"/>
        <v>1.02</v>
      </c>
      <c r="R624" s="3192">
        <f t="shared" ca="1" si="113"/>
        <v>13711</v>
      </c>
      <c r="S624" s="898">
        <f t="shared" ca="1" si="114"/>
        <v>69</v>
      </c>
      <c r="T624" s="3190">
        <f>面积表!A619</f>
        <v>0</v>
      </c>
    </row>
    <row r="625" spans="1:20">
      <c r="A625" s="3169" t="str">
        <f>面积表!D620</f>
        <v>907</v>
      </c>
      <c r="B625" s="52">
        <f>面积表!E620</f>
        <v>50.33</v>
      </c>
      <c r="C625" s="3192">
        <f t="shared" si="105"/>
        <v>1</v>
      </c>
      <c r="D625" s="2559" t="s">
        <v>4016</v>
      </c>
      <c r="E625" s="3192">
        <f t="shared" si="106"/>
        <v>1</v>
      </c>
      <c r="F625" s="631" t="s">
        <v>3815</v>
      </c>
      <c r="G625" s="3192">
        <f t="shared" si="107"/>
        <v>0.95</v>
      </c>
      <c r="H625" s="631">
        <v>3</v>
      </c>
      <c r="I625" s="3192">
        <f t="shared" si="108"/>
        <v>1</v>
      </c>
      <c r="J625" s="631"/>
      <c r="K625" s="3192">
        <f t="shared" si="109"/>
        <v>1</v>
      </c>
      <c r="L625" s="631"/>
      <c r="M625" s="3192">
        <f t="shared" si="110"/>
        <v>1</v>
      </c>
      <c r="N625" s="631"/>
      <c r="O625" s="3192">
        <f t="shared" si="111"/>
        <v>1</v>
      </c>
      <c r="P625" s="3194" t="s">
        <v>4044</v>
      </c>
      <c r="Q625" s="3192">
        <f t="shared" si="112"/>
        <v>1.02</v>
      </c>
      <c r="R625" s="3192">
        <f t="shared" ca="1" si="113"/>
        <v>13711</v>
      </c>
      <c r="S625" s="898">
        <f t="shared" ca="1" si="114"/>
        <v>69</v>
      </c>
      <c r="T625" s="3190">
        <f>面积表!A620</f>
        <v>0</v>
      </c>
    </row>
    <row r="626" spans="1:20">
      <c r="A626" s="3169" t="str">
        <f>面积表!D621</f>
        <v>908</v>
      </c>
      <c r="B626" s="52">
        <f>面积表!E621</f>
        <v>50.33</v>
      </c>
      <c r="C626" s="3192">
        <f t="shared" si="105"/>
        <v>1</v>
      </c>
      <c r="D626" s="2559" t="s">
        <v>4016</v>
      </c>
      <c r="E626" s="3192">
        <f t="shared" si="106"/>
        <v>1</v>
      </c>
      <c r="F626" s="631" t="s">
        <v>3815</v>
      </c>
      <c r="G626" s="3192">
        <f t="shared" si="107"/>
        <v>0.95</v>
      </c>
      <c r="H626" s="631">
        <v>3</v>
      </c>
      <c r="I626" s="3192">
        <f t="shared" si="108"/>
        <v>1</v>
      </c>
      <c r="J626" s="631"/>
      <c r="K626" s="3192">
        <f t="shared" si="109"/>
        <v>1</v>
      </c>
      <c r="L626" s="631"/>
      <c r="M626" s="3192">
        <f t="shared" si="110"/>
        <v>1</v>
      </c>
      <c r="N626" s="631"/>
      <c r="O626" s="3192">
        <f t="shared" si="111"/>
        <v>1</v>
      </c>
      <c r="P626" s="3194" t="s">
        <v>4044</v>
      </c>
      <c r="Q626" s="3192">
        <f t="shared" si="112"/>
        <v>1.02</v>
      </c>
      <c r="R626" s="3192">
        <f t="shared" ca="1" si="113"/>
        <v>13711</v>
      </c>
      <c r="S626" s="898">
        <f t="shared" ca="1" si="114"/>
        <v>69</v>
      </c>
      <c r="T626" s="3190">
        <f>面积表!A621</f>
        <v>0</v>
      </c>
    </row>
    <row r="627" spans="1:20">
      <c r="A627" s="3169" t="str">
        <f>面积表!D622</f>
        <v>909</v>
      </c>
      <c r="B627" s="52">
        <f>面积表!E622</f>
        <v>50.33</v>
      </c>
      <c r="C627" s="3192">
        <f t="shared" si="105"/>
        <v>1</v>
      </c>
      <c r="D627" s="2559" t="s">
        <v>4016</v>
      </c>
      <c r="E627" s="3192">
        <f t="shared" si="106"/>
        <v>1</v>
      </c>
      <c r="F627" s="631" t="s">
        <v>3815</v>
      </c>
      <c r="G627" s="3192">
        <f t="shared" si="107"/>
        <v>0.95</v>
      </c>
      <c r="H627" s="631">
        <v>3</v>
      </c>
      <c r="I627" s="3192">
        <f t="shared" si="108"/>
        <v>1</v>
      </c>
      <c r="J627" s="631"/>
      <c r="K627" s="3192">
        <f t="shared" si="109"/>
        <v>1</v>
      </c>
      <c r="L627" s="631"/>
      <c r="M627" s="3192">
        <f t="shared" si="110"/>
        <v>1</v>
      </c>
      <c r="N627" s="631"/>
      <c r="O627" s="3192">
        <f t="shared" si="111"/>
        <v>1</v>
      </c>
      <c r="P627" s="3194" t="s">
        <v>4044</v>
      </c>
      <c r="Q627" s="3192">
        <f t="shared" si="112"/>
        <v>1.02</v>
      </c>
      <c r="R627" s="3192">
        <f t="shared" ca="1" si="113"/>
        <v>13711</v>
      </c>
      <c r="S627" s="898">
        <f t="shared" ca="1" si="114"/>
        <v>69</v>
      </c>
      <c r="T627" s="3190">
        <f>面积表!A622</f>
        <v>0</v>
      </c>
    </row>
    <row r="628" spans="1:20">
      <c r="A628" s="3169" t="str">
        <f>面积表!D623</f>
        <v>910</v>
      </c>
      <c r="B628" s="52">
        <f>面积表!E623</f>
        <v>50.33</v>
      </c>
      <c r="C628" s="3192">
        <f t="shared" si="105"/>
        <v>1</v>
      </c>
      <c r="D628" s="2559" t="s">
        <v>4016</v>
      </c>
      <c r="E628" s="3192">
        <f t="shared" si="106"/>
        <v>1</v>
      </c>
      <c r="F628" s="631" t="s">
        <v>3815</v>
      </c>
      <c r="G628" s="3192">
        <f t="shared" si="107"/>
        <v>0.95</v>
      </c>
      <c r="H628" s="631">
        <v>3</v>
      </c>
      <c r="I628" s="3192">
        <f t="shared" si="108"/>
        <v>1</v>
      </c>
      <c r="J628" s="631"/>
      <c r="K628" s="3192">
        <f t="shared" si="109"/>
        <v>1</v>
      </c>
      <c r="L628" s="631"/>
      <c r="M628" s="3192">
        <f t="shared" si="110"/>
        <v>1</v>
      </c>
      <c r="N628" s="631"/>
      <c r="O628" s="3192">
        <f t="shared" si="111"/>
        <v>1</v>
      </c>
      <c r="P628" s="3194" t="s">
        <v>4044</v>
      </c>
      <c r="Q628" s="3192">
        <f t="shared" si="112"/>
        <v>1.02</v>
      </c>
      <c r="R628" s="3192">
        <f t="shared" ca="1" si="113"/>
        <v>13711</v>
      </c>
      <c r="S628" s="898">
        <f t="shared" ca="1" si="114"/>
        <v>69</v>
      </c>
      <c r="T628" s="3190">
        <f>面积表!A623</f>
        <v>0</v>
      </c>
    </row>
    <row r="629" spans="1:20">
      <c r="A629" s="3169" t="str">
        <f>面积表!D624</f>
        <v>911</v>
      </c>
      <c r="B629" s="52">
        <f>面积表!E624</f>
        <v>50.33</v>
      </c>
      <c r="C629" s="3192">
        <f t="shared" si="105"/>
        <v>1</v>
      </c>
      <c r="D629" s="2559" t="s">
        <v>4016</v>
      </c>
      <c r="E629" s="3192">
        <f t="shared" si="106"/>
        <v>1</v>
      </c>
      <c r="F629" s="631" t="s">
        <v>3815</v>
      </c>
      <c r="G629" s="3192">
        <f t="shared" si="107"/>
        <v>0.95</v>
      </c>
      <c r="H629" s="631">
        <v>3</v>
      </c>
      <c r="I629" s="3192">
        <f t="shared" si="108"/>
        <v>1</v>
      </c>
      <c r="J629" s="631"/>
      <c r="K629" s="3192">
        <f t="shared" si="109"/>
        <v>1</v>
      </c>
      <c r="L629" s="631"/>
      <c r="M629" s="3192">
        <f t="shared" si="110"/>
        <v>1</v>
      </c>
      <c r="N629" s="631"/>
      <c r="O629" s="3192">
        <f t="shared" si="111"/>
        <v>1</v>
      </c>
      <c r="P629" s="3194" t="s">
        <v>4044</v>
      </c>
      <c r="Q629" s="3192">
        <f t="shared" si="112"/>
        <v>1.02</v>
      </c>
      <c r="R629" s="3192">
        <f t="shared" ca="1" si="113"/>
        <v>13711</v>
      </c>
      <c r="S629" s="898">
        <f t="shared" ca="1" si="114"/>
        <v>69</v>
      </c>
      <c r="T629" s="3190">
        <f>面积表!A624</f>
        <v>0</v>
      </c>
    </row>
    <row r="630" spans="1:20">
      <c r="A630" s="3169" t="str">
        <f>面积表!D625</f>
        <v>912</v>
      </c>
      <c r="B630" s="52">
        <f>面积表!E625</f>
        <v>50.33</v>
      </c>
      <c r="C630" s="3192">
        <f t="shared" si="105"/>
        <v>1</v>
      </c>
      <c r="D630" s="2559" t="s">
        <v>4016</v>
      </c>
      <c r="E630" s="3192">
        <f t="shared" si="106"/>
        <v>1</v>
      </c>
      <c r="F630" s="631" t="s">
        <v>3815</v>
      </c>
      <c r="G630" s="3192">
        <f t="shared" si="107"/>
        <v>0.95</v>
      </c>
      <c r="H630" s="631">
        <v>3</v>
      </c>
      <c r="I630" s="3192">
        <f t="shared" si="108"/>
        <v>1</v>
      </c>
      <c r="J630" s="631"/>
      <c r="K630" s="3192">
        <f t="shared" si="109"/>
        <v>1</v>
      </c>
      <c r="L630" s="631"/>
      <c r="M630" s="3192">
        <f t="shared" si="110"/>
        <v>1</v>
      </c>
      <c r="N630" s="631"/>
      <c r="O630" s="3192">
        <f t="shared" si="111"/>
        <v>1</v>
      </c>
      <c r="P630" s="3194" t="s">
        <v>4044</v>
      </c>
      <c r="Q630" s="3192">
        <f t="shared" si="112"/>
        <v>1.02</v>
      </c>
      <c r="R630" s="3192">
        <f t="shared" ca="1" si="113"/>
        <v>13711</v>
      </c>
      <c r="S630" s="898">
        <f t="shared" ca="1" si="114"/>
        <v>69</v>
      </c>
      <c r="T630" s="3190">
        <f>面积表!A625</f>
        <v>0</v>
      </c>
    </row>
    <row r="631" spans="1:20">
      <c r="A631" s="3169" t="str">
        <f>面积表!D626</f>
        <v>913</v>
      </c>
      <c r="B631" s="52">
        <f>面积表!E626</f>
        <v>50.33</v>
      </c>
      <c r="C631" s="3192">
        <f t="shared" si="105"/>
        <v>1</v>
      </c>
      <c r="D631" s="2559" t="s">
        <v>4016</v>
      </c>
      <c r="E631" s="3192">
        <f t="shared" si="106"/>
        <v>1</v>
      </c>
      <c r="F631" s="631" t="s">
        <v>3815</v>
      </c>
      <c r="G631" s="3192">
        <f t="shared" si="107"/>
        <v>0.95</v>
      </c>
      <c r="H631" s="631">
        <v>3</v>
      </c>
      <c r="I631" s="3192">
        <f t="shared" si="108"/>
        <v>1</v>
      </c>
      <c r="J631" s="631"/>
      <c r="K631" s="3192">
        <f t="shared" si="109"/>
        <v>1</v>
      </c>
      <c r="L631" s="631"/>
      <c r="M631" s="3192">
        <f t="shared" si="110"/>
        <v>1</v>
      </c>
      <c r="N631" s="631"/>
      <c r="O631" s="3192">
        <f t="shared" si="111"/>
        <v>1</v>
      </c>
      <c r="P631" s="3194" t="s">
        <v>4044</v>
      </c>
      <c r="Q631" s="3192">
        <f t="shared" si="112"/>
        <v>1.02</v>
      </c>
      <c r="R631" s="3192">
        <f t="shared" ca="1" si="113"/>
        <v>13711</v>
      </c>
      <c r="S631" s="898">
        <f t="shared" ca="1" si="114"/>
        <v>69</v>
      </c>
      <c r="T631" s="3190">
        <f>面积表!A626</f>
        <v>0</v>
      </c>
    </row>
    <row r="632" spans="1:20">
      <c r="A632" s="3169" t="str">
        <f>面积表!D627</f>
        <v>914</v>
      </c>
      <c r="B632" s="52">
        <f>面积表!E627</f>
        <v>50.33</v>
      </c>
      <c r="C632" s="3192">
        <f t="shared" si="105"/>
        <v>1</v>
      </c>
      <c r="D632" s="2559" t="s">
        <v>4016</v>
      </c>
      <c r="E632" s="3192">
        <f t="shared" si="106"/>
        <v>1</v>
      </c>
      <c r="F632" s="631" t="s">
        <v>3815</v>
      </c>
      <c r="G632" s="3192">
        <f t="shared" si="107"/>
        <v>0.95</v>
      </c>
      <c r="H632" s="631">
        <v>3</v>
      </c>
      <c r="I632" s="3192">
        <f t="shared" si="108"/>
        <v>1</v>
      </c>
      <c r="J632" s="631"/>
      <c r="K632" s="3192">
        <f t="shared" si="109"/>
        <v>1</v>
      </c>
      <c r="L632" s="631"/>
      <c r="M632" s="3192">
        <f t="shared" si="110"/>
        <v>1</v>
      </c>
      <c r="N632" s="631"/>
      <c r="O632" s="3192">
        <f t="shared" si="111"/>
        <v>1</v>
      </c>
      <c r="P632" s="3194" t="s">
        <v>4044</v>
      </c>
      <c r="Q632" s="3192">
        <f t="shared" si="112"/>
        <v>1.02</v>
      </c>
      <c r="R632" s="3192">
        <f t="shared" ca="1" si="113"/>
        <v>13711</v>
      </c>
      <c r="S632" s="898">
        <f t="shared" ca="1" si="114"/>
        <v>69</v>
      </c>
      <c r="T632" s="3190">
        <f>面积表!A627</f>
        <v>0</v>
      </c>
    </row>
    <row r="633" spans="1:20">
      <c r="A633" s="3169" t="str">
        <f>面积表!D628</f>
        <v>915</v>
      </c>
      <c r="B633" s="52">
        <f>面积表!E628</f>
        <v>50.33</v>
      </c>
      <c r="C633" s="3192">
        <f t="shared" si="105"/>
        <v>1</v>
      </c>
      <c r="D633" s="2559" t="s">
        <v>4016</v>
      </c>
      <c r="E633" s="3192">
        <f t="shared" si="106"/>
        <v>1</v>
      </c>
      <c r="F633" s="631" t="s">
        <v>3815</v>
      </c>
      <c r="G633" s="3192">
        <f t="shared" si="107"/>
        <v>0.95</v>
      </c>
      <c r="H633" s="631">
        <v>3</v>
      </c>
      <c r="I633" s="3192">
        <f t="shared" si="108"/>
        <v>1</v>
      </c>
      <c r="J633" s="631"/>
      <c r="K633" s="3192">
        <f t="shared" si="109"/>
        <v>1</v>
      </c>
      <c r="L633" s="631"/>
      <c r="M633" s="3192">
        <f t="shared" si="110"/>
        <v>1</v>
      </c>
      <c r="N633" s="631"/>
      <c r="O633" s="3192">
        <f t="shared" si="111"/>
        <v>1</v>
      </c>
      <c r="P633" s="3194" t="s">
        <v>4044</v>
      </c>
      <c r="Q633" s="3192">
        <f t="shared" si="112"/>
        <v>1.02</v>
      </c>
      <c r="R633" s="3192">
        <f t="shared" ca="1" si="113"/>
        <v>13711</v>
      </c>
      <c r="S633" s="898">
        <f t="shared" ca="1" si="114"/>
        <v>69</v>
      </c>
      <c r="T633" s="3190">
        <f>面积表!A628</f>
        <v>0</v>
      </c>
    </row>
    <row r="634" spans="1:20">
      <c r="A634" s="3169" t="str">
        <f>面积表!D629</f>
        <v>916</v>
      </c>
      <c r="B634" s="52">
        <f>面积表!E629</f>
        <v>69.77</v>
      </c>
      <c r="C634" s="3192">
        <f t="shared" si="105"/>
        <v>1.01</v>
      </c>
      <c r="D634" s="2559" t="s">
        <v>4016</v>
      </c>
      <c r="E634" s="3192">
        <f t="shared" si="106"/>
        <v>1</v>
      </c>
      <c r="F634" s="631" t="s">
        <v>3815</v>
      </c>
      <c r="G634" s="3192">
        <f t="shared" si="107"/>
        <v>0.95</v>
      </c>
      <c r="H634" s="631">
        <v>3</v>
      </c>
      <c r="I634" s="3192">
        <f t="shared" si="108"/>
        <v>1</v>
      </c>
      <c r="J634" s="631"/>
      <c r="K634" s="3192">
        <f t="shared" si="109"/>
        <v>1</v>
      </c>
      <c r="L634" s="631"/>
      <c r="M634" s="3192">
        <f t="shared" si="110"/>
        <v>1</v>
      </c>
      <c r="N634" s="631"/>
      <c r="O634" s="3192">
        <f t="shared" si="111"/>
        <v>1</v>
      </c>
      <c r="P634" s="3194" t="s">
        <v>4044</v>
      </c>
      <c r="Q634" s="3192">
        <f t="shared" si="112"/>
        <v>1.02</v>
      </c>
      <c r="R634" s="3192">
        <f t="shared" ca="1" si="113"/>
        <v>13848</v>
      </c>
      <c r="S634" s="898">
        <f t="shared" ca="1" si="114"/>
        <v>97</v>
      </c>
      <c r="T634" s="3190">
        <f>面积表!A629</f>
        <v>0</v>
      </c>
    </row>
    <row r="635" spans="1:20">
      <c r="A635" s="3169" t="str">
        <f>面积表!D630</f>
        <v>917</v>
      </c>
      <c r="B635" s="52">
        <f>面积表!E630</f>
        <v>38.65</v>
      </c>
      <c r="C635" s="3192">
        <f t="shared" si="105"/>
        <v>1</v>
      </c>
      <c r="D635" s="2559" t="s">
        <v>4016</v>
      </c>
      <c r="E635" s="3192">
        <f t="shared" si="106"/>
        <v>1</v>
      </c>
      <c r="F635" s="631" t="s">
        <v>3815</v>
      </c>
      <c r="G635" s="3192">
        <f t="shared" si="107"/>
        <v>0.95</v>
      </c>
      <c r="H635" s="631">
        <v>3</v>
      </c>
      <c r="I635" s="3192">
        <f t="shared" si="108"/>
        <v>1</v>
      </c>
      <c r="J635" s="631"/>
      <c r="K635" s="3192">
        <f t="shared" si="109"/>
        <v>1</v>
      </c>
      <c r="L635" s="631"/>
      <c r="M635" s="3192">
        <f t="shared" si="110"/>
        <v>1</v>
      </c>
      <c r="N635" s="631"/>
      <c r="O635" s="3192">
        <f t="shared" si="111"/>
        <v>1</v>
      </c>
      <c r="P635" s="3194" t="s">
        <v>4044</v>
      </c>
      <c r="Q635" s="3192">
        <f t="shared" si="112"/>
        <v>1.02</v>
      </c>
      <c r="R635" s="3192">
        <f t="shared" ca="1" si="113"/>
        <v>13711</v>
      </c>
      <c r="S635" s="898">
        <f t="shared" ca="1" si="114"/>
        <v>53</v>
      </c>
      <c r="T635" s="3190">
        <f>面积表!A630</f>
        <v>0</v>
      </c>
    </row>
    <row r="636" spans="1:20">
      <c r="A636" s="3169" t="str">
        <f>面积表!D631</f>
        <v>918</v>
      </c>
      <c r="B636" s="52">
        <f>面积表!E631</f>
        <v>41.99</v>
      </c>
      <c r="C636" s="3192">
        <f t="shared" si="105"/>
        <v>1</v>
      </c>
      <c r="D636" s="2559" t="s">
        <v>4016</v>
      </c>
      <c r="E636" s="3192">
        <f t="shared" si="106"/>
        <v>1</v>
      </c>
      <c r="F636" s="631" t="s">
        <v>3815</v>
      </c>
      <c r="G636" s="3192">
        <f t="shared" si="107"/>
        <v>0.95</v>
      </c>
      <c r="H636" s="631">
        <v>3</v>
      </c>
      <c r="I636" s="3192">
        <f t="shared" si="108"/>
        <v>1</v>
      </c>
      <c r="J636" s="631"/>
      <c r="K636" s="3192">
        <f t="shared" si="109"/>
        <v>1</v>
      </c>
      <c r="L636" s="631"/>
      <c r="M636" s="3192">
        <f t="shared" si="110"/>
        <v>1</v>
      </c>
      <c r="N636" s="631"/>
      <c r="O636" s="3192">
        <f t="shared" si="111"/>
        <v>1</v>
      </c>
      <c r="P636" s="3194" t="s">
        <v>4044</v>
      </c>
      <c r="Q636" s="3192">
        <f t="shared" si="112"/>
        <v>1.02</v>
      </c>
      <c r="R636" s="3192">
        <f t="shared" ca="1" si="113"/>
        <v>13711</v>
      </c>
      <c r="S636" s="898">
        <f t="shared" ca="1" si="114"/>
        <v>58</v>
      </c>
      <c r="T636" s="3190">
        <f>面积表!A631</f>
        <v>0</v>
      </c>
    </row>
    <row r="637" spans="1:20">
      <c r="A637" s="3169" t="str">
        <f>面积表!D632</f>
        <v>919</v>
      </c>
      <c r="B637" s="52">
        <f>面积表!E632</f>
        <v>44.72</v>
      </c>
      <c r="C637" s="3192">
        <f t="shared" si="105"/>
        <v>1</v>
      </c>
      <c r="D637" s="2559" t="s">
        <v>4016</v>
      </c>
      <c r="E637" s="3192">
        <f t="shared" si="106"/>
        <v>1</v>
      </c>
      <c r="F637" s="631" t="s">
        <v>3815</v>
      </c>
      <c r="G637" s="3192">
        <f t="shared" si="107"/>
        <v>0.95</v>
      </c>
      <c r="H637" s="631">
        <v>3</v>
      </c>
      <c r="I637" s="3192">
        <f t="shared" si="108"/>
        <v>1</v>
      </c>
      <c r="J637" s="631"/>
      <c r="K637" s="3192">
        <f t="shared" si="109"/>
        <v>1</v>
      </c>
      <c r="L637" s="631"/>
      <c r="M637" s="3192">
        <f t="shared" si="110"/>
        <v>1</v>
      </c>
      <c r="N637" s="631"/>
      <c r="O637" s="3192">
        <f t="shared" si="111"/>
        <v>1</v>
      </c>
      <c r="P637" s="3194" t="s">
        <v>4044</v>
      </c>
      <c r="Q637" s="3192">
        <f t="shared" si="112"/>
        <v>1.02</v>
      </c>
      <c r="R637" s="3192">
        <f t="shared" ca="1" si="113"/>
        <v>13711</v>
      </c>
      <c r="S637" s="898">
        <f t="shared" ca="1" si="114"/>
        <v>61</v>
      </c>
      <c r="T637" s="3190">
        <f>面积表!A632</f>
        <v>0</v>
      </c>
    </row>
    <row r="638" spans="1:20">
      <c r="A638" s="3169" t="str">
        <f>面积表!D633</f>
        <v>920</v>
      </c>
      <c r="B638" s="52">
        <f>面积表!E633</f>
        <v>46.83</v>
      </c>
      <c r="C638" s="3192">
        <f t="shared" si="105"/>
        <v>1</v>
      </c>
      <c r="D638" s="2559" t="s">
        <v>4016</v>
      </c>
      <c r="E638" s="3192">
        <f t="shared" si="106"/>
        <v>1</v>
      </c>
      <c r="F638" s="631" t="s">
        <v>3815</v>
      </c>
      <c r="G638" s="3192">
        <f t="shared" si="107"/>
        <v>0.95</v>
      </c>
      <c r="H638" s="631">
        <v>3</v>
      </c>
      <c r="I638" s="3192">
        <f t="shared" si="108"/>
        <v>1</v>
      </c>
      <c r="J638" s="631"/>
      <c r="K638" s="3192">
        <f t="shared" si="109"/>
        <v>1</v>
      </c>
      <c r="L638" s="631"/>
      <c r="M638" s="3192">
        <f t="shared" si="110"/>
        <v>1</v>
      </c>
      <c r="N638" s="631"/>
      <c r="O638" s="3192">
        <f t="shared" si="111"/>
        <v>1</v>
      </c>
      <c r="P638" s="3194" t="s">
        <v>4044</v>
      </c>
      <c r="Q638" s="3192">
        <f t="shared" si="112"/>
        <v>1.02</v>
      </c>
      <c r="R638" s="3192">
        <f t="shared" ca="1" si="113"/>
        <v>13711</v>
      </c>
      <c r="S638" s="898">
        <f t="shared" ca="1" si="114"/>
        <v>64</v>
      </c>
      <c r="T638" s="3190">
        <f>面积表!A633</f>
        <v>0</v>
      </c>
    </row>
    <row r="639" spans="1:20">
      <c r="A639" s="3169" t="str">
        <f>面积表!D634</f>
        <v>921</v>
      </c>
      <c r="B639" s="52">
        <f>面积表!E634</f>
        <v>48.33</v>
      </c>
      <c r="C639" s="3192">
        <f t="shared" si="105"/>
        <v>1</v>
      </c>
      <c r="D639" s="2559" t="s">
        <v>4016</v>
      </c>
      <c r="E639" s="3192">
        <f t="shared" si="106"/>
        <v>1</v>
      </c>
      <c r="F639" s="631" t="s">
        <v>3815</v>
      </c>
      <c r="G639" s="3192">
        <f t="shared" si="107"/>
        <v>0.95</v>
      </c>
      <c r="H639" s="631">
        <v>3</v>
      </c>
      <c r="I639" s="3192">
        <f t="shared" si="108"/>
        <v>1</v>
      </c>
      <c r="J639" s="631"/>
      <c r="K639" s="3192">
        <f t="shared" si="109"/>
        <v>1</v>
      </c>
      <c r="L639" s="631"/>
      <c r="M639" s="3192">
        <f t="shared" si="110"/>
        <v>1</v>
      </c>
      <c r="N639" s="631"/>
      <c r="O639" s="3192">
        <f t="shared" si="111"/>
        <v>1</v>
      </c>
      <c r="P639" s="3194" t="s">
        <v>4044</v>
      </c>
      <c r="Q639" s="3192">
        <f t="shared" si="112"/>
        <v>1.02</v>
      </c>
      <c r="R639" s="3192">
        <f t="shared" ca="1" si="113"/>
        <v>13711</v>
      </c>
      <c r="S639" s="898">
        <f t="shared" ca="1" si="114"/>
        <v>66</v>
      </c>
      <c r="T639" s="3190">
        <f>面积表!A634</f>
        <v>0</v>
      </c>
    </row>
    <row r="640" spans="1:20">
      <c r="A640" s="3169" t="str">
        <f>面积表!D635</f>
        <v>922</v>
      </c>
      <c r="B640" s="52">
        <f>面积表!E635</f>
        <v>49.3</v>
      </c>
      <c r="C640" s="3192">
        <f t="shared" si="105"/>
        <v>1</v>
      </c>
      <c r="D640" s="2559" t="s">
        <v>4016</v>
      </c>
      <c r="E640" s="3192">
        <f t="shared" si="106"/>
        <v>1</v>
      </c>
      <c r="F640" s="631" t="s">
        <v>3815</v>
      </c>
      <c r="G640" s="3192">
        <f t="shared" si="107"/>
        <v>0.95</v>
      </c>
      <c r="H640" s="631">
        <v>3</v>
      </c>
      <c r="I640" s="3192">
        <f t="shared" si="108"/>
        <v>1</v>
      </c>
      <c r="J640" s="631"/>
      <c r="K640" s="3192">
        <f t="shared" si="109"/>
        <v>1</v>
      </c>
      <c r="L640" s="631"/>
      <c r="M640" s="3192">
        <f t="shared" si="110"/>
        <v>1</v>
      </c>
      <c r="N640" s="631"/>
      <c r="O640" s="3192">
        <f t="shared" si="111"/>
        <v>1</v>
      </c>
      <c r="P640" s="3194" t="s">
        <v>4044</v>
      </c>
      <c r="Q640" s="3192">
        <f t="shared" si="112"/>
        <v>1.02</v>
      </c>
      <c r="R640" s="3192">
        <f t="shared" ca="1" si="113"/>
        <v>13711</v>
      </c>
      <c r="S640" s="898">
        <f t="shared" ca="1" si="114"/>
        <v>68</v>
      </c>
      <c r="T640" s="3190">
        <f>面积表!A635</f>
        <v>0</v>
      </c>
    </row>
    <row r="641" spans="1:20">
      <c r="A641" s="3169" t="str">
        <f>面积表!D636</f>
        <v>923</v>
      </c>
      <c r="B641" s="52">
        <f>面积表!E636</f>
        <v>49.59</v>
      </c>
      <c r="C641" s="3192">
        <f t="shared" si="105"/>
        <v>1</v>
      </c>
      <c r="D641" s="2559" t="s">
        <v>4016</v>
      </c>
      <c r="E641" s="3192">
        <f t="shared" si="106"/>
        <v>1</v>
      </c>
      <c r="F641" s="631" t="s">
        <v>3815</v>
      </c>
      <c r="G641" s="3192">
        <f t="shared" si="107"/>
        <v>0.95</v>
      </c>
      <c r="H641" s="631">
        <v>3</v>
      </c>
      <c r="I641" s="3192">
        <f t="shared" si="108"/>
        <v>1</v>
      </c>
      <c r="J641" s="631"/>
      <c r="K641" s="3192">
        <f t="shared" si="109"/>
        <v>1</v>
      </c>
      <c r="L641" s="631"/>
      <c r="M641" s="3192">
        <f t="shared" si="110"/>
        <v>1</v>
      </c>
      <c r="N641" s="631"/>
      <c r="O641" s="3192">
        <f t="shared" si="111"/>
        <v>1</v>
      </c>
      <c r="P641" s="3194" t="s">
        <v>4044</v>
      </c>
      <c r="Q641" s="3192">
        <f t="shared" si="112"/>
        <v>1.02</v>
      </c>
      <c r="R641" s="3192">
        <f t="shared" ca="1" si="113"/>
        <v>13711</v>
      </c>
      <c r="S641" s="898">
        <f t="shared" ca="1" si="114"/>
        <v>68</v>
      </c>
      <c r="T641" s="3190">
        <f>面积表!A636</f>
        <v>0</v>
      </c>
    </row>
    <row r="642" spans="1:20">
      <c r="A642" s="3169" t="str">
        <f>面积表!D637</f>
        <v>924</v>
      </c>
      <c r="B642" s="52">
        <f>面积表!E637</f>
        <v>49.28</v>
      </c>
      <c r="C642" s="3192">
        <f t="shared" si="105"/>
        <v>1</v>
      </c>
      <c r="D642" s="2559" t="s">
        <v>4016</v>
      </c>
      <c r="E642" s="3192">
        <f t="shared" si="106"/>
        <v>1</v>
      </c>
      <c r="F642" s="631" t="s">
        <v>3815</v>
      </c>
      <c r="G642" s="3192">
        <f t="shared" si="107"/>
        <v>0.95</v>
      </c>
      <c r="H642" s="631">
        <v>3</v>
      </c>
      <c r="I642" s="3192">
        <f t="shared" si="108"/>
        <v>1</v>
      </c>
      <c r="J642" s="631"/>
      <c r="K642" s="3192">
        <f t="shared" si="109"/>
        <v>1</v>
      </c>
      <c r="L642" s="631"/>
      <c r="M642" s="3192">
        <f t="shared" si="110"/>
        <v>1</v>
      </c>
      <c r="N642" s="631"/>
      <c r="O642" s="3192">
        <f t="shared" si="111"/>
        <v>1</v>
      </c>
      <c r="P642" s="3194" t="s">
        <v>4044</v>
      </c>
      <c r="Q642" s="3192">
        <f t="shared" si="112"/>
        <v>1.02</v>
      </c>
      <c r="R642" s="3192">
        <f t="shared" ca="1" si="113"/>
        <v>13711</v>
      </c>
      <c r="S642" s="898">
        <f t="shared" ca="1" si="114"/>
        <v>68</v>
      </c>
      <c r="T642" s="3190">
        <f>面积表!A637</f>
        <v>0</v>
      </c>
    </row>
    <row r="643" spans="1:20">
      <c r="A643" s="3169" t="str">
        <f>面积表!D638</f>
        <v>925</v>
      </c>
      <c r="B643" s="52">
        <f>面积表!E638</f>
        <v>48.41</v>
      </c>
      <c r="C643" s="3192">
        <f t="shared" si="105"/>
        <v>1</v>
      </c>
      <c r="D643" s="2559" t="s">
        <v>4016</v>
      </c>
      <c r="E643" s="3192">
        <f t="shared" si="106"/>
        <v>1</v>
      </c>
      <c r="F643" s="631" t="s">
        <v>3815</v>
      </c>
      <c r="G643" s="3192">
        <f t="shared" si="107"/>
        <v>0.95</v>
      </c>
      <c r="H643" s="631">
        <v>3</v>
      </c>
      <c r="I643" s="3192">
        <f t="shared" si="108"/>
        <v>1</v>
      </c>
      <c r="J643" s="631"/>
      <c r="K643" s="3192">
        <f t="shared" si="109"/>
        <v>1</v>
      </c>
      <c r="L643" s="631"/>
      <c r="M643" s="3192">
        <f t="shared" si="110"/>
        <v>1</v>
      </c>
      <c r="N643" s="631"/>
      <c r="O643" s="3192">
        <f t="shared" si="111"/>
        <v>1</v>
      </c>
      <c r="P643" s="3194" t="s">
        <v>4044</v>
      </c>
      <c r="Q643" s="3192">
        <f t="shared" si="112"/>
        <v>1.02</v>
      </c>
      <c r="R643" s="3192">
        <f t="shared" ca="1" si="113"/>
        <v>13711</v>
      </c>
      <c r="S643" s="898">
        <f t="shared" ca="1" si="114"/>
        <v>66</v>
      </c>
      <c r="T643" s="3190">
        <f>面积表!A638</f>
        <v>0</v>
      </c>
    </row>
    <row r="644" spans="1:20">
      <c r="A644" s="3169" t="str">
        <f>面积表!D639</f>
        <v>926</v>
      </c>
      <c r="B644" s="52">
        <f>面积表!E639</f>
        <v>47.44</v>
      </c>
      <c r="C644" s="3192">
        <f t="shared" si="105"/>
        <v>1</v>
      </c>
      <c r="D644" s="2559" t="s">
        <v>4016</v>
      </c>
      <c r="E644" s="3192">
        <f t="shared" si="106"/>
        <v>1</v>
      </c>
      <c r="F644" s="631" t="s">
        <v>3815</v>
      </c>
      <c r="G644" s="3192">
        <f t="shared" si="107"/>
        <v>0.95</v>
      </c>
      <c r="H644" s="631">
        <v>3</v>
      </c>
      <c r="I644" s="3192">
        <f t="shared" si="108"/>
        <v>1</v>
      </c>
      <c r="J644" s="631"/>
      <c r="K644" s="3192">
        <f t="shared" si="109"/>
        <v>1</v>
      </c>
      <c r="L644" s="631"/>
      <c r="M644" s="3192">
        <f t="shared" si="110"/>
        <v>1</v>
      </c>
      <c r="N644" s="631"/>
      <c r="O644" s="3192">
        <f t="shared" si="111"/>
        <v>1</v>
      </c>
      <c r="P644" s="3194" t="s">
        <v>4044</v>
      </c>
      <c r="Q644" s="3192">
        <f t="shared" si="112"/>
        <v>1.02</v>
      </c>
      <c r="R644" s="3192">
        <f t="shared" ca="1" si="113"/>
        <v>13711</v>
      </c>
      <c r="S644" s="898">
        <f t="shared" ca="1" si="114"/>
        <v>65</v>
      </c>
      <c r="T644" s="3190">
        <f>面积表!A639</f>
        <v>0</v>
      </c>
    </row>
    <row r="645" spans="1:20">
      <c r="A645" s="3169" t="str">
        <f>面积表!D640</f>
        <v>1001</v>
      </c>
      <c r="B645" s="52">
        <f>面积表!E640</f>
        <v>52.2</v>
      </c>
      <c r="C645" s="3192">
        <f t="shared" si="105"/>
        <v>1</v>
      </c>
      <c r="D645" s="2559" t="s">
        <v>4016</v>
      </c>
      <c r="E645" s="3192">
        <f t="shared" si="106"/>
        <v>1</v>
      </c>
      <c r="F645" s="631" t="s">
        <v>3815</v>
      </c>
      <c r="G645" s="3192">
        <f t="shared" si="107"/>
        <v>0.95</v>
      </c>
      <c r="H645" s="631">
        <v>3</v>
      </c>
      <c r="I645" s="3192">
        <f t="shared" si="108"/>
        <v>1</v>
      </c>
      <c r="J645" s="631"/>
      <c r="K645" s="3192">
        <f t="shared" si="109"/>
        <v>1</v>
      </c>
      <c r="L645" s="631"/>
      <c r="M645" s="3192">
        <f t="shared" si="110"/>
        <v>1</v>
      </c>
      <c r="N645" s="631"/>
      <c r="O645" s="3192">
        <f t="shared" si="111"/>
        <v>1</v>
      </c>
      <c r="P645" s="3194" t="s">
        <v>4044</v>
      </c>
      <c r="Q645" s="3192">
        <f t="shared" si="112"/>
        <v>1.02</v>
      </c>
      <c r="R645" s="3192">
        <f t="shared" ca="1" si="113"/>
        <v>13711</v>
      </c>
      <c r="S645" s="898">
        <f t="shared" ca="1" si="114"/>
        <v>72</v>
      </c>
      <c r="T645" s="3190">
        <f>面积表!A640</f>
        <v>0</v>
      </c>
    </row>
    <row r="646" spans="1:20">
      <c r="A646" s="3169" t="str">
        <f>面积表!D641</f>
        <v>1002</v>
      </c>
      <c r="B646" s="52">
        <f>面积表!E641</f>
        <v>50.33</v>
      </c>
      <c r="C646" s="3192">
        <f t="shared" si="105"/>
        <v>1</v>
      </c>
      <c r="D646" s="2559" t="s">
        <v>4016</v>
      </c>
      <c r="E646" s="3192">
        <f t="shared" si="106"/>
        <v>1</v>
      </c>
      <c r="F646" s="631" t="s">
        <v>3815</v>
      </c>
      <c r="G646" s="3192">
        <f t="shared" si="107"/>
        <v>0.95</v>
      </c>
      <c r="H646" s="631">
        <v>3</v>
      </c>
      <c r="I646" s="3192">
        <f t="shared" si="108"/>
        <v>1</v>
      </c>
      <c r="J646" s="631"/>
      <c r="K646" s="3192">
        <f t="shared" si="109"/>
        <v>1</v>
      </c>
      <c r="L646" s="631"/>
      <c r="M646" s="3192">
        <f t="shared" si="110"/>
        <v>1</v>
      </c>
      <c r="N646" s="631"/>
      <c r="O646" s="3192">
        <f t="shared" si="111"/>
        <v>1</v>
      </c>
      <c r="P646" s="3194" t="s">
        <v>4044</v>
      </c>
      <c r="Q646" s="3192">
        <f t="shared" si="112"/>
        <v>1.02</v>
      </c>
      <c r="R646" s="3192">
        <f t="shared" ca="1" si="113"/>
        <v>13711</v>
      </c>
      <c r="S646" s="898">
        <f t="shared" ca="1" si="114"/>
        <v>69</v>
      </c>
      <c r="T646" s="3190">
        <f>面积表!A641</f>
        <v>0</v>
      </c>
    </row>
    <row r="647" spans="1:20">
      <c r="A647" s="3169" t="str">
        <f>面积表!D642</f>
        <v>1003</v>
      </c>
      <c r="B647" s="52">
        <f>面积表!E642</f>
        <v>50.33</v>
      </c>
      <c r="C647" s="3192">
        <f t="shared" si="105"/>
        <v>1</v>
      </c>
      <c r="D647" s="2559" t="s">
        <v>4016</v>
      </c>
      <c r="E647" s="3192">
        <f t="shared" si="106"/>
        <v>1</v>
      </c>
      <c r="F647" s="631" t="s">
        <v>3815</v>
      </c>
      <c r="G647" s="3192">
        <f t="shared" si="107"/>
        <v>0.95</v>
      </c>
      <c r="H647" s="631">
        <v>3</v>
      </c>
      <c r="I647" s="3192">
        <f t="shared" si="108"/>
        <v>1</v>
      </c>
      <c r="J647" s="631"/>
      <c r="K647" s="3192">
        <f t="shared" si="109"/>
        <v>1</v>
      </c>
      <c r="L647" s="631"/>
      <c r="M647" s="3192">
        <f t="shared" si="110"/>
        <v>1</v>
      </c>
      <c r="N647" s="631"/>
      <c r="O647" s="3192">
        <f t="shared" si="111"/>
        <v>1</v>
      </c>
      <c r="P647" s="3194" t="s">
        <v>4044</v>
      </c>
      <c r="Q647" s="3192">
        <f t="shared" si="112"/>
        <v>1.02</v>
      </c>
      <c r="R647" s="3192">
        <f t="shared" ca="1" si="113"/>
        <v>13711</v>
      </c>
      <c r="S647" s="898">
        <f t="shared" ca="1" si="114"/>
        <v>69</v>
      </c>
      <c r="T647" s="3190">
        <f>面积表!A642</f>
        <v>0</v>
      </c>
    </row>
    <row r="648" spans="1:20">
      <c r="A648" s="3169" t="str">
        <f>面积表!D643</f>
        <v>1004</v>
      </c>
      <c r="B648" s="52">
        <f>面积表!E643</f>
        <v>50.33</v>
      </c>
      <c r="C648" s="3192">
        <f t="shared" si="105"/>
        <v>1</v>
      </c>
      <c r="D648" s="2559" t="s">
        <v>4016</v>
      </c>
      <c r="E648" s="3192">
        <f t="shared" si="106"/>
        <v>1</v>
      </c>
      <c r="F648" s="631" t="s">
        <v>3815</v>
      </c>
      <c r="G648" s="3192">
        <f t="shared" si="107"/>
        <v>0.95</v>
      </c>
      <c r="H648" s="631">
        <v>3</v>
      </c>
      <c r="I648" s="3192">
        <f t="shared" si="108"/>
        <v>1</v>
      </c>
      <c r="J648" s="631"/>
      <c r="K648" s="3192">
        <f t="shared" si="109"/>
        <v>1</v>
      </c>
      <c r="L648" s="631"/>
      <c r="M648" s="3192">
        <f t="shared" si="110"/>
        <v>1</v>
      </c>
      <c r="N648" s="631"/>
      <c r="O648" s="3192">
        <f t="shared" si="111"/>
        <v>1</v>
      </c>
      <c r="P648" s="3194" t="s">
        <v>4044</v>
      </c>
      <c r="Q648" s="3192">
        <f t="shared" si="112"/>
        <v>1.02</v>
      </c>
      <c r="R648" s="3192">
        <f t="shared" ca="1" si="113"/>
        <v>13711</v>
      </c>
      <c r="S648" s="898">
        <f t="shared" ca="1" si="114"/>
        <v>69</v>
      </c>
      <c r="T648" s="3190">
        <f>面积表!A643</f>
        <v>0</v>
      </c>
    </row>
    <row r="649" spans="1:20">
      <c r="A649" s="3169" t="str">
        <f>面积表!D644</f>
        <v>1005</v>
      </c>
      <c r="B649" s="52">
        <f>面积表!E644</f>
        <v>50.33</v>
      </c>
      <c r="C649" s="3192">
        <f t="shared" si="105"/>
        <v>1</v>
      </c>
      <c r="D649" s="2559" t="s">
        <v>4016</v>
      </c>
      <c r="E649" s="3192">
        <f t="shared" si="106"/>
        <v>1</v>
      </c>
      <c r="F649" s="631" t="s">
        <v>3815</v>
      </c>
      <c r="G649" s="3192">
        <f t="shared" si="107"/>
        <v>0.95</v>
      </c>
      <c r="H649" s="631">
        <v>3</v>
      </c>
      <c r="I649" s="3192">
        <f t="shared" si="108"/>
        <v>1</v>
      </c>
      <c r="J649" s="631"/>
      <c r="K649" s="3192">
        <f t="shared" si="109"/>
        <v>1</v>
      </c>
      <c r="L649" s="631"/>
      <c r="M649" s="3192">
        <f t="shared" si="110"/>
        <v>1</v>
      </c>
      <c r="N649" s="631"/>
      <c r="O649" s="3192">
        <f t="shared" si="111"/>
        <v>1</v>
      </c>
      <c r="P649" s="3194" t="s">
        <v>4044</v>
      </c>
      <c r="Q649" s="3192">
        <f t="shared" si="112"/>
        <v>1.02</v>
      </c>
      <c r="R649" s="3192">
        <f t="shared" ca="1" si="113"/>
        <v>13711</v>
      </c>
      <c r="S649" s="898">
        <f t="shared" ca="1" si="114"/>
        <v>69</v>
      </c>
      <c r="T649" s="3190">
        <f>面积表!A644</f>
        <v>0</v>
      </c>
    </row>
    <row r="650" spans="1:20">
      <c r="A650" s="3169" t="str">
        <f>面积表!D645</f>
        <v>1006</v>
      </c>
      <c r="B650" s="52">
        <f>面积表!E645</f>
        <v>50.33</v>
      </c>
      <c r="C650" s="3192">
        <f t="shared" si="105"/>
        <v>1</v>
      </c>
      <c r="D650" s="2559" t="s">
        <v>4016</v>
      </c>
      <c r="E650" s="3192">
        <f t="shared" si="106"/>
        <v>1</v>
      </c>
      <c r="F650" s="631" t="s">
        <v>3815</v>
      </c>
      <c r="G650" s="3192">
        <f t="shared" si="107"/>
        <v>0.95</v>
      </c>
      <c r="H650" s="631">
        <v>3</v>
      </c>
      <c r="I650" s="3192">
        <f t="shared" si="108"/>
        <v>1</v>
      </c>
      <c r="J650" s="631"/>
      <c r="K650" s="3192">
        <f t="shared" si="109"/>
        <v>1</v>
      </c>
      <c r="L650" s="631"/>
      <c r="M650" s="3192">
        <f t="shared" si="110"/>
        <v>1</v>
      </c>
      <c r="N650" s="631"/>
      <c r="O650" s="3192">
        <f t="shared" si="111"/>
        <v>1</v>
      </c>
      <c r="P650" s="3194" t="s">
        <v>4044</v>
      </c>
      <c r="Q650" s="3192">
        <f t="shared" si="112"/>
        <v>1.02</v>
      </c>
      <c r="R650" s="3192">
        <f t="shared" ca="1" si="113"/>
        <v>13711</v>
      </c>
      <c r="S650" s="898">
        <f t="shared" ca="1" si="114"/>
        <v>69</v>
      </c>
      <c r="T650" s="3190">
        <f>面积表!A645</f>
        <v>0</v>
      </c>
    </row>
    <row r="651" spans="1:20">
      <c r="A651" s="3169" t="str">
        <f>面积表!D646</f>
        <v>1007</v>
      </c>
      <c r="B651" s="52">
        <f>面积表!E646</f>
        <v>50.33</v>
      </c>
      <c r="C651" s="3192">
        <f t="shared" si="105"/>
        <v>1</v>
      </c>
      <c r="D651" s="2559" t="s">
        <v>4016</v>
      </c>
      <c r="E651" s="3192">
        <f t="shared" si="106"/>
        <v>1</v>
      </c>
      <c r="F651" s="631" t="s">
        <v>3815</v>
      </c>
      <c r="G651" s="3192">
        <f t="shared" si="107"/>
        <v>0.95</v>
      </c>
      <c r="H651" s="631">
        <v>3</v>
      </c>
      <c r="I651" s="3192">
        <f t="shared" si="108"/>
        <v>1</v>
      </c>
      <c r="J651" s="631"/>
      <c r="K651" s="3192">
        <f t="shared" si="109"/>
        <v>1</v>
      </c>
      <c r="L651" s="631"/>
      <c r="M651" s="3192">
        <f t="shared" si="110"/>
        <v>1</v>
      </c>
      <c r="N651" s="631"/>
      <c r="O651" s="3192">
        <f t="shared" si="111"/>
        <v>1</v>
      </c>
      <c r="P651" s="3194" t="s">
        <v>4044</v>
      </c>
      <c r="Q651" s="3192">
        <f t="shared" si="112"/>
        <v>1.02</v>
      </c>
      <c r="R651" s="3192">
        <f t="shared" ca="1" si="113"/>
        <v>13711</v>
      </c>
      <c r="S651" s="898">
        <f t="shared" ca="1" si="114"/>
        <v>69</v>
      </c>
      <c r="T651" s="3190">
        <f>面积表!A646</f>
        <v>0</v>
      </c>
    </row>
    <row r="652" spans="1:20">
      <c r="A652" s="3169" t="str">
        <f>面积表!D647</f>
        <v>1008</v>
      </c>
      <c r="B652" s="52">
        <f>面积表!E647</f>
        <v>50.33</v>
      </c>
      <c r="C652" s="3192">
        <f t="shared" si="105"/>
        <v>1</v>
      </c>
      <c r="D652" s="2559" t="s">
        <v>4016</v>
      </c>
      <c r="E652" s="3192">
        <f t="shared" si="106"/>
        <v>1</v>
      </c>
      <c r="F652" s="631" t="s">
        <v>3815</v>
      </c>
      <c r="G652" s="3192">
        <f t="shared" si="107"/>
        <v>0.95</v>
      </c>
      <c r="H652" s="631">
        <v>3</v>
      </c>
      <c r="I652" s="3192">
        <f t="shared" si="108"/>
        <v>1</v>
      </c>
      <c r="J652" s="631"/>
      <c r="K652" s="3192">
        <f t="shared" si="109"/>
        <v>1</v>
      </c>
      <c r="L652" s="631"/>
      <c r="M652" s="3192">
        <f t="shared" si="110"/>
        <v>1</v>
      </c>
      <c r="N652" s="631"/>
      <c r="O652" s="3192">
        <f t="shared" si="111"/>
        <v>1</v>
      </c>
      <c r="P652" s="3194" t="s">
        <v>4044</v>
      </c>
      <c r="Q652" s="3192">
        <f t="shared" si="112"/>
        <v>1.02</v>
      </c>
      <c r="R652" s="3192">
        <f t="shared" ca="1" si="113"/>
        <v>13711</v>
      </c>
      <c r="S652" s="898">
        <f t="shared" ca="1" si="114"/>
        <v>69</v>
      </c>
      <c r="T652" s="3190">
        <f>面积表!A647</f>
        <v>0</v>
      </c>
    </row>
    <row r="653" spans="1:20">
      <c r="A653" s="3169" t="str">
        <f>面积表!D648</f>
        <v>1009</v>
      </c>
      <c r="B653" s="52">
        <f>面积表!E648</f>
        <v>50.33</v>
      </c>
      <c r="C653" s="3192">
        <f t="shared" ref="C653:C716" si="115">IF(B653="",1,(LOOKUP(B653,$3:$3,$4:$4)-LOOKUP($B$24,$3:$3,$4:$4)+100)/100)</f>
        <v>1</v>
      </c>
      <c r="D653" s="2559" t="s">
        <v>4016</v>
      </c>
      <c r="E653" s="3192">
        <f t="shared" ref="E653:E716" si="116">(SUMIF($5:$5,D653,$6:$6)-SUMIF($5:$5,$D$24,$6:$6)+100)/100</f>
        <v>1</v>
      </c>
      <c r="F653" s="631" t="s">
        <v>3815</v>
      </c>
      <c r="G653" s="3192">
        <f t="shared" ref="G653:G716" si="117">(SUMIF($7:$7,F653,$8:$8)-SUMIF($7:$7,$F$24,$8:$8)+100)/100</f>
        <v>0.95</v>
      </c>
      <c r="H653" s="631">
        <v>3</v>
      </c>
      <c r="I653" s="3192">
        <f t="shared" ref="I653:I716" si="118">(SUMIF($9:$9,H653,$10:$10)-SUMIF($9:$9,$H$24,$10:$10)+100)/100</f>
        <v>1</v>
      </c>
      <c r="J653" s="631"/>
      <c r="K653" s="3192">
        <f t="shared" ref="K653:K716" si="119">(SUMIF($11:$11,J653,$12:$12)-SUMIF($11:$11,$J$24,$12:$12)+100)/100</f>
        <v>1</v>
      </c>
      <c r="L653" s="631"/>
      <c r="M653" s="3192">
        <f t="shared" ref="M653:M716" si="120">(SUMIF($13:$13,L653,$14:$14)-SUMIF($13:$13,$L$24,$14:$14)+100)/100</f>
        <v>1</v>
      </c>
      <c r="N653" s="631"/>
      <c r="O653" s="3192">
        <f t="shared" ref="O653:O716" si="121">(SUMIF($15:$15,N653,$16:$16)-SUMIF($15:$15,$N$24,$16:$16)+100)/100</f>
        <v>1</v>
      </c>
      <c r="P653" s="3194" t="s">
        <v>4044</v>
      </c>
      <c r="Q653" s="3192">
        <f t="shared" ref="Q653:Q716" si="122">(SUMIF($17:$17,P653,$18:$18)-SUMIF($17:$17,$P$24,$18:$18)+100)/100</f>
        <v>1.02</v>
      </c>
      <c r="R653" s="3192">
        <f t="shared" ref="R653:R716" ca="1" si="123">IF(B653="",0,ROUND($R$24*C653*E653*G653*I653*K653*M653*O653*Q653,0))</f>
        <v>13711</v>
      </c>
      <c r="S653" s="898">
        <f t="shared" ref="S653:S716" ca="1" si="124">ROUND(R653*B653/10000,0)</f>
        <v>69</v>
      </c>
      <c r="T653" s="3190">
        <f>面积表!A648</f>
        <v>0</v>
      </c>
    </row>
    <row r="654" spans="1:20">
      <c r="A654" s="3169" t="str">
        <f>面积表!D649</f>
        <v>1010</v>
      </c>
      <c r="B654" s="52">
        <f>面积表!E649</f>
        <v>50.33</v>
      </c>
      <c r="C654" s="3192">
        <f t="shared" si="115"/>
        <v>1</v>
      </c>
      <c r="D654" s="2559" t="s">
        <v>4016</v>
      </c>
      <c r="E654" s="3192">
        <f t="shared" si="116"/>
        <v>1</v>
      </c>
      <c r="F654" s="631" t="s">
        <v>3815</v>
      </c>
      <c r="G654" s="3192">
        <f t="shared" si="117"/>
        <v>0.95</v>
      </c>
      <c r="H654" s="631">
        <v>3</v>
      </c>
      <c r="I654" s="3192">
        <f t="shared" si="118"/>
        <v>1</v>
      </c>
      <c r="J654" s="631"/>
      <c r="K654" s="3192">
        <f t="shared" si="119"/>
        <v>1</v>
      </c>
      <c r="L654" s="631"/>
      <c r="M654" s="3192">
        <f t="shared" si="120"/>
        <v>1</v>
      </c>
      <c r="N654" s="631"/>
      <c r="O654" s="3192">
        <f t="shared" si="121"/>
        <v>1</v>
      </c>
      <c r="P654" s="3194" t="s">
        <v>4044</v>
      </c>
      <c r="Q654" s="3192">
        <f t="shared" si="122"/>
        <v>1.02</v>
      </c>
      <c r="R654" s="3192">
        <f t="shared" ca="1" si="123"/>
        <v>13711</v>
      </c>
      <c r="S654" s="898">
        <f t="shared" ca="1" si="124"/>
        <v>69</v>
      </c>
      <c r="T654" s="3190">
        <f>面积表!A649</f>
        <v>0</v>
      </c>
    </row>
    <row r="655" spans="1:20">
      <c r="A655" s="3169" t="str">
        <f>面积表!D650</f>
        <v>1011</v>
      </c>
      <c r="B655" s="52">
        <f>面积表!E650</f>
        <v>50.33</v>
      </c>
      <c r="C655" s="3192">
        <f t="shared" si="115"/>
        <v>1</v>
      </c>
      <c r="D655" s="2559" t="s">
        <v>4016</v>
      </c>
      <c r="E655" s="3192">
        <f t="shared" si="116"/>
        <v>1</v>
      </c>
      <c r="F655" s="631" t="s">
        <v>3815</v>
      </c>
      <c r="G655" s="3192">
        <f t="shared" si="117"/>
        <v>0.95</v>
      </c>
      <c r="H655" s="631">
        <v>3</v>
      </c>
      <c r="I655" s="3192">
        <f t="shared" si="118"/>
        <v>1</v>
      </c>
      <c r="J655" s="631"/>
      <c r="K655" s="3192">
        <f t="shared" si="119"/>
        <v>1</v>
      </c>
      <c r="L655" s="631"/>
      <c r="M655" s="3192">
        <f t="shared" si="120"/>
        <v>1</v>
      </c>
      <c r="N655" s="631"/>
      <c r="O655" s="3192">
        <f t="shared" si="121"/>
        <v>1</v>
      </c>
      <c r="P655" s="3194" t="s">
        <v>4044</v>
      </c>
      <c r="Q655" s="3192">
        <f t="shared" si="122"/>
        <v>1.02</v>
      </c>
      <c r="R655" s="3192">
        <f t="shared" ca="1" si="123"/>
        <v>13711</v>
      </c>
      <c r="S655" s="898">
        <f t="shared" ca="1" si="124"/>
        <v>69</v>
      </c>
      <c r="T655" s="3190">
        <f>面积表!A650</f>
        <v>0</v>
      </c>
    </row>
    <row r="656" spans="1:20">
      <c r="A656" s="3169" t="str">
        <f>面积表!D651</f>
        <v>1012</v>
      </c>
      <c r="B656" s="52">
        <f>面积表!E651</f>
        <v>50.33</v>
      </c>
      <c r="C656" s="3192">
        <f t="shared" si="115"/>
        <v>1</v>
      </c>
      <c r="D656" s="2559" t="s">
        <v>4016</v>
      </c>
      <c r="E656" s="3192">
        <f t="shared" si="116"/>
        <v>1</v>
      </c>
      <c r="F656" s="631" t="s">
        <v>3815</v>
      </c>
      <c r="G656" s="3192">
        <f t="shared" si="117"/>
        <v>0.95</v>
      </c>
      <c r="H656" s="631">
        <v>3</v>
      </c>
      <c r="I656" s="3192">
        <f t="shared" si="118"/>
        <v>1</v>
      </c>
      <c r="J656" s="631"/>
      <c r="K656" s="3192">
        <f t="shared" si="119"/>
        <v>1</v>
      </c>
      <c r="L656" s="631"/>
      <c r="M656" s="3192">
        <f t="shared" si="120"/>
        <v>1</v>
      </c>
      <c r="N656" s="631"/>
      <c r="O656" s="3192">
        <f t="shared" si="121"/>
        <v>1</v>
      </c>
      <c r="P656" s="3194" t="s">
        <v>4044</v>
      </c>
      <c r="Q656" s="3192">
        <f t="shared" si="122"/>
        <v>1.02</v>
      </c>
      <c r="R656" s="3192">
        <f t="shared" ca="1" si="123"/>
        <v>13711</v>
      </c>
      <c r="S656" s="898">
        <f t="shared" ca="1" si="124"/>
        <v>69</v>
      </c>
      <c r="T656" s="3190">
        <f>面积表!A651</f>
        <v>0</v>
      </c>
    </row>
    <row r="657" spans="1:20">
      <c r="A657" s="3169" t="str">
        <f>面积表!D652</f>
        <v>1013</v>
      </c>
      <c r="B657" s="52">
        <f>面积表!E652</f>
        <v>50.33</v>
      </c>
      <c r="C657" s="3192">
        <f t="shared" si="115"/>
        <v>1</v>
      </c>
      <c r="D657" s="2559" t="s">
        <v>4016</v>
      </c>
      <c r="E657" s="3192">
        <f t="shared" si="116"/>
        <v>1</v>
      </c>
      <c r="F657" s="631" t="s">
        <v>3815</v>
      </c>
      <c r="G657" s="3192">
        <f t="shared" si="117"/>
        <v>0.95</v>
      </c>
      <c r="H657" s="631">
        <v>3</v>
      </c>
      <c r="I657" s="3192">
        <f t="shared" si="118"/>
        <v>1</v>
      </c>
      <c r="J657" s="631"/>
      <c r="K657" s="3192">
        <f t="shared" si="119"/>
        <v>1</v>
      </c>
      <c r="L657" s="631"/>
      <c r="M657" s="3192">
        <f t="shared" si="120"/>
        <v>1</v>
      </c>
      <c r="N657" s="631"/>
      <c r="O657" s="3192">
        <f t="shared" si="121"/>
        <v>1</v>
      </c>
      <c r="P657" s="3194" t="s">
        <v>4044</v>
      </c>
      <c r="Q657" s="3192">
        <f t="shared" si="122"/>
        <v>1.02</v>
      </c>
      <c r="R657" s="3192">
        <f t="shared" ca="1" si="123"/>
        <v>13711</v>
      </c>
      <c r="S657" s="898">
        <f t="shared" ca="1" si="124"/>
        <v>69</v>
      </c>
      <c r="T657" s="3190">
        <f>面积表!A652</f>
        <v>0</v>
      </c>
    </row>
    <row r="658" spans="1:20">
      <c r="A658" s="3169" t="str">
        <f>面积表!D653</f>
        <v>1014</v>
      </c>
      <c r="B658" s="52">
        <f>面积表!E653</f>
        <v>50.33</v>
      </c>
      <c r="C658" s="3192">
        <f t="shared" si="115"/>
        <v>1</v>
      </c>
      <c r="D658" s="2559" t="s">
        <v>4016</v>
      </c>
      <c r="E658" s="3192">
        <f t="shared" si="116"/>
        <v>1</v>
      </c>
      <c r="F658" s="631" t="s">
        <v>3815</v>
      </c>
      <c r="G658" s="3192">
        <f t="shared" si="117"/>
        <v>0.95</v>
      </c>
      <c r="H658" s="631">
        <v>3</v>
      </c>
      <c r="I658" s="3192">
        <f t="shared" si="118"/>
        <v>1</v>
      </c>
      <c r="J658" s="631"/>
      <c r="K658" s="3192">
        <f t="shared" si="119"/>
        <v>1</v>
      </c>
      <c r="L658" s="631"/>
      <c r="M658" s="3192">
        <f t="shared" si="120"/>
        <v>1</v>
      </c>
      <c r="N658" s="631"/>
      <c r="O658" s="3192">
        <f t="shared" si="121"/>
        <v>1</v>
      </c>
      <c r="P658" s="3194" t="s">
        <v>4044</v>
      </c>
      <c r="Q658" s="3192">
        <f t="shared" si="122"/>
        <v>1.02</v>
      </c>
      <c r="R658" s="3192">
        <f t="shared" ca="1" si="123"/>
        <v>13711</v>
      </c>
      <c r="S658" s="898">
        <f t="shared" ca="1" si="124"/>
        <v>69</v>
      </c>
      <c r="T658" s="3190">
        <f>面积表!A653</f>
        <v>0</v>
      </c>
    </row>
    <row r="659" spans="1:20">
      <c r="A659" s="3169" t="str">
        <f>面积表!D654</f>
        <v>1015</v>
      </c>
      <c r="B659" s="52">
        <f>面积表!E654</f>
        <v>50.33</v>
      </c>
      <c r="C659" s="3192">
        <f t="shared" si="115"/>
        <v>1</v>
      </c>
      <c r="D659" s="2559" t="s">
        <v>4016</v>
      </c>
      <c r="E659" s="3192">
        <f t="shared" si="116"/>
        <v>1</v>
      </c>
      <c r="F659" s="631" t="s">
        <v>3815</v>
      </c>
      <c r="G659" s="3192">
        <f t="shared" si="117"/>
        <v>0.95</v>
      </c>
      <c r="H659" s="631">
        <v>3</v>
      </c>
      <c r="I659" s="3192">
        <f t="shared" si="118"/>
        <v>1</v>
      </c>
      <c r="J659" s="631"/>
      <c r="K659" s="3192">
        <f t="shared" si="119"/>
        <v>1</v>
      </c>
      <c r="L659" s="631"/>
      <c r="M659" s="3192">
        <f t="shared" si="120"/>
        <v>1</v>
      </c>
      <c r="N659" s="631"/>
      <c r="O659" s="3192">
        <f t="shared" si="121"/>
        <v>1</v>
      </c>
      <c r="P659" s="3194" t="s">
        <v>4044</v>
      </c>
      <c r="Q659" s="3192">
        <f t="shared" si="122"/>
        <v>1.02</v>
      </c>
      <c r="R659" s="3192">
        <f t="shared" ca="1" si="123"/>
        <v>13711</v>
      </c>
      <c r="S659" s="898">
        <f t="shared" ca="1" si="124"/>
        <v>69</v>
      </c>
      <c r="T659" s="3190">
        <f>面积表!A654</f>
        <v>0</v>
      </c>
    </row>
    <row r="660" spans="1:20">
      <c r="A660" s="3169" t="str">
        <f>面积表!D655</f>
        <v>1016</v>
      </c>
      <c r="B660" s="52">
        <f>面积表!E655</f>
        <v>69.77</v>
      </c>
      <c r="C660" s="3192">
        <f t="shared" si="115"/>
        <v>1.01</v>
      </c>
      <c r="D660" s="2559" t="s">
        <v>4016</v>
      </c>
      <c r="E660" s="3192">
        <f t="shared" si="116"/>
        <v>1</v>
      </c>
      <c r="F660" s="631" t="s">
        <v>3815</v>
      </c>
      <c r="G660" s="3192">
        <f t="shared" si="117"/>
        <v>0.95</v>
      </c>
      <c r="H660" s="631">
        <v>3</v>
      </c>
      <c r="I660" s="3192">
        <f t="shared" si="118"/>
        <v>1</v>
      </c>
      <c r="J660" s="631"/>
      <c r="K660" s="3192">
        <f t="shared" si="119"/>
        <v>1</v>
      </c>
      <c r="L660" s="631"/>
      <c r="M660" s="3192">
        <f t="shared" si="120"/>
        <v>1</v>
      </c>
      <c r="N660" s="631"/>
      <c r="O660" s="3192">
        <f t="shared" si="121"/>
        <v>1</v>
      </c>
      <c r="P660" s="3194" t="s">
        <v>4044</v>
      </c>
      <c r="Q660" s="3192">
        <f t="shared" si="122"/>
        <v>1.02</v>
      </c>
      <c r="R660" s="3192">
        <f t="shared" ca="1" si="123"/>
        <v>13848</v>
      </c>
      <c r="S660" s="898">
        <f t="shared" ca="1" si="124"/>
        <v>97</v>
      </c>
      <c r="T660" s="3190">
        <f>面积表!A655</f>
        <v>0</v>
      </c>
    </row>
    <row r="661" spans="1:20">
      <c r="A661" s="3169" t="str">
        <f>面积表!D656</f>
        <v>1017</v>
      </c>
      <c r="B661" s="52">
        <f>面积表!E656</f>
        <v>38.65</v>
      </c>
      <c r="C661" s="3192">
        <f t="shared" si="115"/>
        <v>1</v>
      </c>
      <c r="D661" s="2559" t="s">
        <v>4016</v>
      </c>
      <c r="E661" s="3192">
        <f t="shared" si="116"/>
        <v>1</v>
      </c>
      <c r="F661" s="631" t="s">
        <v>3815</v>
      </c>
      <c r="G661" s="3192">
        <f t="shared" si="117"/>
        <v>0.95</v>
      </c>
      <c r="H661" s="631">
        <v>3</v>
      </c>
      <c r="I661" s="3192">
        <f t="shared" si="118"/>
        <v>1</v>
      </c>
      <c r="J661" s="631"/>
      <c r="K661" s="3192">
        <f t="shared" si="119"/>
        <v>1</v>
      </c>
      <c r="L661" s="631"/>
      <c r="M661" s="3192">
        <f t="shared" si="120"/>
        <v>1</v>
      </c>
      <c r="N661" s="631"/>
      <c r="O661" s="3192">
        <f t="shared" si="121"/>
        <v>1</v>
      </c>
      <c r="P661" s="3194" t="s">
        <v>4044</v>
      </c>
      <c r="Q661" s="3192">
        <f t="shared" si="122"/>
        <v>1.02</v>
      </c>
      <c r="R661" s="3192">
        <f t="shared" ca="1" si="123"/>
        <v>13711</v>
      </c>
      <c r="S661" s="898">
        <f t="shared" ca="1" si="124"/>
        <v>53</v>
      </c>
      <c r="T661" s="3190">
        <f>面积表!A656</f>
        <v>0</v>
      </c>
    </row>
    <row r="662" spans="1:20">
      <c r="A662" s="3169" t="str">
        <f>面积表!D657</f>
        <v>1018</v>
      </c>
      <c r="B662" s="52">
        <f>面积表!E657</f>
        <v>41.99</v>
      </c>
      <c r="C662" s="3192">
        <f t="shared" si="115"/>
        <v>1</v>
      </c>
      <c r="D662" s="2559" t="s">
        <v>4016</v>
      </c>
      <c r="E662" s="3192">
        <f t="shared" si="116"/>
        <v>1</v>
      </c>
      <c r="F662" s="631" t="s">
        <v>3815</v>
      </c>
      <c r="G662" s="3192">
        <f t="shared" si="117"/>
        <v>0.95</v>
      </c>
      <c r="H662" s="631">
        <v>3</v>
      </c>
      <c r="I662" s="3192">
        <f t="shared" si="118"/>
        <v>1</v>
      </c>
      <c r="J662" s="631"/>
      <c r="K662" s="3192">
        <f t="shared" si="119"/>
        <v>1</v>
      </c>
      <c r="L662" s="631"/>
      <c r="M662" s="3192">
        <f t="shared" si="120"/>
        <v>1</v>
      </c>
      <c r="N662" s="631"/>
      <c r="O662" s="3192">
        <f t="shared" si="121"/>
        <v>1</v>
      </c>
      <c r="P662" s="3194" t="s">
        <v>4044</v>
      </c>
      <c r="Q662" s="3192">
        <f t="shared" si="122"/>
        <v>1.02</v>
      </c>
      <c r="R662" s="3192">
        <f t="shared" ca="1" si="123"/>
        <v>13711</v>
      </c>
      <c r="S662" s="898">
        <f t="shared" ca="1" si="124"/>
        <v>58</v>
      </c>
      <c r="T662" s="3190">
        <f>面积表!A657</f>
        <v>0</v>
      </c>
    </row>
    <row r="663" spans="1:20">
      <c r="A663" s="3169" t="str">
        <f>面积表!D658</f>
        <v>1019</v>
      </c>
      <c r="B663" s="52">
        <f>面积表!E658</f>
        <v>44.72</v>
      </c>
      <c r="C663" s="3192">
        <f t="shared" si="115"/>
        <v>1</v>
      </c>
      <c r="D663" s="2559" t="s">
        <v>4016</v>
      </c>
      <c r="E663" s="3192">
        <f t="shared" si="116"/>
        <v>1</v>
      </c>
      <c r="F663" s="631" t="s">
        <v>3815</v>
      </c>
      <c r="G663" s="3192">
        <f t="shared" si="117"/>
        <v>0.95</v>
      </c>
      <c r="H663" s="631">
        <v>3</v>
      </c>
      <c r="I663" s="3192">
        <f t="shared" si="118"/>
        <v>1</v>
      </c>
      <c r="J663" s="631"/>
      <c r="K663" s="3192">
        <f t="shared" si="119"/>
        <v>1</v>
      </c>
      <c r="L663" s="631"/>
      <c r="M663" s="3192">
        <f t="shared" si="120"/>
        <v>1</v>
      </c>
      <c r="N663" s="631"/>
      <c r="O663" s="3192">
        <f t="shared" si="121"/>
        <v>1</v>
      </c>
      <c r="P663" s="3194" t="s">
        <v>4044</v>
      </c>
      <c r="Q663" s="3192">
        <f t="shared" si="122"/>
        <v>1.02</v>
      </c>
      <c r="R663" s="3192">
        <f t="shared" ca="1" si="123"/>
        <v>13711</v>
      </c>
      <c r="S663" s="898">
        <f t="shared" ca="1" si="124"/>
        <v>61</v>
      </c>
      <c r="T663" s="3190">
        <f>面积表!A658</f>
        <v>0</v>
      </c>
    </row>
    <row r="664" spans="1:20">
      <c r="A664" s="3169" t="str">
        <f>面积表!D659</f>
        <v>1020</v>
      </c>
      <c r="B664" s="52">
        <f>面积表!E659</f>
        <v>46.83</v>
      </c>
      <c r="C664" s="3192">
        <f t="shared" si="115"/>
        <v>1</v>
      </c>
      <c r="D664" s="2559" t="s">
        <v>4016</v>
      </c>
      <c r="E664" s="3192">
        <f t="shared" si="116"/>
        <v>1</v>
      </c>
      <c r="F664" s="631" t="s">
        <v>3815</v>
      </c>
      <c r="G664" s="3192">
        <f t="shared" si="117"/>
        <v>0.95</v>
      </c>
      <c r="H664" s="631">
        <v>3</v>
      </c>
      <c r="I664" s="3192">
        <f t="shared" si="118"/>
        <v>1</v>
      </c>
      <c r="J664" s="631"/>
      <c r="K664" s="3192">
        <f t="shared" si="119"/>
        <v>1</v>
      </c>
      <c r="L664" s="631"/>
      <c r="M664" s="3192">
        <f t="shared" si="120"/>
        <v>1</v>
      </c>
      <c r="N664" s="631"/>
      <c r="O664" s="3192">
        <f t="shared" si="121"/>
        <v>1</v>
      </c>
      <c r="P664" s="3194" t="s">
        <v>4044</v>
      </c>
      <c r="Q664" s="3192">
        <f t="shared" si="122"/>
        <v>1.02</v>
      </c>
      <c r="R664" s="3192">
        <f t="shared" ca="1" si="123"/>
        <v>13711</v>
      </c>
      <c r="S664" s="898">
        <f t="shared" ca="1" si="124"/>
        <v>64</v>
      </c>
      <c r="T664" s="3190">
        <f>面积表!A659</f>
        <v>0</v>
      </c>
    </row>
    <row r="665" spans="1:20">
      <c r="A665" s="3169" t="str">
        <f>面积表!D660</f>
        <v>1021</v>
      </c>
      <c r="B665" s="52">
        <f>面积表!E660</f>
        <v>48.33</v>
      </c>
      <c r="C665" s="3192">
        <f t="shared" si="115"/>
        <v>1</v>
      </c>
      <c r="D665" s="2559" t="s">
        <v>4016</v>
      </c>
      <c r="E665" s="3192">
        <f t="shared" si="116"/>
        <v>1</v>
      </c>
      <c r="F665" s="631" t="s">
        <v>3815</v>
      </c>
      <c r="G665" s="3192">
        <f t="shared" si="117"/>
        <v>0.95</v>
      </c>
      <c r="H665" s="631">
        <v>3</v>
      </c>
      <c r="I665" s="3192">
        <f t="shared" si="118"/>
        <v>1</v>
      </c>
      <c r="J665" s="631"/>
      <c r="K665" s="3192">
        <f t="shared" si="119"/>
        <v>1</v>
      </c>
      <c r="L665" s="631"/>
      <c r="M665" s="3192">
        <f t="shared" si="120"/>
        <v>1</v>
      </c>
      <c r="N665" s="631"/>
      <c r="O665" s="3192">
        <f t="shared" si="121"/>
        <v>1</v>
      </c>
      <c r="P665" s="3194" t="s">
        <v>4044</v>
      </c>
      <c r="Q665" s="3192">
        <f t="shared" si="122"/>
        <v>1.02</v>
      </c>
      <c r="R665" s="3192">
        <f t="shared" ca="1" si="123"/>
        <v>13711</v>
      </c>
      <c r="S665" s="898">
        <f t="shared" ca="1" si="124"/>
        <v>66</v>
      </c>
      <c r="T665" s="3190">
        <f>面积表!A660</f>
        <v>0</v>
      </c>
    </row>
    <row r="666" spans="1:20">
      <c r="A666" s="3169" t="str">
        <f>面积表!D661</f>
        <v>1022</v>
      </c>
      <c r="B666" s="52">
        <f>面积表!E661</f>
        <v>49.3</v>
      </c>
      <c r="C666" s="3192">
        <f t="shared" si="115"/>
        <v>1</v>
      </c>
      <c r="D666" s="2559" t="s">
        <v>4016</v>
      </c>
      <c r="E666" s="3192">
        <f t="shared" si="116"/>
        <v>1</v>
      </c>
      <c r="F666" s="631" t="s">
        <v>3815</v>
      </c>
      <c r="G666" s="3192">
        <f t="shared" si="117"/>
        <v>0.95</v>
      </c>
      <c r="H666" s="631">
        <v>3</v>
      </c>
      <c r="I666" s="3192">
        <f t="shared" si="118"/>
        <v>1</v>
      </c>
      <c r="J666" s="631"/>
      <c r="K666" s="3192">
        <f t="shared" si="119"/>
        <v>1</v>
      </c>
      <c r="L666" s="631"/>
      <c r="M666" s="3192">
        <f t="shared" si="120"/>
        <v>1</v>
      </c>
      <c r="N666" s="631"/>
      <c r="O666" s="3192">
        <f t="shared" si="121"/>
        <v>1</v>
      </c>
      <c r="P666" s="3194" t="s">
        <v>4044</v>
      </c>
      <c r="Q666" s="3192">
        <f t="shared" si="122"/>
        <v>1.02</v>
      </c>
      <c r="R666" s="3192">
        <f t="shared" ca="1" si="123"/>
        <v>13711</v>
      </c>
      <c r="S666" s="898">
        <f t="shared" ca="1" si="124"/>
        <v>68</v>
      </c>
      <c r="T666" s="3190">
        <f>面积表!A661</f>
        <v>0</v>
      </c>
    </row>
    <row r="667" spans="1:20">
      <c r="A667" s="3169" t="str">
        <f>面积表!D662</f>
        <v>1023</v>
      </c>
      <c r="B667" s="52">
        <f>面积表!E662</f>
        <v>49.59</v>
      </c>
      <c r="C667" s="3192">
        <f t="shared" si="115"/>
        <v>1</v>
      </c>
      <c r="D667" s="2559" t="s">
        <v>4016</v>
      </c>
      <c r="E667" s="3192">
        <f t="shared" si="116"/>
        <v>1</v>
      </c>
      <c r="F667" s="631" t="s">
        <v>3815</v>
      </c>
      <c r="G667" s="3192">
        <f t="shared" si="117"/>
        <v>0.95</v>
      </c>
      <c r="H667" s="631">
        <v>3</v>
      </c>
      <c r="I667" s="3192">
        <f t="shared" si="118"/>
        <v>1</v>
      </c>
      <c r="J667" s="631"/>
      <c r="K667" s="3192">
        <f t="shared" si="119"/>
        <v>1</v>
      </c>
      <c r="L667" s="631"/>
      <c r="M667" s="3192">
        <f t="shared" si="120"/>
        <v>1</v>
      </c>
      <c r="N667" s="631"/>
      <c r="O667" s="3192">
        <f t="shared" si="121"/>
        <v>1</v>
      </c>
      <c r="P667" s="3194" t="s">
        <v>4044</v>
      </c>
      <c r="Q667" s="3192">
        <f t="shared" si="122"/>
        <v>1.02</v>
      </c>
      <c r="R667" s="3192">
        <f t="shared" ca="1" si="123"/>
        <v>13711</v>
      </c>
      <c r="S667" s="898">
        <f t="shared" ca="1" si="124"/>
        <v>68</v>
      </c>
      <c r="T667" s="3190">
        <f>面积表!A662</f>
        <v>0</v>
      </c>
    </row>
    <row r="668" spans="1:20">
      <c r="A668" s="3169" t="str">
        <f>面积表!D663</f>
        <v>1024</v>
      </c>
      <c r="B668" s="52">
        <f>面积表!E663</f>
        <v>49.28</v>
      </c>
      <c r="C668" s="3192">
        <f t="shared" si="115"/>
        <v>1</v>
      </c>
      <c r="D668" s="2559" t="s">
        <v>4016</v>
      </c>
      <c r="E668" s="3192">
        <f t="shared" si="116"/>
        <v>1</v>
      </c>
      <c r="F668" s="631" t="s">
        <v>3815</v>
      </c>
      <c r="G668" s="3192">
        <f t="shared" si="117"/>
        <v>0.95</v>
      </c>
      <c r="H668" s="631">
        <v>3</v>
      </c>
      <c r="I668" s="3192">
        <f t="shared" si="118"/>
        <v>1</v>
      </c>
      <c r="J668" s="631"/>
      <c r="K668" s="3192">
        <f t="shared" si="119"/>
        <v>1</v>
      </c>
      <c r="L668" s="631"/>
      <c r="M668" s="3192">
        <f t="shared" si="120"/>
        <v>1</v>
      </c>
      <c r="N668" s="631"/>
      <c r="O668" s="3192">
        <f t="shared" si="121"/>
        <v>1</v>
      </c>
      <c r="P668" s="3194" t="s">
        <v>4044</v>
      </c>
      <c r="Q668" s="3192">
        <f t="shared" si="122"/>
        <v>1.02</v>
      </c>
      <c r="R668" s="3192">
        <f t="shared" ca="1" si="123"/>
        <v>13711</v>
      </c>
      <c r="S668" s="898">
        <f t="shared" ca="1" si="124"/>
        <v>68</v>
      </c>
      <c r="T668" s="3190">
        <f>面积表!A663</f>
        <v>0</v>
      </c>
    </row>
    <row r="669" spans="1:20">
      <c r="A669" s="3169" t="str">
        <f>面积表!D664</f>
        <v>1025</v>
      </c>
      <c r="B669" s="52">
        <f>面积表!E664</f>
        <v>48.41</v>
      </c>
      <c r="C669" s="3192">
        <f t="shared" si="115"/>
        <v>1</v>
      </c>
      <c r="D669" s="2559" t="s">
        <v>4016</v>
      </c>
      <c r="E669" s="3192">
        <f t="shared" si="116"/>
        <v>1</v>
      </c>
      <c r="F669" s="631" t="s">
        <v>3815</v>
      </c>
      <c r="G669" s="3192">
        <f t="shared" si="117"/>
        <v>0.95</v>
      </c>
      <c r="H669" s="631">
        <v>3</v>
      </c>
      <c r="I669" s="3192">
        <f t="shared" si="118"/>
        <v>1</v>
      </c>
      <c r="J669" s="631"/>
      <c r="K669" s="3192">
        <f t="shared" si="119"/>
        <v>1</v>
      </c>
      <c r="L669" s="631"/>
      <c r="M669" s="3192">
        <f t="shared" si="120"/>
        <v>1</v>
      </c>
      <c r="N669" s="631"/>
      <c r="O669" s="3192">
        <f t="shared" si="121"/>
        <v>1</v>
      </c>
      <c r="P669" s="3194" t="s">
        <v>4044</v>
      </c>
      <c r="Q669" s="3192">
        <f t="shared" si="122"/>
        <v>1.02</v>
      </c>
      <c r="R669" s="3192">
        <f t="shared" ca="1" si="123"/>
        <v>13711</v>
      </c>
      <c r="S669" s="898">
        <f t="shared" ca="1" si="124"/>
        <v>66</v>
      </c>
      <c r="T669" s="3190">
        <f>面积表!A664</f>
        <v>0</v>
      </c>
    </row>
    <row r="670" spans="1:20">
      <c r="A670" s="3169" t="str">
        <f>面积表!D665</f>
        <v>1026</v>
      </c>
      <c r="B670" s="52">
        <f>面积表!E665</f>
        <v>47.44</v>
      </c>
      <c r="C670" s="3192">
        <f t="shared" si="115"/>
        <v>1</v>
      </c>
      <c r="D670" s="2559" t="s">
        <v>4016</v>
      </c>
      <c r="E670" s="3192">
        <f t="shared" si="116"/>
        <v>1</v>
      </c>
      <c r="F670" s="631" t="s">
        <v>3815</v>
      </c>
      <c r="G670" s="3192">
        <f t="shared" si="117"/>
        <v>0.95</v>
      </c>
      <c r="H670" s="631">
        <v>3</v>
      </c>
      <c r="I670" s="3192">
        <f t="shared" si="118"/>
        <v>1</v>
      </c>
      <c r="J670" s="631"/>
      <c r="K670" s="3192">
        <f t="shared" si="119"/>
        <v>1</v>
      </c>
      <c r="L670" s="631"/>
      <c r="M670" s="3192">
        <f t="shared" si="120"/>
        <v>1</v>
      </c>
      <c r="N670" s="631"/>
      <c r="O670" s="3192">
        <f t="shared" si="121"/>
        <v>1</v>
      </c>
      <c r="P670" s="3194" t="s">
        <v>4044</v>
      </c>
      <c r="Q670" s="3192">
        <f t="shared" si="122"/>
        <v>1.02</v>
      </c>
      <c r="R670" s="3192">
        <f t="shared" ca="1" si="123"/>
        <v>13711</v>
      </c>
      <c r="S670" s="898">
        <f t="shared" ca="1" si="124"/>
        <v>65</v>
      </c>
      <c r="T670" s="3190">
        <f>面积表!A665</f>
        <v>0</v>
      </c>
    </row>
    <row r="671" spans="1:20">
      <c r="A671" s="3169" t="str">
        <f>面积表!D666</f>
        <v>1101</v>
      </c>
      <c r="B671" s="52">
        <f>面积表!E666</f>
        <v>52.2</v>
      </c>
      <c r="C671" s="3192">
        <f t="shared" si="115"/>
        <v>1</v>
      </c>
      <c r="D671" s="2559" t="s">
        <v>4016</v>
      </c>
      <c r="E671" s="3192">
        <f t="shared" si="116"/>
        <v>1</v>
      </c>
      <c r="F671" s="631" t="s">
        <v>3815</v>
      </c>
      <c r="G671" s="3192">
        <f t="shared" si="117"/>
        <v>0.95</v>
      </c>
      <c r="H671" s="631">
        <v>3</v>
      </c>
      <c r="I671" s="3192">
        <f t="shared" si="118"/>
        <v>1</v>
      </c>
      <c r="J671" s="631"/>
      <c r="K671" s="3192">
        <f t="shared" si="119"/>
        <v>1</v>
      </c>
      <c r="L671" s="631"/>
      <c r="M671" s="3192">
        <f t="shared" si="120"/>
        <v>1</v>
      </c>
      <c r="N671" s="631"/>
      <c r="O671" s="3192">
        <f t="shared" si="121"/>
        <v>1</v>
      </c>
      <c r="P671" s="3194" t="s">
        <v>4044</v>
      </c>
      <c r="Q671" s="3192">
        <f t="shared" si="122"/>
        <v>1.02</v>
      </c>
      <c r="R671" s="3192">
        <f t="shared" ca="1" si="123"/>
        <v>13711</v>
      </c>
      <c r="S671" s="898">
        <f t="shared" ca="1" si="124"/>
        <v>72</v>
      </c>
      <c r="T671" s="3190">
        <f>面积表!A666</f>
        <v>0</v>
      </c>
    </row>
    <row r="672" spans="1:20">
      <c r="A672" s="3169" t="str">
        <f>面积表!D667</f>
        <v>1102</v>
      </c>
      <c r="B672" s="52">
        <f>面积表!E667</f>
        <v>50.33</v>
      </c>
      <c r="C672" s="3192">
        <f t="shared" si="115"/>
        <v>1</v>
      </c>
      <c r="D672" s="2559" t="s">
        <v>4016</v>
      </c>
      <c r="E672" s="3192">
        <f t="shared" si="116"/>
        <v>1</v>
      </c>
      <c r="F672" s="631" t="s">
        <v>3815</v>
      </c>
      <c r="G672" s="3192">
        <f t="shared" si="117"/>
        <v>0.95</v>
      </c>
      <c r="H672" s="631">
        <v>3</v>
      </c>
      <c r="I672" s="3192">
        <f t="shared" si="118"/>
        <v>1</v>
      </c>
      <c r="J672" s="631"/>
      <c r="K672" s="3192">
        <f t="shared" si="119"/>
        <v>1</v>
      </c>
      <c r="L672" s="631"/>
      <c r="M672" s="3192">
        <f t="shared" si="120"/>
        <v>1</v>
      </c>
      <c r="N672" s="631"/>
      <c r="O672" s="3192">
        <f t="shared" si="121"/>
        <v>1</v>
      </c>
      <c r="P672" s="3194" t="s">
        <v>4044</v>
      </c>
      <c r="Q672" s="3192">
        <f t="shared" si="122"/>
        <v>1.02</v>
      </c>
      <c r="R672" s="3192">
        <f t="shared" ca="1" si="123"/>
        <v>13711</v>
      </c>
      <c r="S672" s="898">
        <f t="shared" ca="1" si="124"/>
        <v>69</v>
      </c>
      <c r="T672" s="3190">
        <f>面积表!A667</f>
        <v>0</v>
      </c>
    </row>
    <row r="673" spans="1:20">
      <c r="A673" s="3169" t="str">
        <f>面积表!D668</f>
        <v>1103</v>
      </c>
      <c r="B673" s="52">
        <f>面积表!E668</f>
        <v>50.33</v>
      </c>
      <c r="C673" s="3192">
        <f t="shared" si="115"/>
        <v>1</v>
      </c>
      <c r="D673" s="2559" t="s">
        <v>4016</v>
      </c>
      <c r="E673" s="3192">
        <f t="shared" si="116"/>
        <v>1</v>
      </c>
      <c r="F673" s="631" t="s">
        <v>3815</v>
      </c>
      <c r="G673" s="3192">
        <f t="shared" si="117"/>
        <v>0.95</v>
      </c>
      <c r="H673" s="631">
        <v>3</v>
      </c>
      <c r="I673" s="3192">
        <f t="shared" si="118"/>
        <v>1</v>
      </c>
      <c r="J673" s="631"/>
      <c r="K673" s="3192">
        <f t="shared" si="119"/>
        <v>1</v>
      </c>
      <c r="L673" s="631"/>
      <c r="M673" s="3192">
        <f t="shared" si="120"/>
        <v>1</v>
      </c>
      <c r="N673" s="631"/>
      <c r="O673" s="3192">
        <f t="shared" si="121"/>
        <v>1</v>
      </c>
      <c r="P673" s="3194" t="s">
        <v>4044</v>
      </c>
      <c r="Q673" s="3192">
        <f t="shared" si="122"/>
        <v>1.02</v>
      </c>
      <c r="R673" s="3192">
        <f t="shared" ca="1" si="123"/>
        <v>13711</v>
      </c>
      <c r="S673" s="898">
        <f t="shared" ca="1" si="124"/>
        <v>69</v>
      </c>
      <c r="T673" s="3190">
        <f>面积表!A668</f>
        <v>0</v>
      </c>
    </row>
    <row r="674" spans="1:20">
      <c r="A674" s="3169" t="str">
        <f>面积表!D669</f>
        <v>1104</v>
      </c>
      <c r="B674" s="52">
        <f>面积表!E669</f>
        <v>50.33</v>
      </c>
      <c r="C674" s="3192">
        <f t="shared" si="115"/>
        <v>1</v>
      </c>
      <c r="D674" s="2559" t="s">
        <v>4016</v>
      </c>
      <c r="E674" s="3192">
        <f t="shared" si="116"/>
        <v>1</v>
      </c>
      <c r="F674" s="631" t="s">
        <v>3815</v>
      </c>
      <c r="G674" s="3192">
        <f t="shared" si="117"/>
        <v>0.95</v>
      </c>
      <c r="H674" s="631">
        <v>3</v>
      </c>
      <c r="I674" s="3192">
        <f t="shared" si="118"/>
        <v>1</v>
      </c>
      <c r="J674" s="631"/>
      <c r="K674" s="3192">
        <f t="shared" si="119"/>
        <v>1</v>
      </c>
      <c r="L674" s="631"/>
      <c r="M674" s="3192">
        <f t="shared" si="120"/>
        <v>1</v>
      </c>
      <c r="N674" s="631"/>
      <c r="O674" s="3192">
        <f t="shared" si="121"/>
        <v>1</v>
      </c>
      <c r="P674" s="3194" t="s">
        <v>4044</v>
      </c>
      <c r="Q674" s="3192">
        <f t="shared" si="122"/>
        <v>1.02</v>
      </c>
      <c r="R674" s="3192">
        <f t="shared" ca="1" si="123"/>
        <v>13711</v>
      </c>
      <c r="S674" s="898">
        <f t="shared" ca="1" si="124"/>
        <v>69</v>
      </c>
      <c r="T674" s="3190">
        <f>面积表!A669</f>
        <v>0</v>
      </c>
    </row>
    <row r="675" spans="1:20">
      <c r="A675" s="3169" t="str">
        <f>面积表!D670</f>
        <v>1105</v>
      </c>
      <c r="B675" s="52">
        <f>面积表!E670</f>
        <v>50.33</v>
      </c>
      <c r="C675" s="3192">
        <f t="shared" si="115"/>
        <v>1</v>
      </c>
      <c r="D675" s="2559" t="s">
        <v>4016</v>
      </c>
      <c r="E675" s="3192">
        <f t="shared" si="116"/>
        <v>1</v>
      </c>
      <c r="F675" s="631" t="s">
        <v>3815</v>
      </c>
      <c r="G675" s="3192">
        <f t="shared" si="117"/>
        <v>0.95</v>
      </c>
      <c r="H675" s="631">
        <v>3</v>
      </c>
      <c r="I675" s="3192">
        <f t="shared" si="118"/>
        <v>1</v>
      </c>
      <c r="J675" s="631"/>
      <c r="K675" s="3192">
        <f t="shared" si="119"/>
        <v>1</v>
      </c>
      <c r="L675" s="631"/>
      <c r="M675" s="3192">
        <f t="shared" si="120"/>
        <v>1</v>
      </c>
      <c r="N675" s="631"/>
      <c r="O675" s="3192">
        <f t="shared" si="121"/>
        <v>1</v>
      </c>
      <c r="P675" s="3194" t="s">
        <v>4044</v>
      </c>
      <c r="Q675" s="3192">
        <f t="shared" si="122"/>
        <v>1.02</v>
      </c>
      <c r="R675" s="3192">
        <f t="shared" ca="1" si="123"/>
        <v>13711</v>
      </c>
      <c r="S675" s="898">
        <f t="shared" ca="1" si="124"/>
        <v>69</v>
      </c>
      <c r="T675" s="3190">
        <f>面积表!A670</f>
        <v>0</v>
      </c>
    </row>
    <row r="676" spans="1:20">
      <c r="A676" s="3169" t="str">
        <f>面积表!D671</f>
        <v>1106</v>
      </c>
      <c r="B676" s="52">
        <f>面积表!E671</f>
        <v>50.33</v>
      </c>
      <c r="C676" s="3192">
        <f t="shared" si="115"/>
        <v>1</v>
      </c>
      <c r="D676" s="2559" t="s">
        <v>4016</v>
      </c>
      <c r="E676" s="3192">
        <f t="shared" si="116"/>
        <v>1</v>
      </c>
      <c r="F676" s="631" t="s">
        <v>3815</v>
      </c>
      <c r="G676" s="3192">
        <f t="shared" si="117"/>
        <v>0.95</v>
      </c>
      <c r="H676" s="631">
        <v>3</v>
      </c>
      <c r="I676" s="3192">
        <f t="shared" si="118"/>
        <v>1</v>
      </c>
      <c r="J676" s="631"/>
      <c r="K676" s="3192">
        <f t="shared" si="119"/>
        <v>1</v>
      </c>
      <c r="L676" s="631"/>
      <c r="M676" s="3192">
        <f t="shared" si="120"/>
        <v>1</v>
      </c>
      <c r="N676" s="631"/>
      <c r="O676" s="3192">
        <f t="shared" si="121"/>
        <v>1</v>
      </c>
      <c r="P676" s="3194" t="s">
        <v>4044</v>
      </c>
      <c r="Q676" s="3192">
        <f t="shared" si="122"/>
        <v>1.02</v>
      </c>
      <c r="R676" s="3192">
        <f t="shared" ca="1" si="123"/>
        <v>13711</v>
      </c>
      <c r="S676" s="898">
        <f t="shared" ca="1" si="124"/>
        <v>69</v>
      </c>
      <c r="T676" s="3190">
        <f>面积表!A671</f>
        <v>0</v>
      </c>
    </row>
    <row r="677" spans="1:20">
      <c r="A677" s="3169" t="str">
        <f>面积表!D672</f>
        <v>1107</v>
      </c>
      <c r="B677" s="52">
        <f>面积表!E672</f>
        <v>50.33</v>
      </c>
      <c r="C677" s="3192">
        <f t="shared" si="115"/>
        <v>1</v>
      </c>
      <c r="D677" s="2559" t="s">
        <v>4016</v>
      </c>
      <c r="E677" s="3192">
        <f t="shared" si="116"/>
        <v>1</v>
      </c>
      <c r="F677" s="631" t="s">
        <v>3815</v>
      </c>
      <c r="G677" s="3192">
        <f t="shared" si="117"/>
        <v>0.95</v>
      </c>
      <c r="H677" s="631">
        <v>3</v>
      </c>
      <c r="I677" s="3192">
        <f t="shared" si="118"/>
        <v>1</v>
      </c>
      <c r="J677" s="631"/>
      <c r="K677" s="3192">
        <f t="shared" si="119"/>
        <v>1</v>
      </c>
      <c r="L677" s="631"/>
      <c r="M677" s="3192">
        <f t="shared" si="120"/>
        <v>1</v>
      </c>
      <c r="N677" s="631"/>
      <c r="O677" s="3192">
        <f t="shared" si="121"/>
        <v>1</v>
      </c>
      <c r="P677" s="3194" t="s">
        <v>4044</v>
      </c>
      <c r="Q677" s="3192">
        <f t="shared" si="122"/>
        <v>1.02</v>
      </c>
      <c r="R677" s="3192">
        <f t="shared" ca="1" si="123"/>
        <v>13711</v>
      </c>
      <c r="S677" s="898">
        <f t="shared" ca="1" si="124"/>
        <v>69</v>
      </c>
      <c r="T677" s="3190">
        <f>面积表!A672</f>
        <v>0</v>
      </c>
    </row>
    <row r="678" spans="1:20">
      <c r="A678" s="3169" t="str">
        <f>面积表!D673</f>
        <v>1108</v>
      </c>
      <c r="B678" s="52">
        <f>面积表!E673</f>
        <v>50.33</v>
      </c>
      <c r="C678" s="3192">
        <f t="shared" si="115"/>
        <v>1</v>
      </c>
      <c r="D678" s="2559" t="s">
        <v>4016</v>
      </c>
      <c r="E678" s="3192">
        <f t="shared" si="116"/>
        <v>1</v>
      </c>
      <c r="F678" s="631" t="s">
        <v>3815</v>
      </c>
      <c r="G678" s="3192">
        <f t="shared" si="117"/>
        <v>0.95</v>
      </c>
      <c r="H678" s="631">
        <v>3</v>
      </c>
      <c r="I678" s="3192">
        <f t="shared" si="118"/>
        <v>1</v>
      </c>
      <c r="J678" s="631"/>
      <c r="K678" s="3192">
        <f t="shared" si="119"/>
        <v>1</v>
      </c>
      <c r="L678" s="631"/>
      <c r="M678" s="3192">
        <f t="shared" si="120"/>
        <v>1</v>
      </c>
      <c r="N678" s="631"/>
      <c r="O678" s="3192">
        <f t="shared" si="121"/>
        <v>1</v>
      </c>
      <c r="P678" s="3194" t="s">
        <v>4044</v>
      </c>
      <c r="Q678" s="3192">
        <f t="shared" si="122"/>
        <v>1.02</v>
      </c>
      <c r="R678" s="3192">
        <f t="shared" ca="1" si="123"/>
        <v>13711</v>
      </c>
      <c r="S678" s="898">
        <f t="shared" ca="1" si="124"/>
        <v>69</v>
      </c>
      <c r="T678" s="3190">
        <f>面积表!A673</f>
        <v>0</v>
      </c>
    </row>
    <row r="679" spans="1:20">
      <c r="A679" s="3169" t="str">
        <f>面积表!D674</f>
        <v>1109</v>
      </c>
      <c r="B679" s="52">
        <f>面积表!E674</f>
        <v>50.33</v>
      </c>
      <c r="C679" s="3192">
        <f t="shared" si="115"/>
        <v>1</v>
      </c>
      <c r="D679" s="2559" t="s">
        <v>4016</v>
      </c>
      <c r="E679" s="3192">
        <f t="shared" si="116"/>
        <v>1</v>
      </c>
      <c r="F679" s="631" t="s">
        <v>3815</v>
      </c>
      <c r="G679" s="3192">
        <f t="shared" si="117"/>
        <v>0.95</v>
      </c>
      <c r="H679" s="631">
        <v>3</v>
      </c>
      <c r="I679" s="3192">
        <f t="shared" si="118"/>
        <v>1</v>
      </c>
      <c r="J679" s="631"/>
      <c r="K679" s="3192">
        <f t="shared" si="119"/>
        <v>1</v>
      </c>
      <c r="L679" s="631"/>
      <c r="M679" s="3192">
        <f t="shared" si="120"/>
        <v>1</v>
      </c>
      <c r="N679" s="631"/>
      <c r="O679" s="3192">
        <f t="shared" si="121"/>
        <v>1</v>
      </c>
      <c r="P679" s="3194" t="s">
        <v>4044</v>
      </c>
      <c r="Q679" s="3192">
        <f t="shared" si="122"/>
        <v>1.02</v>
      </c>
      <c r="R679" s="3192">
        <f t="shared" ca="1" si="123"/>
        <v>13711</v>
      </c>
      <c r="S679" s="898">
        <f t="shared" ca="1" si="124"/>
        <v>69</v>
      </c>
      <c r="T679" s="3190">
        <f>面积表!A674</f>
        <v>0</v>
      </c>
    </row>
    <row r="680" spans="1:20">
      <c r="A680" s="3169" t="str">
        <f>面积表!D675</f>
        <v>1110</v>
      </c>
      <c r="B680" s="52">
        <f>面积表!E675</f>
        <v>50.33</v>
      </c>
      <c r="C680" s="3192">
        <f t="shared" si="115"/>
        <v>1</v>
      </c>
      <c r="D680" s="2559" t="s">
        <v>4016</v>
      </c>
      <c r="E680" s="3192">
        <f t="shared" si="116"/>
        <v>1</v>
      </c>
      <c r="F680" s="631" t="s">
        <v>3815</v>
      </c>
      <c r="G680" s="3192">
        <f t="shared" si="117"/>
        <v>0.95</v>
      </c>
      <c r="H680" s="631">
        <v>3</v>
      </c>
      <c r="I680" s="3192">
        <f t="shared" si="118"/>
        <v>1</v>
      </c>
      <c r="J680" s="631"/>
      <c r="K680" s="3192">
        <f t="shared" si="119"/>
        <v>1</v>
      </c>
      <c r="L680" s="631"/>
      <c r="M680" s="3192">
        <f t="shared" si="120"/>
        <v>1</v>
      </c>
      <c r="N680" s="631"/>
      <c r="O680" s="3192">
        <f t="shared" si="121"/>
        <v>1</v>
      </c>
      <c r="P680" s="3194" t="s">
        <v>4044</v>
      </c>
      <c r="Q680" s="3192">
        <f t="shared" si="122"/>
        <v>1.02</v>
      </c>
      <c r="R680" s="3192">
        <f t="shared" ca="1" si="123"/>
        <v>13711</v>
      </c>
      <c r="S680" s="898">
        <f t="shared" ca="1" si="124"/>
        <v>69</v>
      </c>
      <c r="T680" s="3190">
        <f>面积表!A675</f>
        <v>0</v>
      </c>
    </row>
    <row r="681" spans="1:20">
      <c r="A681" s="3169" t="str">
        <f>面积表!D676</f>
        <v>1111</v>
      </c>
      <c r="B681" s="52">
        <f>面积表!E676</f>
        <v>50.33</v>
      </c>
      <c r="C681" s="3192">
        <f t="shared" si="115"/>
        <v>1</v>
      </c>
      <c r="D681" s="2559" t="s">
        <v>4016</v>
      </c>
      <c r="E681" s="3192">
        <f t="shared" si="116"/>
        <v>1</v>
      </c>
      <c r="F681" s="631" t="s">
        <v>3815</v>
      </c>
      <c r="G681" s="3192">
        <f t="shared" si="117"/>
        <v>0.95</v>
      </c>
      <c r="H681" s="631">
        <v>3</v>
      </c>
      <c r="I681" s="3192">
        <f t="shared" si="118"/>
        <v>1</v>
      </c>
      <c r="J681" s="631"/>
      <c r="K681" s="3192">
        <f t="shared" si="119"/>
        <v>1</v>
      </c>
      <c r="L681" s="631"/>
      <c r="M681" s="3192">
        <f t="shared" si="120"/>
        <v>1</v>
      </c>
      <c r="N681" s="631"/>
      <c r="O681" s="3192">
        <f t="shared" si="121"/>
        <v>1</v>
      </c>
      <c r="P681" s="3194" t="s">
        <v>4044</v>
      </c>
      <c r="Q681" s="3192">
        <f t="shared" si="122"/>
        <v>1.02</v>
      </c>
      <c r="R681" s="3192">
        <f t="shared" ca="1" si="123"/>
        <v>13711</v>
      </c>
      <c r="S681" s="898">
        <f t="shared" ca="1" si="124"/>
        <v>69</v>
      </c>
      <c r="T681" s="3190">
        <f>面积表!A676</f>
        <v>0</v>
      </c>
    </row>
    <row r="682" spans="1:20">
      <c r="A682" s="3169" t="str">
        <f>面积表!D677</f>
        <v>1112</v>
      </c>
      <c r="B682" s="52">
        <f>面积表!E677</f>
        <v>50.33</v>
      </c>
      <c r="C682" s="3192">
        <f t="shared" si="115"/>
        <v>1</v>
      </c>
      <c r="D682" s="2559" t="s">
        <v>4016</v>
      </c>
      <c r="E682" s="3192">
        <f t="shared" si="116"/>
        <v>1</v>
      </c>
      <c r="F682" s="631" t="s">
        <v>3815</v>
      </c>
      <c r="G682" s="3192">
        <f t="shared" si="117"/>
        <v>0.95</v>
      </c>
      <c r="H682" s="631">
        <v>3</v>
      </c>
      <c r="I682" s="3192">
        <f t="shared" si="118"/>
        <v>1</v>
      </c>
      <c r="J682" s="631"/>
      <c r="K682" s="3192">
        <f t="shared" si="119"/>
        <v>1</v>
      </c>
      <c r="L682" s="631"/>
      <c r="M682" s="3192">
        <f t="shared" si="120"/>
        <v>1</v>
      </c>
      <c r="N682" s="631"/>
      <c r="O682" s="3192">
        <f t="shared" si="121"/>
        <v>1</v>
      </c>
      <c r="P682" s="3194" t="s">
        <v>4044</v>
      </c>
      <c r="Q682" s="3192">
        <f t="shared" si="122"/>
        <v>1.02</v>
      </c>
      <c r="R682" s="3192">
        <f t="shared" ca="1" si="123"/>
        <v>13711</v>
      </c>
      <c r="S682" s="898">
        <f t="shared" ca="1" si="124"/>
        <v>69</v>
      </c>
      <c r="T682" s="3190">
        <f>面积表!A677</f>
        <v>0</v>
      </c>
    </row>
    <row r="683" spans="1:20">
      <c r="A683" s="3169" t="str">
        <f>面积表!D678</f>
        <v>1113</v>
      </c>
      <c r="B683" s="52">
        <f>面积表!E678</f>
        <v>50.33</v>
      </c>
      <c r="C683" s="3192">
        <f t="shared" si="115"/>
        <v>1</v>
      </c>
      <c r="D683" s="2559" t="s">
        <v>4016</v>
      </c>
      <c r="E683" s="3192">
        <f t="shared" si="116"/>
        <v>1</v>
      </c>
      <c r="F683" s="631" t="s">
        <v>3815</v>
      </c>
      <c r="G683" s="3192">
        <f t="shared" si="117"/>
        <v>0.95</v>
      </c>
      <c r="H683" s="631">
        <v>3</v>
      </c>
      <c r="I683" s="3192">
        <f t="shared" si="118"/>
        <v>1</v>
      </c>
      <c r="J683" s="631"/>
      <c r="K683" s="3192">
        <f t="shared" si="119"/>
        <v>1</v>
      </c>
      <c r="L683" s="631"/>
      <c r="M683" s="3192">
        <f t="shared" si="120"/>
        <v>1</v>
      </c>
      <c r="N683" s="631"/>
      <c r="O683" s="3192">
        <f t="shared" si="121"/>
        <v>1</v>
      </c>
      <c r="P683" s="3194" t="s">
        <v>4044</v>
      </c>
      <c r="Q683" s="3192">
        <f t="shared" si="122"/>
        <v>1.02</v>
      </c>
      <c r="R683" s="3192">
        <f t="shared" ca="1" si="123"/>
        <v>13711</v>
      </c>
      <c r="S683" s="898">
        <f t="shared" ca="1" si="124"/>
        <v>69</v>
      </c>
      <c r="T683" s="3190">
        <f>面积表!A678</f>
        <v>0</v>
      </c>
    </row>
    <row r="684" spans="1:20">
      <c r="A684" s="3169" t="str">
        <f>面积表!D679</f>
        <v>1114</v>
      </c>
      <c r="B684" s="52">
        <f>面积表!E679</f>
        <v>50.33</v>
      </c>
      <c r="C684" s="3192">
        <f t="shared" si="115"/>
        <v>1</v>
      </c>
      <c r="D684" s="2559" t="s">
        <v>4016</v>
      </c>
      <c r="E684" s="3192">
        <f t="shared" si="116"/>
        <v>1</v>
      </c>
      <c r="F684" s="631" t="s">
        <v>3815</v>
      </c>
      <c r="G684" s="3192">
        <f t="shared" si="117"/>
        <v>0.95</v>
      </c>
      <c r="H684" s="631">
        <v>3</v>
      </c>
      <c r="I684" s="3192">
        <f t="shared" si="118"/>
        <v>1</v>
      </c>
      <c r="J684" s="631"/>
      <c r="K684" s="3192">
        <f t="shared" si="119"/>
        <v>1</v>
      </c>
      <c r="L684" s="631"/>
      <c r="M684" s="3192">
        <f t="shared" si="120"/>
        <v>1</v>
      </c>
      <c r="N684" s="631"/>
      <c r="O684" s="3192">
        <f t="shared" si="121"/>
        <v>1</v>
      </c>
      <c r="P684" s="3194" t="s">
        <v>4044</v>
      </c>
      <c r="Q684" s="3192">
        <f t="shared" si="122"/>
        <v>1.02</v>
      </c>
      <c r="R684" s="3192">
        <f t="shared" ca="1" si="123"/>
        <v>13711</v>
      </c>
      <c r="S684" s="898">
        <f t="shared" ca="1" si="124"/>
        <v>69</v>
      </c>
      <c r="T684" s="3190">
        <f>面积表!A679</f>
        <v>0</v>
      </c>
    </row>
    <row r="685" spans="1:20">
      <c r="A685" s="3169" t="str">
        <f>面积表!D680</f>
        <v>1115</v>
      </c>
      <c r="B685" s="52">
        <f>面积表!E680</f>
        <v>50.33</v>
      </c>
      <c r="C685" s="3192">
        <f t="shared" si="115"/>
        <v>1</v>
      </c>
      <c r="D685" s="2559" t="s">
        <v>4016</v>
      </c>
      <c r="E685" s="3192">
        <f t="shared" si="116"/>
        <v>1</v>
      </c>
      <c r="F685" s="631" t="s">
        <v>3815</v>
      </c>
      <c r="G685" s="3192">
        <f t="shared" si="117"/>
        <v>0.95</v>
      </c>
      <c r="H685" s="631">
        <v>3</v>
      </c>
      <c r="I685" s="3192">
        <f t="shared" si="118"/>
        <v>1</v>
      </c>
      <c r="J685" s="631"/>
      <c r="K685" s="3192">
        <f t="shared" si="119"/>
        <v>1</v>
      </c>
      <c r="L685" s="631"/>
      <c r="M685" s="3192">
        <f t="shared" si="120"/>
        <v>1</v>
      </c>
      <c r="N685" s="631"/>
      <c r="O685" s="3192">
        <f t="shared" si="121"/>
        <v>1</v>
      </c>
      <c r="P685" s="3194" t="s">
        <v>4044</v>
      </c>
      <c r="Q685" s="3192">
        <f t="shared" si="122"/>
        <v>1.02</v>
      </c>
      <c r="R685" s="3192">
        <f t="shared" ca="1" si="123"/>
        <v>13711</v>
      </c>
      <c r="S685" s="898">
        <f t="shared" ca="1" si="124"/>
        <v>69</v>
      </c>
      <c r="T685" s="3190">
        <f>面积表!A680</f>
        <v>0</v>
      </c>
    </row>
    <row r="686" spans="1:20">
      <c r="A686" s="3169" t="str">
        <f>面积表!D681</f>
        <v>1116</v>
      </c>
      <c r="B686" s="52">
        <f>面积表!E681</f>
        <v>69.77</v>
      </c>
      <c r="C686" s="3192">
        <f t="shared" si="115"/>
        <v>1.01</v>
      </c>
      <c r="D686" s="2559" t="s">
        <v>4016</v>
      </c>
      <c r="E686" s="3192">
        <f t="shared" si="116"/>
        <v>1</v>
      </c>
      <c r="F686" s="631" t="s">
        <v>3815</v>
      </c>
      <c r="G686" s="3192">
        <f t="shared" si="117"/>
        <v>0.95</v>
      </c>
      <c r="H686" s="631">
        <v>3</v>
      </c>
      <c r="I686" s="3192">
        <f t="shared" si="118"/>
        <v>1</v>
      </c>
      <c r="J686" s="631"/>
      <c r="K686" s="3192">
        <f t="shared" si="119"/>
        <v>1</v>
      </c>
      <c r="L686" s="631"/>
      <c r="M686" s="3192">
        <f t="shared" si="120"/>
        <v>1</v>
      </c>
      <c r="N686" s="631"/>
      <c r="O686" s="3192">
        <f t="shared" si="121"/>
        <v>1</v>
      </c>
      <c r="P686" s="3194" t="s">
        <v>4044</v>
      </c>
      <c r="Q686" s="3192">
        <f t="shared" si="122"/>
        <v>1.02</v>
      </c>
      <c r="R686" s="3192">
        <f t="shared" ca="1" si="123"/>
        <v>13848</v>
      </c>
      <c r="S686" s="898">
        <f t="shared" ca="1" si="124"/>
        <v>97</v>
      </c>
      <c r="T686" s="3190">
        <f>面积表!A681</f>
        <v>0</v>
      </c>
    </row>
    <row r="687" spans="1:20">
      <c r="A687" s="3169" t="str">
        <f>面积表!D682</f>
        <v>1117</v>
      </c>
      <c r="B687" s="52">
        <f>面积表!E682</f>
        <v>38.65</v>
      </c>
      <c r="C687" s="3192">
        <f t="shared" si="115"/>
        <v>1</v>
      </c>
      <c r="D687" s="2559" t="s">
        <v>4016</v>
      </c>
      <c r="E687" s="3192">
        <f t="shared" si="116"/>
        <v>1</v>
      </c>
      <c r="F687" s="631" t="s">
        <v>3815</v>
      </c>
      <c r="G687" s="3192">
        <f t="shared" si="117"/>
        <v>0.95</v>
      </c>
      <c r="H687" s="631">
        <v>3</v>
      </c>
      <c r="I687" s="3192">
        <f t="shared" si="118"/>
        <v>1</v>
      </c>
      <c r="J687" s="631"/>
      <c r="K687" s="3192">
        <f t="shared" si="119"/>
        <v>1</v>
      </c>
      <c r="L687" s="631"/>
      <c r="M687" s="3192">
        <f t="shared" si="120"/>
        <v>1</v>
      </c>
      <c r="N687" s="631"/>
      <c r="O687" s="3192">
        <f t="shared" si="121"/>
        <v>1</v>
      </c>
      <c r="P687" s="3194" t="s">
        <v>4044</v>
      </c>
      <c r="Q687" s="3192">
        <f t="shared" si="122"/>
        <v>1.02</v>
      </c>
      <c r="R687" s="3192">
        <f t="shared" ca="1" si="123"/>
        <v>13711</v>
      </c>
      <c r="S687" s="898">
        <f t="shared" ca="1" si="124"/>
        <v>53</v>
      </c>
      <c r="T687" s="3190">
        <f>面积表!A682</f>
        <v>0</v>
      </c>
    </row>
    <row r="688" spans="1:20">
      <c r="A688" s="3169" t="str">
        <f>面积表!D683</f>
        <v>1118</v>
      </c>
      <c r="B688" s="52">
        <f>面积表!E683</f>
        <v>41.99</v>
      </c>
      <c r="C688" s="3192">
        <f t="shared" si="115"/>
        <v>1</v>
      </c>
      <c r="D688" s="2559" t="s">
        <v>4016</v>
      </c>
      <c r="E688" s="3192">
        <f t="shared" si="116"/>
        <v>1</v>
      </c>
      <c r="F688" s="631" t="s">
        <v>3815</v>
      </c>
      <c r="G688" s="3192">
        <f t="shared" si="117"/>
        <v>0.95</v>
      </c>
      <c r="H688" s="631">
        <v>3</v>
      </c>
      <c r="I688" s="3192">
        <f t="shared" si="118"/>
        <v>1</v>
      </c>
      <c r="J688" s="631"/>
      <c r="K688" s="3192">
        <f t="shared" si="119"/>
        <v>1</v>
      </c>
      <c r="L688" s="631"/>
      <c r="M688" s="3192">
        <f t="shared" si="120"/>
        <v>1</v>
      </c>
      <c r="N688" s="631"/>
      <c r="O688" s="3192">
        <f t="shared" si="121"/>
        <v>1</v>
      </c>
      <c r="P688" s="3194" t="s">
        <v>4044</v>
      </c>
      <c r="Q688" s="3192">
        <f t="shared" si="122"/>
        <v>1.02</v>
      </c>
      <c r="R688" s="3192">
        <f t="shared" ca="1" si="123"/>
        <v>13711</v>
      </c>
      <c r="S688" s="898">
        <f t="shared" ca="1" si="124"/>
        <v>58</v>
      </c>
      <c r="T688" s="3190">
        <f>面积表!A683</f>
        <v>0</v>
      </c>
    </row>
    <row r="689" spans="1:20">
      <c r="A689" s="3169" t="str">
        <f>面积表!D684</f>
        <v>1119</v>
      </c>
      <c r="B689" s="52">
        <f>面积表!E684</f>
        <v>44.72</v>
      </c>
      <c r="C689" s="3192">
        <f t="shared" si="115"/>
        <v>1</v>
      </c>
      <c r="D689" s="2559" t="s">
        <v>4016</v>
      </c>
      <c r="E689" s="3192">
        <f t="shared" si="116"/>
        <v>1</v>
      </c>
      <c r="F689" s="631" t="s">
        <v>3815</v>
      </c>
      <c r="G689" s="3192">
        <f t="shared" si="117"/>
        <v>0.95</v>
      </c>
      <c r="H689" s="631">
        <v>3</v>
      </c>
      <c r="I689" s="3192">
        <f t="shared" si="118"/>
        <v>1</v>
      </c>
      <c r="J689" s="631"/>
      <c r="K689" s="3192">
        <f t="shared" si="119"/>
        <v>1</v>
      </c>
      <c r="L689" s="631"/>
      <c r="M689" s="3192">
        <f t="shared" si="120"/>
        <v>1</v>
      </c>
      <c r="N689" s="631"/>
      <c r="O689" s="3192">
        <f t="shared" si="121"/>
        <v>1</v>
      </c>
      <c r="P689" s="3194" t="s">
        <v>4044</v>
      </c>
      <c r="Q689" s="3192">
        <f t="shared" si="122"/>
        <v>1.02</v>
      </c>
      <c r="R689" s="3192">
        <f t="shared" ca="1" si="123"/>
        <v>13711</v>
      </c>
      <c r="S689" s="898">
        <f t="shared" ca="1" si="124"/>
        <v>61</v>
      </c>
      <c r="T689" s="3190">
        <f>面积表!A684</f>
        <v>0</v>
      </c>
    </row>
    <row r="690" spans="1:20">
      <c r="A690" s="3169" t="str">
        <f>面积表!D685</f>
        <v>1120</v>
      </c>
      <c r="B690" s="52">
        <f>面积表!E685</f>
        <v>46.83</v>
      </c>
      <c r="C690" s="3192">
        <f t="shared" si="115"/>
        <v>1</v>
      </c>
      <c r="D690" s="2559" t="s">
        <v>4016</v>
      </c>
      <c r="E690" s="3192">
        <f t="shared" si="116"/>
        <v>1</v>
      </c>
      <c r="F690" s="631" t="s">
        <v>3815</v>
      </c>
      <c r="G690" s="3192">
        <f t="shared" si="117"/>
        <v>0.95</v>
      </c>
      <c r="H690" s="631">
        <v>3</v>
      </c>
      <c r="I690" s="3192">
        <f t="shared" si="118"/>
        <v>1</v>
      </c>
      <c r="J690" s="631"/>
      <c r="K690" s="3192">
        <f t="shared" si="119"/>
        <v>1</v>
      </c>
      <c r="L690" s="631"/>
      <c r="M690" s="3192">
        <f t="shared" si="120"/>
        <v>1</v>
      </c>
      <c r="N690" s="631"/>
      <c r="O690" s="3192">
        <f t="shared" si="121"/>
        <v>1</v>
      </c>
      <c r="P690" s="3194" t="s">
        <v>4044</v>
      </c>
      <c r="Q690" s="3192">
        <f t="shared" si="122"/>
        <v>1.02</v>
      </c>
      <c r="R690" s="3192">
        <f t="shared" ca="1" si="123"/>
        <v>13711</v>
      </c>
      <c r="S690" s="898">
        <f t="shared" ca="1" si="124"/>
        <v>64</v>
      </c>
      <c r="T690" s="3190">
        <f>面积表!A685</f>
        <v>0</v>
      </c>
    </row>
    <row r="691" spans="1:20">
      <c r="A691" s="3169" t="str">
        <f>面积表!D686</f>
        <v>1121</v>
      </c>
      <c r="B691" s="52">
        <f>面积表!E686</f>
        <v>48.33</v>
      </c>
      <c r="C691" s="3192">
        <f t="shared" si="115"/>
        <v>1</v>
      </c>
      <c r="D691" s="2559" t="s">
        <v>4016</v>
      </c>
      <c r="E691" s="3192">
        <f t="shared" si="116"/>
        <v>1</v>
      </c>
      <c r="F691" s="631" t="s">
        <v>3815</v>
      </c>
      <c r="G691" s="3192">
        <f t="shared" si="117"/>
        <v>0.95</v>
      </c>
      <c r="H691" s="631">
        <v>3</v>
      </c>
      <c r="I691" s="3192">
        <f t="shared" si="118"/>
        <v>1</v>
      </c>
      <c r="J691" s="631"/>
      <c r="K691" s="3192">
        <f t="shared" si="119"/>
        <v>1</v>
      </c>
      <c r="L691" s="631"/>
      <c r="M691" s="3192">
        <f t="shared" si="120"/>
        <v>1</v>
      </c>
      <c r="N691" s="631"/>
      <c r="O691" s="3192">
        <f t="shared" si="121"/>
        <v>1</v>
      </c>
      <c r="P691" s="3194" t="s">
        <v>4044</v>
      </c>
      <c r="Q691" s="3192">
        <f t="shared" si="122"/>
        <v>1.02</v>
      </c>
      <c r="R691" s="3192">
        <f t="shared" ca="1" si="123"/>
        <v>13711</v>
      </c>
      <c r="S691" s="898">
        <f t="shared" ca="1" si="124"/>
        <v>66</v>
      </c>
      <c r="T691" s="3190">
        <f>面积表!A686</f>
        <v>0</v>
      </c>
    </row>
    <row r="692" spans="1:20">
      <c r="A692" s="3169" t="str">
        <f>面积表!D687</f>
        <v>1122</v>
      </c>
      <c r="B692" s="52">
        <f>面积表!E687</f>
        <v>49.3</v>
      </c>
      <c r="C692" s="3192">
        <f t="shared" si="115"/>
        <v>1</v>
      </c>
      <c r="D692" s="2559" t="s">
        <v>4016</v>
      </c>
      <c r="E692" s="3192">
        <f t="shared" si="116"/>
        <v>1</v>
      </c>
      <c r="F692" s="631" t="s">
        <v>3815</v>
      </c>
      <c r="G692" s="3192">
        <f t="shared" si="117"/>
        <v>0.95</v>
      </c>
      <c r="H692" s="631">
        <v>3</v>
      </c>
      <c r="I692" s="3192">
        <f t="shared" si="118"/>
        <v>1</v>
      </c>
      <c r="J692" s="631"/>
      <c r="K692" s="3192">
        <f t="shared" si="119"/>
        <v>1</v>
      </c>
      <c r="L692" s="631"/>
      <c r="M692" s="3192">
        <f t="shared" si="120"/>
        <v>1</v>
      </c>
      <c r="N692" s="631"/>
      <c r="O692" s="3192">
        <f t="shared" si="121"/>
        <v>1</v>
      </c>
      <c r="P692" s="3194" t="s">
        <v>4044</v>
      </c>
      <c r="Q692" s="3192">
        <f t="shared" si="122"/>
        <v>1.02</v>
      </c>
      <c r="R692" s="3192">
        <f t="shared" ca="1" si="123"/>
        <v>13711</v>
      </c>
      <c r="S692" s="898">
        <f t="shared" ca="1" si="124"/>
        <v>68</v>
      </c>
      <c r="T692" s="3190">
        <f>面积表!A687</f>
        <v>0</v>
      </c>
    </row>
    <row r="693" spans="1:20">
      <c r="A693" s="3169" t="str">
        <f>面积表!D688</f>
        <v>1123</v>
      </c>
      <c r="B693" s="52">
        <f>面积表!E688</f>
        <v>49.59</v>
      </c>
      <c r="C693" s="3192">
        <f t="shared" si="115"/>
        <v>1</v>
      </c>
      <c r="D693" s="2559" t="s">
        <v>4016</v>
      </c>
      <c r="E693" s="3192">
        <f t="shared" si="116"/>
        <v>1</v>
      </c>
      <c r="F693" s="631" t="s">
        <v>3815</v>
      </c>
      <c r="G693" s="3192">
        <f t="shared" si="117"/>
        <v>0.95</v>
      </c>
      <c r="H693" s="631">
        <v>3</v>
      </c>
      <c r="I693" s="3192">
        <f t="shared" si="118"/>
        <v>1</v>
      </c>
      <c r="J693" s="631"/>
      <c r="K693" s="3192">
        <f t="shared" si="119"/>
        <v>1</v>
      </c>
      <c r="L693" s="631"/>
      <c r="M693" s="3192">
        <f t="shared" si="120"/>
        <v>1</v>
      </c>
      <c r="N693" s="631"/>
      <c r="O693" s="3192">
        <f t="shared" si="121"/>
        <v>1</v>
      </c>
      <c r="P693" s="3194" t="s">
        <v>4044</v>
      </c>
      <c r="Q693" s="3192">
        <f t="shared" si="122"/>
        <v>1.02</v>
      </c>
      <c r="R693" s="3192">
        <f t="shared" ca="1" si="123"/>
        <v>13711</v>
      </c>
      <c r="S693" s="898">
        <f t="shared" ca="1" si="124"/>
        <v>68</v>
      </c>
      <c r="T693" s="3190">
        <f>面积表!A688</f>
        <v>0</v>
      </c>
    </row>
    <row r="694" spans="1:20">
      <c r="A694" s="3169" t="str">
        <f>面积表!D689</f>
        <v>1124</v>
      </c>
      <c r="B694" s="52">
        <f>面积表!E689</f>
        <v>49.28</v>
      </c>
      <c r="C694" s="3192">
        <f t="shared" si="115"/>
        <v>1</v>
      </c>
      <c r="D694" s="2559" t="s">
        <v>4016</v>
      </c>
      <c r="E694" s="3192">
        <f t="shared" si="116"/>
        <v>1</v>
      </c>
      <c r="F694" s="631" t="s">
        <v>3815</v>
      </c>
      <c r="G694" s="3192">
        <f t="shared" si="117"/>
        <v>0.95</v>
      </c>
      <c r="H694" s="631">
        <v>3</v>
      </c>
      <c r="I694" s="3192">
        <f t="shared" si="118"/>
        <v>1</v>
      </c>
      <c r="J694" s="631"/>
      <c r="K694" s="3192">
        <f t="shared" si="119"/>
        <v>1</v>
      </c>
      <c r="L694" s="631"/>
      <c r="M694" s="3192">
        <f t="shared" si="120"/>
        <v>1</v>
      </c>
      <c r="N694" s="631"/>
      <c r="O694" s="3192">
        <f t="shared" si="121"/>
        <v>1</v>
      </c>
      <c r="P694" s="3194" t="s">
        <v>4044</v>
      </c>
      <c r="Q694" s="3192">
        <f t="shared" si="122"/>
        <v>1.02</v>
      </c>
      <c r="R694" s="3192">
        <f t="shared" ca="1" si="123"/>
        <v>13711</v>
      </c>
      <c r="S694" s="898">
        <f t="shared" ca="1" si="124"/>
        <v>68</v>
      </c>
      <c r="T694" s="3190">
        <f>面积表!A689</f>
        <v>0</v>
      </c>
    </row>
    <row r="695" spans="1:20">
      <c r="A695" s="3169" t="str">
        <f>面积表!D690</f>
        <v>1125</v>
      </c>
      <c r="B695" s="52">
        <f>面积表!E690</f>
        <v>48.41</v>
      </c>
      <c r="C695" s="3192">
        <f t="shared" si="115"/>
        <v>1</v>
      </c>
      <c r="D695" s="2559" t="s">
        <v>4016</v>
      </c>
      <c r="E695" s="3192">
        <f t="shared" si="116"/>
        <v>1</v>
      </c>
      <c r="F695" s="631" t="s">
        <v>3815</v>
      </c>
      <c r="G695" s="3192">
        <f t="shared" si="117"/>
        <v>0.95</v>
      </c>
      <c r="H695" s="631">
        <v>3</v>
      </c>
      <c r="I695" s="3192">
        <f t="shared" si="118"/>
        <v>1</v>
      </c>
      <c r="J695" s="631"/>
      <c r="K695" s="3192">
        <f t="shared" si="119"/>
        <v>1</v>
      </c>
      <c r="L695" s="631"/>
      <c r="M695" s="3192">
        <f t="shared" si="120"/>
        <v>1</v>
      </c>
      <c r="N695" s="631"/>
      <c r="O695" s="3192">
        <f t="shared" si="121"/>
        <v>1</v>
      </c>
      <c r="P695" s="3194" t="s">
        <v>4044</v>
      </c>
      <c r="Q695" s="3192">
        <f t="shared" si="122"/>
        <v>1.02</v>
      </c>
      <c r="R695" s="3192">
        <f t="shared" ca="1" si="123"/>
        <v>13711</v>
      </c>
      <c r="S695" s="898">
        <f t="shared" ca="1" si="124"/>
        <v>66</v>
      </c>
      <c r="T695" s="3190">
        <f>面积表!A690</f>
        <v>0</v>
      </c>
    </row>
    <row r="696" spans="1:20">
      <c r="A696" s="3169" t="str">
        <f>面积表!D691</f>
        <v>1126</v>
      </c>
      <c r="B696" s="52">
        <f>面积表!E691</f>
        <v>47.44</v>
      </c>
      <c r="C696" s="3192">
        <f t="shared" si="115"/>
        <v>1</v>
      </c>
      <c r="D696" s="2559" t="s">
        <v>4016</v>
      </c>
      <c r="E696" s="3192">
        <f t="shared" si="116"/>
        <v>1</v>
      </c>
      <c r="F696" s="631" t="s">
        <v>3815</v>
      </c>
      <c r="G696" s="3192">
        <f t="shared" si="117"/>
        <v>0.95</v>
      </c>
      <c r="H696" s="631">
        <v>3</v>
      </c>
      <c r="I696" s="3192">
        <f t="shared" si="118"/>
        <v>1</v>
      </c>
      <c r="J696" s="631"/>
      <c r="K696" s="3192">
        <f t="shared" si="119"/>
        <v>1</v>
      </c>
      <c r="L696" s="631"/>
      <c r="M696" s="3192">
        <f t="shared" si="120"/>
        <v>1</v>
      </c>
      <c r="N696" s="631"/>
      <c r="O696" s="3192">
        <f t="shared" si="121"/>
        <v>1</v>
      </c>
      <c r="P696" s="3194" t="s">
        <v>4044</v>
      </c>
      <c r="Q696" s="3192">
        <f t="shared" si="122"/>
        <v>1.02</v>
      </c>
      <c r="R696" s="3192">
        <f t="shared" ca="1" si="123"/>
        <v>13711</v>
      </c>
      <c r="S696" s="898">
        <f t="shared" ca="1" si="124"/>
        <v>65</v>
      </c>
      <c r="T696" s="3190">
        <f>面积表!A691</f>
        <v>0</v>
      </c>
    </row>
    <row r="697" spans="1:20">
      <c r="A697" s="3169" t="str">
        <f>面积表!D692</f>
        <v>1202</v>
      </c>
      <c r="B697" s="52">
        <f>面积表!E692</f>
        <v>50.33</v>
      </c>
      <c r="C697" s="3192">
        <f t="shared" si="115"/>
        <v>1</v>
      </c>
      <c r="D697" s="2559" t="s">
        <v>4016</v>
      </c>
      <c r="E697" s="3192">
        <f t="shared" si="116"/>
        <v>1</v>
      </c>
      <c r="F697" s="631" t="s">
        <v>3815</v>
      </c>
      <c r="G697" s="3192">
        <f t="shared" si="117"/>
        <v>0.95</v>
      </c>
      <c r="H697" s="631">
        <v>3</v>
      </c>
      <c r="I697" s="3192">
        <f t="shared" si="118"/>
        <v>1</v>
      </c>
      <c r="J697" s="631"/>
      <c r="K697" s="3192">
        <f t="shared" si="119"/>
        <v>1</v>
      </c>
      <c r="L697" s="631"/>
      <c r="M697" s="3192">
        <f t="shared" si="120"/>
        <v>1</v>
      </c>
      <c r="N697" s="631"/>
      <c r="O697" s="3192">
        <f t="shared" si="121"/>
        <v>1</v>
      </c>
      <c r="P697" s="3194" t="s">
        <v>4044</v>
      </c>
      <c r="Q697" s="3192">
        <f t="shared" si="122"/>
        <v>1.02</v>
      </c>
      <c r="R697" s="3192">
        <f t="shared" ca="1" si="123"/>
        <v>13711</v>
      </c>
      <c r="S697" s="898">
        <f t="shared" ca="1" si="124"/>
        <v>69</v>
      </c>
      <c r="T697" s="3190">
        <f>面积表!A692</f>
        <v>0</v>
      </c>
    </row>
    <row r="698" spans="1:20">
      <c r="A698" s="3169" t="str">
        <f>面积表!D693</f>
        <v>1203</v>
      </c>
      <c r="B698" s="52">
        <f>面积表!E693</f>
        <v>50.33</v>
      </c>
      <c r="C698" s="3192">
        <f t="shared" si="115"/>
        <v>1</v>
      </c>
      <c r="D698" s="2559" t="s">
        <v>4016</v>
      </c>
      <c r="E698" s="3192">
        <f t="shared" si="116"/>
        <v>1</v>
      </c>
      <c r="F698" s="631" t="s">
        <v>3815</v>
      </c>
      <c r="G698" s="3192">
        <f t="shared" si="117"/>
        <v>0.95</v>
      </c>
      <c r="H698" s="631">
        <v>3</v>
      </c>
      <c r="I698" s="3192">
        <f t="shared" si="118"/>
        <v>1</v>
      </c>
      <c r="J698" s="631"/>
      <c r="K698" s="3192">
        <f t="shared" si="119"/>
        <v>1</v>
      </c>
      <c r="L698" s="631"/>
      <c r="M698" s="3192">
        <f t="shared" si="120"/>
        <v>1</v>
      </c>
      <c r="N698" s="631"/>
      <c r="O698" s="3192">
        <f t="shared" si="121"/>
        <v>1</v>
      </c>
      <c r="P698" s="3194" t="s">
        <v>4044</v>
      </c>
      <c r="Q698" s="3192">
        <f t="shared" si="122"/>
        <v>1.02</v>
      </c>
      <c r="R698" s="3192">
        <f t="shared" ca="1" si="123"/>
        <v>13711</v>
      </c>
      <c r="S698" s="898">
        <f t="shared" ca="1" si="124"/>
        <v>69</v>
      </c>
      <c r="T698" s="3190">
        <f>面积表!A693</f>
        <v>0</v>
      </c>
    </row>
    <row r="699" spans="1:20">
      <c r="A699" s="3169" t="str">
        <f>面积表!D694</f>
        <v>1204</v>
      </c>
      <c r="B699" s="52">
        <f>面积表!E694</f>
        <v>50.33</v>
      </c>
      <c r="C699" s="3192">
        <f t="shared" si="115"/>
        <v>1</v>
      </c>
      <c r="D699" s="2559" t="s">
        <v>4016</v>
      </c>
      <c r="E699" s="3192">
        <f t="shared" si="116"/>
        <v>1</v>
      </c>
      <c r="F699" s="631" t="s">
        <v>3815</v>
      </c>
      <c r="G699" s="3192">
        <f t="shared" si="117"/>
        <v>0.95</v>
      </c>
      <c r="H699" s="631">
        <v>3</v>
      </c>
      <c r="I699" s="3192">
        <f t="shared" si="118"/>
        <v>1</v>
      </c>
      <c r="J699" s="631"/>
      <c r="K699" s="3192">
        <f t="shared" si="119"/>
        <v>1</v>
      </c>
      <c r="L699" s="631"/>
      <c r="M699" s="3192">
        <f t="shared" si="120"/>
        <v>1</v>
      </c>
      <c r="N699" s="631"/>
      <c r="O699" s="3192">
        <f t="shared" si="121"/>
        <v>1</v>
      </c>
      <c r="P699" s="3194" t="s">
        <v>4044</v>
      </c>
      <c r="Q699" s="3192">
        <f t="shared" si="122"/>
        <v>1.02</v>
      </c>
      <c r="R699" s="3192">
        <f t="shared" ca="1" si="123"/>
        <v>13711</v>
      </c>
      <c r="S699" s="898">
        <f t="shared" ca="1" si="124"/>
        <v>69</v>
      </c>
      <c r="T699" s="3190">
        <f>面积表!A694</f>
        <v>0</v>
      </c>
    </row>
    <row r="700" spans="1:20">
      <c r="A700" s="3169" t="str">
        <f>面积表!D695</f>
        <v>1205</v>
      </c>
      <c r="B700" s="52">
        <f>面积表!E695</f>
        <v>50.33</v>
      </c>
      <c r="C700" s="3192">
        <f t="shared" si="115"/>
        <v>1</v>
      </c>
      <c r="D700" s="2559" t="s">
        <v>4016</v>
      </c>
      <c r="E700" s="3192">
        <f t="shared" si="116"/>
        <v>1</v>
      </c>
      <c r="F700" s="631" t="s">
        <v>3815</v>
      </c>
      <c r="G700" s="3192">
        <f t="shared" si="117"/>
        <v>0.95</v>
      </c>
      <c r="H700" s="631">
        <v>3</v>
      </c>
      <c r="I700" s="3192">
        <f t="shared" si="118"/>
        <v>1</v>
      </c>
      <c r="J700" s="631"/>
      <c r="K700" s="3192">
        <f t="shared" si="119"/>
        <v>1</v>
      </c>
      <c r="L700" s="631"/>
      <c r="M700" s="3192">
        <f t="shared" si="120"/>
        <v>1</v>
      </c>
      <c r="N700" s="631"/>
      <c r="O700" s="3192">
        <f t="shared" si="121"/>
        <v>1</v>
      </c>
      <c r="P700" s="3194" t="s">
        <v>4044</v>
      </c>
      <c r="Q700" s="3192">
        <f t="shared" si="122"/>
        <v>1.02</v>
      </c>
      <c r="R700" s="3192">
        <f t="shared" ca="1" si="123"/>
        <v>13711</v>
      </c>
      <c r="S700" s="898">
        <f t="shared" ca="1" si="124"/>
        <v>69</v>
      </c>
      <c r="T700" s="3190">
        <f>面积表!A695</f>
        <v>0</v>
      </c>
    </row>
    <row r="701" spans="1:20">
      <c r="A701" s="3169" t="str">
        <f>面积表!D696</f>
        <v>1206</v>
      </c>
      <c r="B701" s="52">
        <f>面积表!E696</f>
        <v>50.33</v>
      </c>
      <c r="C701" s="3192">
        <f t="shared" si="115"/>
        <v>1</v>
      </c>
      <c r="D701" s="2559" t="s">
        <v>4016</v>
      </c>
      <c r="E701" s="3192">
        <f t="shared" si="116"/>
        <v>1</v>
      </c>
      <c r="F701" s="631" t="s">
        <v>3815</v>
      </c>
      <c r="G701" s="3192">
        <f t="shared" si="117"/>
        <v>0.95</v>
      </c>
      <c r="H701" s="631">
        <v>3</v>
      </c>
      <c r="I701" s="3192">
        <f t="shared" si="118"/>
        <v>1</v>
      </c>
      <c r="J701" s="631"/>
      <c r="K701" s="3192">
        <f t="shared" si="119"/>
        <v>1</v>
      </c>
      <c r="L701" s="631"/>
      <c r="M701" s="3192">
        <f t="shared" si="120"/>
        <v>1</v>
      </c>
      <c r="N701" s="631"/>
      <c r="O701" s="3192">
        <f t="shared" si="121"/>
        <v>1</v>
      </c>
      <c r="P701" s="3194" t="s">
        <v>4044</v>
      </c>
      <c r="Q701" s="3192">
        <f t="shared" si="122"/>
        <v>1.02</v>
      </c>
      <c r="R701" s="3192">
        <f t="shared" ca="1" si="123"/>
        <v>13711</v>
      </c>
      <c r="S701" s="898">
        <f t="shared" ca="1" si="124"/>
        <v>69</v>
      </c>
      <c r="T701" s="3190">
        <f>面积表!A696</f>
        <v>0</v>
      </c>
    </row>
    <row r="702" spans="1:20">
      <c r="A702" s="3169" t="str">
        <f>面积表!D697</f>
        <v>1207</v>
      </c>
      <c r="B702" s="52">
        <f>面积表!E697</f>
        <v>50.33</v>
      </c>
      <c r="C702" s="3192">
        <f t="shared" si="115"/>
        <v>1</v>
      </c>
      <c r="D702" s="2559" t="s">
        <v>4016</v>
      </c>
      <c r="E702" s="3192">
        <f t="shared" si="116"/>
        <v>1</v>
      </c>
      <c r="F702" s="631" t="s">
        <v>3815</v>
      </c>
      <c r="G702" s="3192">
        <f t="shared" si="117"/>
        <v>0.95</v>
      </c>
      <c r="H702" s="631">
        <v>3</v>
      </c>
      <c r="I702" s="3192">
        <f t="shared" si="118"/>
        <v>1</v>
      </c>
      <c r="J702" s="631"/>
      <c r="K702" s="3192">
        <f t="shared" si="119"/>
        <v>1</v>
      </c>
      <c r="L702" s="631"/>
      <c r="M702" s="3192">
        <f t="shared" si="120"/>
        <v>1</v>
      </c>
      <c r="N702" s="631"/>
      <c r="O702" s="3192">
        <f t="shared" si="121"/>
        <v>1</v>
      </c>
      <c r="P702" s="3194" t="s">
        <v>4044</v>
      </c>
      <c r="Q702" s="3192">
        <f t="shared" si="122"/>
        <v>1.02</v>
      </c>
      <c r="R702" s="3192">
        <f t="shared" ca="1" si="123"/>
        <v>13711</v>
      </c>
      <c r="S702" s="898">
        <f t="shared" ca="1" si="124"/>
        <v>69</v>
      </c>
      <c r="T702" s="3190">
        <f>面积表!A697</f>
        <v>0</v>
      </c>
    </row>
    <row r="703" spans="1:20">
      <c r="A703" s="3169" t="str">
        <f>面积表!D698</f>
        <v>1208</v>
      </c>
      <c r="B703" s="52">
        <f>面积表!E698</f>
        <v>50.33</v>
      </c>
      <c r="C703" s="3192">
        <f t="shared" si="115"/>
        <v>1</v>
      </c>
      <c r="D703" s="2559" t="s">
        <v>4016</v>
      </c>
      <c r="E703" s="3192">
        <f t="shared" si="116"/>
        <v>1</v>
      </c>
      <c r="F703" s="631" t="s">
        <v>3815</v>
      </c>
      <c r="G703" s="3192">
        <f t="shared" si="117"/>
        <v>0.95</v>
      </c>
      <c r="H703" s="631">
        <v>3</v>
      </c>
      <c r="I703" s="3192">
        <f t="shared" si="118"/>
        <v>1</v>
      </c>
      <c r="J703" s="631"/>
      <c r="K703" s="3192">
        <f t="shared" si="119"/>
        <v>1</v>
      </c>
      <c r="L703" s="631"/>
      <c r="M703" s="3192">
        <f t="shared" si="120"/>
        <v>1</v>
      </c>
      <c r="N703" s="631"/>
      <c r="O703" s="3192">
        <f t="shared" si="121"/>
        <v>1</v>
      </c>
      <c r="P703" s="3194" t="s">
        <v>4044</v>
      </c>
      <c r="Q703" s="3192">
        <f t="shared" si="122"/>
        <v>1.02</v>
      </c>
      <c r="R703" s="3192">
        <f t="shared" ca="1" si="123"/>
        <v>13711</v>
      </c>
      <c r="S703" s="898">
        <f t="shared" ca="1" si="124"/>
        <v>69</v>
      </c>
      <c r="T703" s="3190">
        <f>面积表!A698</f>
        <v>0</v>
      </c>
    </row>
    <row r="704" spans="1:20">
      <c r="A704" s="3169" t="str">
        <f>面积表!D699</f>
        <v>1209</v>
      </c>
      <c r="B704" s="52">
        <f>面积表!E699</f>
        <v>50.33</v>
      </c>
      <c r="C704" s="3192">
        <f t="shared" si="115"/>
        <v>1</v>
      </c>
      <c r="D704" s="2559" t="s">
        <v>4016</v>
      </c>
      <c r="E704" s="3192">
        <f t="shared" si="116"/>
        <v>1</v>
      </c>
      <c r="F704" s="631" t="s">
        <v>3815</v>
      </c>
      <c r="G704" s="3192">
        <f t="shared" si="117"/>
        <v>0.95</v>
      </c>
      <c r="H704" s="631">
        <v>3</v>
      </c>
      <c r="I704" s="3192">
        <f t="shared" si="118"/>
        <v>1</v>
      </c>
      <c r="J704" s="631"/>
      <c r="K704" s="3192">
        <f t="shared" si="119"/>
        <v>1</v>
      </c>
      <c r="L704" s="631"/>
      <c r="M704" s="3192">
        <f t="shared" si="120"/>
        <v>1</v>
      </c>
      <c r="N704" s="631"/>
      <c r="O704" s="3192">
        <f t="shared" si="121"/>
        <v>1</v>
      </c>
      <c r="P704" s="3194" t="s">
        <v>4044</v>
      </c>
      <c r="Q704" s="3192">
        <f t="shared" si="122"/>
        <v>1.02</v>
      </c>
      <c r="R704" s="3192">
        <f t="shared" ca="1" si="123"/>
        <v>13711</v>
      </c>
      <c r="S704" s="898">
        <f t="shared" ca="1" si="124"/>
        <v>69</v>
      </c>
      <c r="T704" s="3190">
        <f>面积表!A699</f>
        <v>0</v>
      </c>
    </row>
    <row r="705" spans="1:20">
      <c r="A705" s="3169" t="str">
        <f>面积表!D700</f>
        <v>1210</v>
      </c>
      <c r="B705" s="52">
        <f>面积表!E700</f>
        <v>50.33</v>
      </c>
      <c r="C705" s="3192">
        <f t="shared" si="115"/>
        <v>1</v>
      </c>
      <c r="D705" s="2559" t="s">
        <v>4016</v>
      </c>
      <c r="E705" s="3192">
        <f t="shared" si="116"/>
        <v>1</v>
      </c>
      <c r="F705" s="631" t="s">
        <v>3815</v>
      </c>
      <c r="G705" s="3192">
        <f t="shared" si="117"/>
        <v>0.95</v>
      </c>
      <c r="H705" s="631">
        <v>3</v>
      </c>
      <c r="I705" s="3192">
        <f t="shared" si="118"/>
        <v>1</v>
      </c>
      <c r="J705" s="631"/>
      <c r="K705" s="3192">
        <f t="shared" si="119"/>
        <v>1</v>
      </c>
      <c r="L705" s="631"/>
      <c r="M705" s="3192">
        <f t="shared" si="120"/>
        <v>1</v>
      </c>
      <c r="N705" s="631"/>
      <c r="O705" s="3192">
        <f t="shared" si="121"/>
        <v>1</v>
      </c>
      <c r="P705" s="3194" t="s">
        <v>4044</v>
      </c>
      <c r="Q705" s="3192">
        <f t="shared" si="122"/>
        <v>1.02</v>
      </c>
      <c r="R705" s="3192">
        <f t="shared" ca="1" si="123"/>
        <v>13711</v>
      </c>
      <c r="S705" s="898">
        <f t="shared" ca="1" si="124"/>
        <v>69</v>
      </c>
      <c r="T705" s="3190">
        <f>面积表!A700</f>
        <v>0</v>
      </c>
    </row>
    <row r="706" spans="1:20">
      <c r="A706" s="3169" t="str">
        <f>面积表!D701</f>
        <v>1211</v>
      </c>
      <c r="B706" s="52">
        <f>面积表!E701</f>
        <v>50.33</v>
      </c>
      <c r="C706" s="3192">
        <f t="shared" si="115"/>
        <v>1</v>
      </c>
      <c r="D706" s="2559" t="s">
        <v>4016</v>
      </c>
      <c r="E706" s="3192">
        <f t="shared" si="116"/>
        <v>1</v>
      </c>
      <c r="F706" s="631" t="s">
        <v>3815</v>
      </c>
      <c r="G706" s="3192">
        <f t="shared" si="117"/>
        <v>0.95</v>
      </c>
      <c r="H706" s="631">
        <v>3</v>
      </c>
      <c r="I706" s="3192">
        <f t="shared" si="118"/>
        <v>1</v>
      </c>
      <c r="J706" s="631"/>
      <c r="K706" s="3192">
        <f t="shared" si="119"/>
        <v>1</v>
      </c>
      <c r="L706" s="631"/>
      <c r="M706" s="3192">
        <f t="shared" si="120"/>
        <v>1</v>
      </c>
      <c r="N706" s="631"/>
      <c r="O706" s="3192">
        <f t="shared" si="121"/>
        <v>1</v>
      </c>
      <c r="P706" s="3194" t="s">
        <v>4044</v>
      </c>
      <c r="Q706" s="3192">
        <f t="shared" si="122"/>
        <v>1.02</v>
      </c>
      <c r="R706" s="3192">
        <f t="shared" ca="1" si="123"/>
        <v>13711</v>
      </c>
      <c r="S706" s="898">
        <f t="shared" ca="1" si="124"/>
        <v>69</v>
      </c>
      <c r="T706" s="3190">
        <f>面积表!A701</f>
        <v>0</v>
      </c>
    </row>
    <row r="707" spans="1:20">
      <c r="A707" s="3169" t="str">
        <f>面积表!D702</f>
        <v>1212</v>
      </c>
      <c r="B707" s="52">
        <f>面积表!E702</f>
        <v>50.33</v>
      </c>
      <c r="C707" s="3192">
        <f t="shared" si="115"/>
        <v>1</v>
      </c>
      <c r="D707" s="2559" t="s">
        <v>4016</v>
      </c>
      <c r="E707" s="3192">
        <f t="shared" si="116"/>
        <v>1</v>
      </c>
      <c r="F707" s="631" t="s">
        <v>3815</v>
      </c>
      <c r="G707" s="3192">
        <f t="shared" si="117"/>
        <v>0.95</v>
      </c>
      <c r="H707" s="631">
        <v>3</v>
      </c>
      <c r="I707" s="3192">
        <f t="shared" si="118"/>
        <v>1</v>
      </c>
      <c r="J707" s="631"/>
      <c r="K707" s="3192">
        <f t="shared" si="119"/>
        <v>1</v>
      </c>
      <c r="L707" s="631"/>
      <c r="M707" s="3192">
        <f t="shared" si="120"/>
        <v>1</v>
      </c>
      <c r="N707" s="631"/>
      <c r="O707" s="3192">
        <f t="shared" si="121"/>
        <v>1</v>
      </c>
      <c r="P707" s="3194" t="s">
        <v>4044</v>
      </c>
      <c r="Q707" s="3192">
        <f t="shared" si="122"/>
        <v>1.02</v>
      </c>
      <c r="R707" s="3192">
        <f t="shared" ca="1" si="123"/>
        <v>13711</v>
      </c>
      <c r="S707" s="898">
        <f t="shared" ca="1" si="124"/>
        <v>69</v>
      </c>
      <c r="T707" s="3190">
        <f>面积表!A702</f>
        <v>0</v>
      </c>
    </row>
    <row r="708" spans="1:20">
      <c r="A708" s="3169" t="str">
        <f>面积表!D703</f>
        <v>1213</v>
      </c>
      <c r="B708" s="52">
        <f>面积表!E703</f>
        <v>50.33</v>
      </c>
      <c r="C708" s="3192">
        <f t="shared" si="115"/>
        <v>1</v>
      </c>
      <c r="D708" s="2559" t="s">
        <v>4016</v>
      </c>
      <c r="E708" s="3192">
        <f t="shared" si="116"/>
        <v>1</v>
      </c>
      <c r="F708" s="631" t="s">
        <v>3815</v>
      </c>
      <c r="G708" s="3192">
        <f t="shared" si="117"/>
        <v>0.95</v>
      </c>
      <c r="H708" s="631">
        <v>3</v>
      </c>
      <c r="I708" s="3192">
        <f t="shared" si="118"/>
        <v>1</v>
      </c>
      <c r="J708" s="631"/>
      <c r="K708" s="3192">
        <f t="shared" si="119"/>
        <v>1</v>
      </c>
      <c r="L708" s="631"/>
      <c r="M708" s="3192">
        <f t="shared" si="120"/>
        <v>1</v>
      </c>
      <c r="N708" s="631"/>
      <c r="O708" s="3192">
        <f t="shared" si="121"/>
        <v>1</v>
      </c>
      <c r="P708" s="3194" t="s">
        <v>4044</v>
      </c>
      <c r="Q708" s="3192">
        <f t="shared" si="122"/>
        <v>1.02</v>
      </c>
      <c r="R708" s="3192">
        <f t="shared" ca="1" si="123"/>
        <v>13711</v>
      </c>
      <c r="S708" s="898">
        <f t="shared" ca="1" si="124"/>
        <v>69</v>
      </c>
      <c r="T708" s="3190">
        <f>面积表!A703</f>
        <v>0</v>
      </c>
    </row>
    <row r="709" spans="1:20">
      <c r="A709" s="3169" t="str">
        <f>面积表!D704</f>
        <v>1214</v>
      </c>
      <c r="B709" s="52">
        <f>面积表!E704</f>
        <v>50.33</v>
      </c>
      <c r="C709" s="3192">
        <f t="shared" si="115"/>
        <v>1</v>
      </c>
      <c r="D709" s="2559" t="s">
        <v>4016</v>
      </c>
      <c r="E709" s="3192">
        <f t="shared" si="116"/>
        <v>1</v>
      </c>
      <c r="F709" s="631" t="s">
        <v>3815</v>
      </c>
      <c r="G709" s="3192">
        <f t="shared" si="117"/>
        <v>0.95</v>
      </c>
      <c r="H709" s="631">
        <v>3</v>
      </c>
      <c r="I709" s="3192">
        <f t="shared" si="118"/>
        <v>1</v>
      </c>
      <c r="J709" s="631"/>
      <c r="K709" s="3192">
        <f t="shared" si="119"/>
        <v>1</v>
      </c>
      <c r="L709" s="631"/>
      <c r="M709" s="3192">
        <f t="shared" si="120"/>
        <v>1</v>
      </c>
      <c r="N709" s="631"/>
      <c r="O709" s="3192">
        <f t="shared" si="121"/>
        <v>1</v>
      </c>
      <c r="P709" s="3194" t="s">
        <v>4044</v>
      </c>
      <c r="Q709" s="3192">
        <f t="shared" si="122"/>
        <v>1.02</v>
      </c>
      <c r="R709" s="3192">
        <f t="shared" ca="1" si="123"/>
        <v>13711</v>
      </c>
      <c r="S709" s="898">
        <f t="shared" ca="1" si="124"/>
        <v>69</v>
      </c>
      <c r="T709" s="3190">
        <f>面积表!A704</f>
        <v>0</v>
      </c>
    </row>
    <row r="710" spans="1:20">
      <c r="A710" s="3169" t="str">
        <f>面积表!D705</f>
        <v>1215</v>
      </c>
      <c r="B710" s="52">
        <f>面积表!E705</f>
        <v>50.33</v>
      </c>
      <c r="C710" s="3192">
        <f t="shared" si="115"/>
        <v>1</v>
      </c>
      <c r="D710" s="2559" t="s">
        <v>4016</v>
      </c>
      <c r="E710" s="3192">
        <f t="shared" si="116"/>
        <v>1</v>
      </c>
      <c r="F710" s="631" t="s">
        <v>3815</v>
      </c>
      <c r="G710" s="3192">
        <f t="shared" si="117"/>
        <v>0.95</v>
      </c>
      <c r="H710" s="631">
        <v>3</v>
      </c>
      <c r="I710" s="3192">
        <f t="shared" si="118"/>
        <v>1</v>
      </c>
      <c r="J710" s="631"/>
      <c r="K710" s="3192">
        <f t="shared" si="119"/>
        <v>1</v>
      </c>
      <c r="L710" s="631"/>
      <c r="M710" s="3192">
        <f t="shared" si="120"/>
        <v>1</v>
      </c>
      <c r="N710" s="631"/>
      <c r="O710" s="3192">
        <f t="shared" si="121"/>
        <v>1</v>
      </c>
      <c r="P710" s="3194" t="s">
        <v>4044</v>
      </c>
      <c r="Q710" s="3192">
        <f t="shared" si="122"/>
        <v>1.02</v>
      </c>
      <c r="R710" s="3192">
        <f t="shared" ca="1" si="123"/>
        <v>13711</v>
      </c>
      <c r="S710" s="898">
        <f t="shared" ca="1" si="124"/>
        <v>69</v>
      </c>
      <c r="T710" s="3190">
        <f>面积表!A705</f>
        <v>0</v>
      </c>
    </row>
    <row r="711" spans="1:20">
      <c r="A711" s="3169" t="str">
        <f>面积表!D706</f>
        <v>1216</v>
      </c>
      <c r="B711" s="52">
        <f>面积表!E706</f>
        <v>69.77</v>
      </c>
      <c r="C711" s="3192">
        <f t="shared" si="115"/>
        <v>1.01</v>
      </c>
      <c r="D711" s="2559" t="s">
        <v>4016</v>
      </c>
      <c r="E711" s="3192">
        <f t="shared" si="116"/>
        <v>1</v>
      </c>
      <c r="F711" s="631" t="s">
        <v>3815</v>
      </c>
      <c r="G711" s="3192">
        <f t="shared" si="117"/>
        <v>0.95</v>
      </c>
      <c r="H711" s="631">
        <v>3</v>
      </c>
      <c r="I711" s="3192">
        <f t="shared" si="118"/>
        <v>1</v>
      </c>
      <c r="J711" s="631"/>
      <c r="K711" s="3192">
        <f t="shared" si="119"/>
        <v>1</v>
      </c>
      <c r="L711" s="631"/>
      <c r="M711" s="3192">
        <f t="shared" si="120"/>
        <v>1</v>
      </c>
      <c r="N711" s="631"/>
      <c r="O711" s="3192">
        <f t="shared" si="121"/>
        <v>1</v>
      </c>
      <c r="P711" s="3194" t="s">
        <v>4044</v>
      </c>
      <c r="Q711" s="3192">
        <f t="shared" si="122"/>
        <v>1.02</v>
      </c>
      <c r="R711" s="3192">
        <f t="shared" ca="1" si="123"/>
        <v>13848</v>
      </c>
      <c r="S711" s="898">
        <f t="shared" ca="1" si="124"/>
        <v>97</v>
      </c>
      <c r="T711" s="3190">
        <f>面积表!A706</f>
        <v>0</v>
      </c>
    </row>
    <row r="712" spans="1:20">
      <c r="A712" s="3169" t="str">
        <f>面积表!D707</f>
        <v>1217</v>
      </c>
      <c r="B712" s="52">
        <f>面积表!E707</f>
        <v>38.65</v>
      </c>
      <c r="C712" s="3192">
        <f t="shared" si="115"/>
        <v>1</v>
      </c>
      <c r="D712" s="2559" t="s">
        <v>4016</v>
      </c>
      <c r="E712" s="3192">
        <f t="shared" si="116"/>
        <v>1</v>
      </c>
      <c r="F712" s="631" t="s">
        <v>3815</v>
      </c>
      <c r="G712" s="3192">
        <f t="shared" si="117"/>
        <v>0.95</v>
      </c>
      <c r="H712" s="631">
        <v>3</v>
      </c>
      <c r="I712" s="3192">
        <f t="shared" si="118"/>
        <v>1</v>
      </c>
      <c r="J712" s="631"/>
      <c r="K712" s="3192">
        <f t="shared" si="119"/>
        <v>1</v>
      </c>
      <c r="L712" s="631"/>
      <c r="M712" s="3192">
        <f t="shared" si="120"/>
        <v>1</v>
      </c>
      <c r="N712" s="631"/>
      <c r="O712" s="3192">
        <f t="shared" si="121"/>
        <v>1</v>
      </c>
      <c r="P712" s="3194" t="s">
        <v>4044</v>
      </c>
      <c r="Q712" s="3192">
        <f t="shared" si="122"/>
        <v>1.02</v>
      </c>
      <c r="R712" s="3192">
        <f t="shared" ca="1" si="123"/>
        <v>13711</v>
      </c>
      <c r="S712" s="898">
        <f t="shared" ca="1" si="124"/>
        <v>53</v>
      </c>
      <c r="T712" s="3190">
        <f>面积表!A707</f>
        <v>0</v>
      </c>
    </row>
    <row r="713" spans="1:20">
      <c r="A713" s="3169" t="str">
        <f>面积表!D708</f>
        <v>1218</v>
      </c>
      <c r="B713" s="52">
        <f>面积表!E708</f>
        <v>41.99</v>
      </c>
      <c r="C713" s="3192">
        <f t="shared" si="115"/>
        <v>1</v>
      </c>
      <c r="D713" s="2559" t="s">
        <v>4016</v>
      </c>
      <c r="E713" s="3192">
        <f t="shared" si="116"/>
        <v>1</v>
      </c>
      <c r="F713" s="631" t="s">
        <v>3815</v>
      </c>
      <c r="G713" s="3192">
        <f t="shared" si="117"/>
        <v>0.95</v>
      </c>
      <c r="H713" s="631">
        <v>3</v>
      </c>
      <c r="I713" s="3192">
        <f t="shared" si="118"/>
        <v>1</v>
      </c>
      <c r="J713" s="631"/>
      <c r="K713" s="3192">
        <f t="shared" si="119"/>
        <v>1</v>
      </c>
      <c r="L713" s="631"/>
      <c r="M713" s="3192">
        <f t="shared" si="120"/>
        <v>1</v>
      </c>
      <c r="N713" s="631"/>
      <c r="O713" s="3192">
        <f t="shared" si="121"/>
        <v>1</v>
      </c>
      <c r="P713" s="3194" t="s">
        <v>4044</v>
      </c>
      <c r="Q713" s="3192">
        <f t="shared" si="122"/>
        <v>1.02</v>
      </c>
      <c r="R713" s="3192">
        <f t="shared" ca="1" si="123"/>
        <v>13711</v>
      </c>
      <c r="S713" s="898">
        <f t="shared" ca="1" si="124"/>
        <v>58</v>
      </c>
      <c r="T713" s="3190">
        <f>面积表!A708</f>
        <v>0</v>
      </c>
    </row>
    <row r="714" spans="1:20">
      <c r="A714" s="3169" t="str">
        <f>面积表!D709</f>
        <v>1219</v>
      </c>
      <c r="B714" s="52">
        <f>面积表!E709</f>
        <v>44.72</v>
      </c>
      <c r="C714" s="3192">
        <f t="shared" si="115"/>
        <v>1</v>
      </c>
      <c r="D714" s="2559" t="s">
        <v>4016</v>
      </c>
      <c r="E714" s="3192">
        <f t="shared" si="116"/>
        <v>1</v>
      </c>
      <c r="F714" s="631" t="s">
        <v>3815</v>
      </c>
      <c r="G714" s="3192">
        <f t="shared" si="117"/>
        <v>0.95</v>
      </c>
      <c r="H714" s="631">
        <v>3</v>
      </c>
      <c r="I714" s="3192">
        <f t="shared" si="118"/>
        <v>1</v>
      </c>
      <c r="J714" s="631"/>
      <c r="K714" s="3192">
        <f t="shared" si="119"/>
        <v>1</v>
      </c>
      <c r="L714" s="631"/>
      <c r="M714" s="3192">
        <f t="shared" si="120"/>
        <v>1</v>
      </c>
      <c r="N714" s="631"/>
      <c r="O714" s="3192">
        <f t="shared" si="121"/>
        <v>1</v>
      </c>
      <c r="P714" s="3194" t="s">
        <v>4044</v>
      </c>
      <c r="Q714" s="3192">
        <f t="shared" si="122"/>
        <v>1.02</v>
      </c>
      <c r="R714" s="3192">
        <f t="shared" ca="1" si="123"/>
        <v>13711</v>
      </c>
      <c r="S714" s="898">
        <f t="shared" ca="1" si="124"/>
        <v>61</v>
      </c>
      <c r="T714" s="3190">
        <f>面积表!A709</f>
        <v>0</v>
      </c>
    </row>
    <row r="715" spans="1:20">
      <c r="A715" s="3169" t="str">
        <f>面积表!D710</f>
        <v>1220</v>
      </c>
      <c r="B715" s="52">
        <f>面积表!E710</f>
        <v>46.83</v>
      </c>
      <c r="C715" s="3192">
        <f t="shared" si="115"/>
        <v>1</v>
      </c>
      <c r="D715" s="2559" t="s">
        <v>4016</v>
      </c>
      <c r="E715" s="3192">
        <f t="shared" si="116"/>
        <v>1</v>
      </c>
      <c r="F715" s="631" t="s">
        <v>3815</v>
      </c>
      <c r="G715" s="3192">
        <f t="shared" si="117"/>
        <v>0.95</v>
      </c>
      <c r="H715" s="631">
        <v>3</v>
      </c>
      <c r="I715" s="3192">
        <f t="shared" si="118"/>
        <v>1</v>
      </c>
      <c r="J715" s="631"/>
      <c r="K715" s="3192">
        <f t="shared" si="119"/>
        <v>1</v>
      </c>
      <c r="L715" s="631"/>
      <c r="M715" s="3192">
        <f t="shared" si="120"/>
        <v>1</v>
      </c>
      <c r="N715" s="631"/>
      <c r="O715" s="3192">
        <f t="shared" si="121"/>
        <v>1</v>
      </c>
      <c r="P715" s="3194" t="s">
        <v>4044</v>
      </c>
      <c r="Q715" s="3192">
        <f t="shared" si="122"/>
        <v>1.02</v>
      </c>
      <c r="R715" s="3192">
        <f t="shared" ca="1" si="123"/>
        <v>13711</v>
      </c>
      <c r="S715" s="898">
        <f t="shared" ca="1" si="124"/>
        <v>64</v>
      </c>
      <c r="T715" s="3190">
        <f>面积表!A710</f>
        <v>0</v>
      </c>
    </row>
    <row r="716" spans="1:20">
      <c r="A716" s="3169" t="str">
        <f>面积表!D711</f>
        <v>1221</v>
      </c>
      <c r="B716" s="52">
        <f>面积表!E711</f>
        <v>48.33</v>
      </c>
      <c r="C716" s="3192">
        <f t="shared" si="115"/>
        <v>1</v>
      </c>
      <c r="D716" s="2559" t="s">
        <v>4016</v>
      </c>
      <c r="E716" s="3192">
        <f t="shared" si="116"/>
        <v>1</v>
      </c>
      <c r="F716" s="631" t="s">
        <v>3815</v>
      </c>
      <c r="G716" s="3192">
        <f t="shared" si="117"/>
        <v>0.95</v>
      </c>
      <c r="H716" s="631">
        <v>3</v>
      </c>
      <c r="I716" s="3192">
        <f t="shared" si="118"/>
        <v>1</v>
      </c>
      <c r="J716" s="631"/>
      <c r="K716" s="3192">
        <f t="shared" si="119"/>
        <v>1</v>
      </c>
      <c r="L716" s="631"/>
      <c r="M716" s="3192">
        <f t="shared" si="120"/>
        <v>1</v>
      </c>
      <c r="N716" s="631"/>
      <c r="O716" s="3192">
        <f t="shared" si="121"/>
        <v>1</v>
      </c>
      <c r="P716" s="3194" t="s">
        <v>4044</v>
      </c>
      <c r="Q716" s="3192">
        <f t="shared" si="122"/>
        <v>1.02</v>
      </c>
      <c r="R716" s="3192">
        <f t="shared" ca="1" si="123"/>
        <v>13711</v>
      </c>
      <c r="S716" s="898">
        <f t="shared" ca="1" si="124"/>
        <v>66</v>
      </c>
      <c r="T716" s="3190">
        <f>面积表!A711</f>
        <v>0</v>
      </c>
    </row>
    <row r="717" spans="1:20">
      <c r="A717" s="3169" t="str">
        <f>面积表!D712</f>
        <v>1222</v>
      </c>
      <c r="B717" s="52">
        <f>面积表!E712</f>
        <v>49.3</v>
      </c>
      <c r="C717" s="3192">
        <f t="shared" ref="C717:C780" si="125">IF(B717="",1,(LOOKUP(B717,$3:$3,$4:$4)-LOOKUP($B$24,$3:$3,$4:$4)+100)/100)</f>
        <v>1</v>
      </c>
      <c r="D717" s="2559" t="s">
        <v>4016</v>
      </c>
      <c r="E717" s="3192">
        <f t="shared" ref="E717:E780" si="126">(SUMIF($5:$5,D717,$6:$6)-SUMIF($5:$5,$D$24,$6:$6)+100)/100</f>
        <v>1</v>
      </c>
      <c r="F717" s="631" t="s">
        <v>3815</v>
      </c>
      <c r="G717" s="3192">
        <f t="shared" ref="G717:G780" si="127">(SUMIF($7:$7,F717,$8:$8)-SUMIF($7:$7,$F$24,$8:$8)+100)/100</f>
        <v>0.95</v>
      </c>
      <c r="H717" s="631">
        <v>3</v>
      </c>
      <c r="I717" s="3192">
        <f t="shared" ref="I717:I780" si="128">(SUMIF($9:$9,H717,$10:$10)-SUMIF($9:$9,$H$24,$10:$10)+100)/100</f>
        <v>1</v>
      </c>
      <c r="J717" s="631"/>
      <c r="K717" s="3192">
        <f t="shared" ref="K717:K780" si="129">(SUMIF($11:$11,J717,$12:$12)-SUMIF($11:$11,$J$24,$12:$12)+100)/100</f>
        <v>1</v>
      </c>
      <c r="L717" s="631"/>
      <c r="M717" s="3192">
        <f t="shared" ref="M717:M780" si="130">(SUMIF($13:$13,L717,$14:$14)-SUMIF($13:$13,$L$24,$14:$14)+100)/100</f>
        <v>1</v>
      </c>
      <c r="N717" s="631"/>
      <c r="O717" s="3192">
        <f t="shared" ref="O717:O780" si="131">(SUMIF($15:$15,N717,$16:$16)-SUMIF($15:$15,$N$24,$16:$16)+100)/100</f>
        <v>1</v>
      </c>
      <c r="P717" s="3194" t="s">
        <v>4044</v>
      </c>
      <c r="Q717" s="3192">
        <f t="shared" ref="Q717:Q780" si="132">(SUMIF($17:$17,P717,$18:$18)-SUMIF($17:$17,$P$24,$18:$18)+100)/100</f>
        <v>1.02</v>
      </c>
      <c r="R717" s="3192">
        <f t="shared" ref="R717:R780" ca="1" si="133">IF(B717="",0,ROUND($R$24*C717*E717*G717*I717*K717*M717*O717*Q717,0))</f>
        <v>13711</v>
      </c>
      <c r="S717" s="898">
        <f t="shared" ref="S717:S780" ca="1" si="134">ROUND(R717*B717/10000,0)</f>
        <v>68</v>
      </c>
      <c r="T717" s="3190">
        <f>面积表!A712</f>
        <v>0</v>
      </c>
    </row>
    <row r="718" spans="1:20">
      <c r="A718" s="3169" t="str">
        <f>面积表!D713</f>
        <v>1223</v>
      </c>
      <c r="B718" s="52">
        <f>面积表!E713</f>
        <v>49.59</v>
      </c>
      <c r="C718" s="3192">
        <f t="shared" si="125"/>
        <v>1</v>
      </c>
      <c r="D718" s="2559" t="s">
        <v>4016</v>
      </c>
      <c r="E718" s="3192">
        <f t="shared" si="126"/>
        <v>1</v>
      </c>
      <c r="F718" s="631" t="s">
        <v>3815</v>
      </c>
      <c r="G718" s="3192">
        <f t="shared" si="127"/>
        <v>0.95</v>
      </c>
      <c r="H718" s="631">
        <v>3</v>
      </c>
      <c r="I718" s="3192">
        <f t="shared" si="128"/>
        <v>1</v>
      </c>
      <c r="J718" s="631"/>
      <c r="K718" s="3192">
        <f t="shared" si="129"/>
        <v>1</v>
      </c>
      <c r="L718" s="631"/>
      <c r="M718" s="3192">
        <f t="shared" si="130"/>
        <v>1</v>
      </c>
      <c r="N718" s="631"/>
      <c r="O718" s="3192">
        <f t="shared" si="131"/>
        <v>1</v>
      </c>
      <c r="P718" s="3194" t="s">
        <v>4044</v>
      </c>
      <c r="Q718" s="3192">
        <f t="shared" si="132"/>
        <v>1.02</v>
      </c>
      <c r="R718" s="3192">
        <f t="shared" ca="1" si="133"/>
        <v>13711</v>
      </c>
      <c r="S718" s="898">
        <f t="shared" ca="1" si="134"/>
        <v>68</v>
      </c>
      <c r="T718" s="3190">
        <f>面积表!A713</f>
        <v>0</v>
      </c>
    </row>
    <row r="719" spans="1:20">
      <c r="A719" s="3169" t="str">
        <f>面积表!D714</f>
        <v>1224</v>
      </c>
      <c r="B719" s="52">
        <f>面积表!E714</f>
        <v>49.28</v>
      </c>
      <c r="C719" s="3192">
        <f t="shared" si="125"/>
        <v>1</v>
      </c>
      <c r="D719" s="2559" t="s">
        <v>4016</v>
      </c>
      <c r="E719" s="3192">
        <f t="shared" si="126"/>
        <v>1</v>
      </c>
      <c r="F719" s="631" t="s">
        <v>3815</v>
      </c>
      <c r="G719" s="3192">
        <f t="shared" si="127"/>
        <v>0.95</v>
      </c>
      <c r="H719" s="631">
        <v>3</v>
      </c>
      <c r="I719" s="3192">
        <f t="shared" si="128"/>
        <v>1</v>
      </c>
      <c r="J719" s="631"/>
      <c r="K719" s="3192">
        <f t="shared" si="129"/>
        <v>1</v>
      </c>
      <c r="L719" s="631"/>
      <c r="M719" s="3192">
        <f t="shared" si="130"/>
        <v>1</v>
      </c>
      <c r="N719" s="631"/>
      <c r="O719" s="3192">
        <f t="shared" si="131"/>
        <v>1</v>
      </c>
      <c r="P719" s="3194" t="s">
        <v>4044</v>
      </c>
      <c r="Q719" s="3192">
        <f t="shared" si="132"/>
        <v>1.02</v>
      </c>
      <c r="R719" s="3192">
        <f t="shared" ca="1" si="133"/>
        <v>13711</v>
      </c>
      <c r="S719" s="898">
        <f t="shared" ca="1" si="134"/>
        <v>68</v>
      </c>
      <c r="T719" s="3190">
        <f>面积表!A714</f>
        <v>0</v>
      </c>
    </row>
    <row r="720" spans="1:20">
      <c r="A720" s="3169" t="str">
        <f>面积表!D715</f>
        <v>1225</v>
      </c>
      <c r="B720" s="52">
        <f>面积表!E715</f>
        <v>48.41</v>
      </c>
      <c r="C720" s="3192">
        <f t="shared" si="125"/>
        <v>1</v>
      </c>
      <c r="D720" s="2559" t="s">
        <v>4016</v>
      </c>
      <c r="E720" s="3192">
        <f t="shared" si="126"/>
        <v>1</v>
      </c>
      <c r="F720" s="631" t="s">
        <v>3815</v>
      </c>
      <c r="G720" s="3192">
        <f t="shared" si="127"/>
        <v>0.95</v>
      </c>
      <c r="H720" s="631">
        <v>3</v>
      </c>
      <c r="I720" s="3192">
        <f t="shared" si="128"/>
        <v>1</v>
      </c>
      <c r="J720" s="631"/>
      <c r="K720" s="3192">
        <f t="shared" si="129"/>
        <v>1</v>
      </c>
      <c r="L720" s="631"/>
      <c r="M720" s="3192">
        <f t="shared" si="130"/>
        <v>1</v>
      </c>
      <c r="N720" s="631"/>
      <c r="O720" s="3192">
        <f t="shared" si="131"/>
        <v>1</v>
      </c>
      <c r="P720" s="3194" t="s">
        <v>4044</v>
      </c>
      <c r="Q720" s="3192">
        <f t="shared" si="132"/>
        <v>1.02</v>
      </c>
      <c r="R720" s="3192">
        <f t="shared" ca="1" si="133"/>
        <v>13711</v>
      </c>
      <c r="S720" s="898">
        <f t="shared" ca="1" si="134"/>
        <v>66</v>
      </c>
      <c r="T720" s="3190">
        <f>面积表!A715</f>
        <v>0</v>
      </c>
    </row>
    <row r="721" spans="1:20">
      <c r="A721" s="3169" t="str">
        <f>面积表!D716</f>
        <v>1226</v>
      </c>
      <c r="B721" s="52">
        <f>面积表!E716</f>
        <v>47.44</v>
      </c>
      <c r="C721" s="3192">
        <f t="shared" si="125"/>
        <v>1</v>
      </c>
      <c r="D721" s="2559" t="s">
        <v>4016</v>
      </c>
      <c r="E721" s="3192">
        <f t="shared" si="126"/>
        <v>1</v>
      </c>
      <c r="F721" s="631" t="s">
        <v>3815</v>
      </c>
      <c r="G721" s="3192">
        <f t="shared" si="127"/>
        <v>0.95</v>
      </c>
      <c r="H721" s="631">
        <v>3</v>
      </c>
      <c r="I721" s="3192">
        <f t="shared" si="128"/>
        <v>1</v>
      </c>
      <c r="J721" s="631"/>
      <c r="K721" s="3192">
        <f t="shared" si="129"/>
        <v>1</v>
      </c>
      <c r="L721" s="631"/>
      <c r="M721" s="3192">
        <f t="shared" si="130"/>
        <v>1</v>
      </c>
      <c r="N721" s="631"/>
      <c r="O721" s="3192">
        <f t="shared" si="131"/>
        <v>1</v>
      </c>
      <c r="P721" s="3194" t="s">
        <v>4044</v>
      </c>
      <c r="Q721" s="3192">
        <f t="shared" si="132"/>
        <v>1.02</v>
      </c>
      <c r="R721" s="3192">
        <f t="shared" ca="1" si="133"/>
        <v>13711</v>
      </c>
      <c r="S721" s="898">
        <f t="shared" ca="1" si="134"/>
        <v>65</v>
      </c>
      <c r="T721" s="3190">
        <f>面积表!A716</f>
        <v>0</v>
      </c>
    </row>
    <row r="722" spans="1:20">
      <c r="A722" s="3169" t="str">
        <f>面积表!D717</f>
        <v>1301</v>
      </c>
      <c r="B722" s="52">
        <f>面积表!E717</f>
        <v>52.2</v>
      </c>
      <c r="C722" s="3192">
        <f t="shared" si="125"/>
        <v>1</v>
      </c>
      <c r="D722" s="2559" t="s">
        <v>4016</v>
      </c>
      <c r="E722" s="3192">
        <f t="shared" si="126"/>
        <v>1</v>
      </c>
      <c r="F722" s="631" t="s">
        <v>3815</v>
      </c>
      <c r="G722" s="3192">
        <f t="shared" si="127"/>
        <v>0.95</v>
      </c>
      <c r="H722" s="631">
        <v>3</v>
      </c>
      <c r="I722" s="3192">
        <f t="shared" si="128"/>
        <v>1</v>
      </c>
      <c r="J722" s="631"/>
      <c r="K722" s="3192">
        <f t="shared" si="129"/>
        <v>1</v>
      </c>
      <c r="L722" s="631"/>
      <c r="M722" s="3192">
        <f t="shared" si="130"/>
        <v>1</v>
      </c>
      <c r="N722" s="631"/>
      <c r="O722" s="3192">
        <f t="shared" si="131"/>
        <v>1</v>
      </c>
      <c r="P722" s="3194" t="s">
        <v>4044</v>
      </c>
      <c r="Q722" s="3192">
        <f t="shared" si="132"/>
        <v>1.02</v>
      </c>
      <c r="R722" s="3192">
        <f t="shared" ca="1" si="133"/>
        <v>13711</v>
      </c>
      <c r="S722" s="898">
        <f t="shared" ca="1" si="134"/>
        <v>72</v>
      </c>
      <c r="T722" s="3190">
        <f>面积表!A717</f>
        <v>0</v>
      </c>
    </row>
    <row r="723" spans="1:20">
      <c r="A723" s="3169" t="str">
        <f>面积表!D718</f>
        <v>1302</v>
      </c>
      <c r="B723" s="52">
        <f>面积表!E718</f>
        <v>50.33</v>
      </c>
      <c r="C723" s="3192">
        <f t="shared" si="125"/>
        <v>1</v>
      </c>
      <c r="D723" s="2559" t="s">
        <v>4016</v>
      </c>
      <c r="E723" s="3192">
        <f t="shared" si="126"/>
        <v>1</v>
      </c>
      <c r="F723" s="631" t="s">
        <v>3815</v>
      </c>
      <c r="G723" s="3192">
        <f t="shared" si="127"/>
        <v>0.95</v>
      </c>
      <c r="H723" s="631">
        <v>3</v>
      </c>
      <c r="I723" s="3192">
        <f t="shared" si="128"/>
        <v>1</v>
      </c>
      <c r="J723" s="631"/>
      <c r="K723" s="3192">
        <f t="shared" si="129"/>
        <v>1</v>
      </c>
      <c r="L723" s="631"/>
      <c r="M723" s="3192">
        <f t="shared" si="130"/>
        <v>1</v>
      </c>
      <c r="N723" s="631"/>
      <c r="O723" s="3192">
        <f t="shared" si="131"/>
        <v>1</v>
      </c>
      <c r="P723" s="3194" t="s">
        <v>4044</v>
      </c>
      <c r="Q723" s="3192">
        <f t="shared" si="132"/>
        <v>1.02</v>
      </c>
      <c r="R723" s="3192">
        <f t="shared" ca="1" si="133"/>
        <v>13711</v>
      </c>
      <c r="S723" s="898">
        <f t="shared" ca="1" si="134"/>
        <v>69</v>
      </c>
      <c r="T723" s="3190">
        <f>面积表!A718</f>
        <v>0</v>
      </c>
    </row>
    <row r="724" spans="1:20">
      <c r="A724" s="3169" t="str">
        <f>面积表!D719</f>
        <v>1303</v>
      </c>
      <c r="B724" s="52">
        <f>面积表!E719</f>
        <v>50.33</v>
      </c>
      <c r="C724" s="3192">
        <f t="shared" si="125"/>
        <v>1</v>
      </c>
      <c r="D724" s="2559" t="s">
        <v>4016</v>
      </c>
      <c r="E724" s="3192">
        <f t="shared" si="126"/>
        <v>1</v>
      </c>
      <c r="F724" s="631" t="s">
        <v>3815</v>
      </c>
      <c r="G724" s="3192">
        <f t="shared" si="127"/>
        <v>0.95</v>
      </c>
      <c r="H724" s="631">
        <v>3</v>
      </c>
      <c r="I724" s="3192">
        <f t="shared" si="128"/>
        <v>1</v>
      </c>
      <c r="J724" s="631"/>
      <c r="K724" s="3192">
        <f t="shared" si="129"/>
        <v>1</v>
      </c>
      <c r="L724" s="631"/>
      <c r="M724" s="3192">
        <f t="shared" si="130"/>
        <v>1</v>
      </c>
      <c r="N724" s="631"/>
      <c r="O724" s="3192">
        <f t="shared" si="131"/>
        <v>1</v>
      </c>
      <c r="P724" s="3194" t="s">
        <v>4044</v>
      </c>
      <c r="Q724" s="3192">
        <f t="shared" si="132"/>
        <v>1.02</v>
      </c>
      <c r="R724" s="3192">
        <f t="shared" ca="1" si="133"/>
        <v>13711</v>
      </c>
      <c r="S724" s="898">
        <f t="shared" ca="1" si="134"/>
        <v>69</v>
      </c>
      <c r="T724" s="3190">
        <f>面积表!A719</f>
        <v>0</v>
      </c>
    </row>
    <row r="725" spans="1:20">
      <c r="A725" s="3169" t="str">
        <f>面积表!D720</f>
        <v>1304</v>
      </c>
      <c r="B725" s="52">
        <f>面积表!E720</f>
        <v>50.33</v>
      </c>
      <c r="C725" s="3192">
        <f t="shared" si="125"/>
        <v>1</v>
      </c>
      <c r="D725" s="2559" t="s">
        <v>4016</v>
      </c>
      <c r="E725" s="3192">
        <f t="shared" si="126"/>
        <v>1</v>
      </c>
      <c r="F725" s="631" t="s">
        <v>3815</v>
      </c>
      <c r="G725" s="3192">
        <f t="shared" si="127"/>
        <v>0.95</v>
      </c>
      <c r="H725" s="631">
        <v>3</v>
      </c>
      <c r="I725" s="3192">
        <f t="shared" si="128"/>
        <v>1</v>
      </c>
      <c r="J725" s="631"/>
      <c r="K725" s="3192">
        <f t="shared" si="129"/>
        <v>1</v>
      </c>
      <c r="L725" s="631"/>
      <c r="M725" s="3192">
        <f t="shared" si="130"/>
        <v>1</v>
      </c>
      <c r="N725" s="631"/>
      <c r="O725" s="3192">
        <f t="shared" si="131"/>
        <v>1</v>
      </c>
      <c r="P725" s="3194" t="s">
        <v>4044</v>
      </c>
      <c r="Q725" s="3192">
        <f t="shared" si="132"/>
        <v>1.02</v>
      </c>
      <c r="R725" s="3192">
        <f t="shared" ca="1" si="133"/>
        <v>13711</v>
      </c>
      <c r="S725" s="898">
        <f t="shared" ca="1" si="134"/>
        <v>69</v>
      </c>
      <c r="T725" s="3190">
        <f>面积表!A720</f>
        <v>0</v>
      </c>
    </row>
    <row r="726" spans="1:20">
      <c r="A726" s="3169" t="str">
        <f>面积表!D721</f>
        <v>1305</v>
      </c>
      <c r="B726" s="52">
        <f>面积表!E721</f>
        <v>50.33</v>
      </c>
      <c r="C726" s="3192">
        <f t="shared" si="125"/>
        <v>1</v>
      </c>
      <c r="D726" s="2559" t="s">
        <v>4016</v>
      </c>
      <c r="E726" s="3192">
        <f t="shared" si="126"/>
        <v>1</v>
      </c>
      <c r="F726" s="631" t="s">
        <v>3815</v>
      </c>
      <c r="G726" s="3192">
        <f t="shared" si="127"/>
        <v>0.95</v>
      </c>
      <c r="H726" s="631">
        <v>3</v>
      </c>
      <c r="I726" s="3192">
        <f t="shared" si="128"/>
        <v>1</v>
      </c>
      <c r="J726" s="631"/>
      <c r="K726" s="3192">
        <f t="shared" si="129"/>
        <v>1</v>
      </c>
      <c r="L726" s="631"/>
      <c r="M726" s="3192">
        <f t="shared" si="130"/>
        <v>1</v>
      </c>
      <c r="N726" s="631"/>
      <c r="O726" s="3192">
        <f t="shared" si="131"/>
        <v>1</v>
      </c>
      <c r="P726" s="3194" t="s">
        <v>4044</v>
      </c>
      <c r="Q726" s="3192">
        <f t="shared" si="132"/>
        <v>1.02</v>
      </c>
      <c r="R726" s="3192">
        <f t="shared" ca="1" si="133"/>
        <v>13711</v>
      </c>
      <c r="S726" s="898">
        <f t="shared" ca="1" si="134"/>
        <v>69</v>
      </c>
      <c r="T726" s="3190">
        <f>面积表!A721</f>
        <v>0</v>
      </c>
    </row>
    <row r="727" spans="1:20">
      <c r="A727" s="3169" t="str">
        <f>面积表!D722</f>
        <v>1306</v>
      </c>
      <c r="B727" s="52">
        <f>面积表!E722</f>
        <v>50.33</v>
      </c>
      <c r="C727" s="3192">
        <f t="shared" si="125"/>
        <v>1</v>
      </c>
      <c r="D727" s="2559" t="s">
        <v>4016</v>
      </c>
      <c r="E727" s="3192">
        <f t="shared" si="126"/>
        <v>1</v>
      </c>
      <c r="F727" s="631" t="s">
        <v>3815</v>
      </c>
      <c r="G727" s="3192">
        <f t="shared" si="127"/>
        <v>0.95</v>
      </c>
      <c r="H727" s="631">
        <v>3</v>
      </c>
      <c r="I727" s="3192">
        <f t="shared" si="128"/>
        <v>1</v>
      </c>
      <c r="J727" s="631"/>
      <c r="K727" s="3192">
        <f t="shared" si="129"/>
        <v>1</v>
      </c>
      <c r="L727" s="631"/>
      <c r="M727" s="3192">
        <f t="shared" si="130"/>
        <v>1</v>
      </c>
      <c r="N727" s="631"/>
      <c r="O727" s="3192">
        <f t="shared" si="131"/>
        <v>1</v>
      </c>
      <c r="P727" s="3194" t="s">
        <v>4044</v>
      </c>
      <c r="Q727" s="3192">
        <f t="shared" si="132"/>
        <v>1.02</v>
      </c>
      <c r="R727" s="3192">
        <f t="shared" ca="1" si="133"/>
        <v>13711</v>
      </c>
      <c r="S727" s="898">
        <f t="shared" ca="1" si="134"/>
        <v>69</v>
      </c>
      <c r="T727" s="3190">
        <f>面积表!A722</f>
        <v>0</v>
      </c>
    </row>
    <row r="728" spans="1:20">
      <c r="A728" s="3169" t="str">
        <f>面积表!D723</f>
        <v>1307</v>
      </c>
      <c r="B728" s="52">
        <f>面积表!E723</f>
        <v>50.33</v>
      </c>
      <c r="C728" s="3192">
        <f t="shared" si="125"/>
        <v>1</v>
      </c>
      <c r="D728" s="2559" t="s">
        <v>4016</v>
      </c>
      <c r="E728" s="3192">
        <f t="shared" si="126"/>
        <v>1</v>
      </c>
      <c r="F728" s="631" t="s">
        <v>3815</v>
      </c>
      <c r="G728" s="3192">
        <f t="shared" si="127"/>
        <v>0.95</v>
      </c>
      <c r="H728" s="631">
        <v>3</v>
      </c>
      <c r="I728" s="3192">
        <f t="shared" si="128"/>
        <v>1</v>
      </c>
      <c r="J728" s="631"/>
      <c r="K728" s="3192">
        <f t="shared" si="129"/>
        <v>1</v>
      </c>
      <c r="L728" s="631"/>
      <c r="M728" s="3192">
        <f t="shared" si="130"/>
        <v>1</v>
      </c>
      <c r="N728" s="631"/>
      <c r="O728" s="3192">
        <f t="shared" si="131"/>
        <v>1</v>
      </c>
      <c r="P728" s="3194" t="s">
        <v>4044</v>
      </c>
      <c r="Q728" s="3192">
        <f t="shared" si="132"/>
        <v>1.02</v>
      </c>
      <c r="R728" s="3192">
        <f t="shared" ca="1" si="133"/>
        <v>13711</v>
      </c>
      <c r="S728" s="898">
        <f t="shared" ca="1" si="134"/>
        <v>69</v>
      </c>
      <c r="T728" s="3190">
        <f>面积表!A723</f>
        <v>0</v>
      </c>
    </row>
    <row r="729" spans="1:20">
      <c r="A729" s="3169" t="str">
        <f>面积表!D724</f>
        <v>1308</v>
      </c>
      <c r="B729" s="52">
        <f>面积表!E724</f>
        <v>50.33</v>
      </c>
      <c r="C729" s="3192">
        <f t="shared" si="125"/>
        <v>1</v>
      </c>
      <c r="D729" s="2559" t="s">
        <v>4016</v>
      </c>
      <c r="E729" s="3192">
        <f t="shared" si="126"/>
        <v>1</v>
      </c>
      <c r="F729" s="631" t="s">
        <v>3815</v>
      </c>
      <c r="G729" s="3192">
        <f t="shared" si="127"/>
        <v>0.95</v>
      </c>
      <c r="H729" s="631">
        <v>3</v>
      </c>
      <c r="I729" s="3192">
        <f t="shared" si="128"/>
        <v>1</v>
      </c>
      <c r="J729" s="631"/>
      <c r="K729" s="3192">
        <f t="shared" si="129"/>
        <v>1</v>
      </c>
      <c r="L729" s="631"/>
      <c r="M729" s="3192">
        <f t="shared" si="130"/>
        <v>1</v>
      </c>
      <c r="N729" s="631"/>
      <c r="O729" s="3192">
        <f t="shared" si="131"/>
        <v>1</v>
      </c>
      <c r="P729" s="3194" t="s">
        <v>4044</v>
      </c>
      <c r="Q729" s="3192">
        <f t="shared" si="132"/>
        <v>1.02</v>
      </c>
      <c r="R729" s="3192">
        <f t="shared" ca="1" si="133"/>
        <v>13711</v>
      </c>
      <c r="S729" s="898">
        <f t="shared" ca="1" si="134"/>
        <v>69</v>
      </c>
      <c r="T729" s="3190">
        <f>面积表!A724</f>
        <v>0</v>
      </c>
    </row>
    <row r="730" spans="1:20">
      <c r="A730" s="3169" t="str">
        <f>面积表!D725</f>
        <v>1309</v>
      </c>
      <c r="B730" s="52">
        <f>面积表!E725</f>
        <v>50.33</v>
      </c>
      <c r="C730" s="3192">
        <f t="shared" si="125"/>
        <v>1</v>
      </c>
      <c r="D730" s="2559" t="s">
        <v>4016</v>
      </c>
      <c r="E730" s="3192">
        <f t="shared" si="126"/>
        <v>1</v>
      </c>
      <c r="F730" s="631" t="s">
        <v>3815</v>
      </c>
      <c r="G730" s="3192">
        <f t="shared" si="127"/>
        <v>0.95</v>
      </c>
      <c r="H730" s="631">
        <v>3</v>
      </c>
      <c r="I730" s="3192">
        <f t="shared" si="128"/>
        <v>1</v>
      </c>
      <c r="J730" s="631"/>
      <c r="K730" s="3192">
        <f t="shared" si="129"/>
        <v>1</v>
      </c>
      <c r="L730" s="631"/>
      <c r="M730" s="3192">
        <f t="shared" si="130"/>
        <v>1</v>
      </c>
      <c r="N730" s="631"/>
      <c r="O730" s="3192">
        <f t="shared" si="131"/>
        <v>1</v>
      </c>
      <c r="P730" s="3194" t="s">
        <v>4044</v>
      </c>
      <c r="Q730" s="3192">
        <f t="shared" si="132"/>
        <v>1.02</v>
      </c>
      <c r="R730" s="3192">
        <f t="shared" ca="1" si="133"/>
        <v>13711</v>
      </c>
      <c r="S730" s="898">
        <f t="shared" ca="1" si="134"/>
        <v>69</v>
      </c>
      <c r="T730" s="3190">
        <f>面积表!A725</f>
        <v>0</v>
      </c>
    </row>
    <row r="731" spans="1:20">
      <c r="A731" s="3169" t="str">
        <f>面积表!D726</f>
        <v>1310</v>
      </c>
      <c r="B731" s="52">
        <f>面积表!E726</f>
        <v>50.33</v>
      </c>
      <c r="C731" s="3192">
        <f t="shared" si="125"/>
        <v>1</v>
      </c>
      <c r="D731" s="2559" t="s">
        <v>4016</v>
      </c>
      <c r="E731" s="3192">
        <f t="shared" si="126"/>
        <v>1</v>
      </c>
      <c r="F731" s="631" t="s">
        <v>3815</v>
      </c>
      <c r="G731" s="3192">
        <f t="shared" si="127"/>
        <v>0.95</v>
      </c>
      <c r="H731" s="631">
        <v>3</v>
      </c>
      <c r="I731" s="3192">
        <f t="shared" si="128"/>
        <v>1</v>
      </c>
      <c r="J731" s="631"/>
      <c r="K731" s="3192">
        <f t="shared" si="129"/>
        <v>1</v>
      </c>
      <c r="L731" s="631"/>
      <c r="M731" s="3192">
        <f t="shared" si="130"/>
        <v>1</v>
      </c>
      <c r="N731" s="631"/>
      <c r="O731" s="3192">
        <f t="shared" si="131"/>
        <v>1</v>
      </c>
      <c r="P731" s="3194" t="s">
        <v>4044</v>
      </c>
      <c r="Q731" s="3192">
        <f t="shared" si="132"/>
        <v>1.02</v>
      </c>
      <c r="R731" s="3192">
        <f t="shared" ca="1" si="133"/>
        <v>13711</v>
      </c>
      <c r="S731" s="898">
        <f t="shared" ca="1" si="134"/>
        <v>69</v>
      </c>
      <c r="T731" s="3190">
        <f>面积表!A726</f>
        <v>0</v>
      </c>
    </row>
    <row r="732" spans="1:20">
      <c r="A732" s="3169" t="str">
        <f>面积表!D727</f>
        <v>1311</v>
      </c>
      <c r="B732" s="52">
        <f>面积表!E727</f>
        <v>50.33</v>
      </c>
      <c r="C732" s="3192">
        <f t="shared" si="125"/>
        <v>1</v>
      </c>
      <c r="D732" s="2559" t="s">
        <v>4016</v>
      </c>
      <c r="E732" s="3192">
        <f t="shared" si="126"/>
        <v>1</v>
      </c>
      <c r="F732" s="631" t="s">
        <v>3815</v>
      </c>
      <c r="G732" s="3192">
        <f t="shared" si="127"/>
        <v>0.95</v>
      </c>
      <c r="H732" s="631">
        <v>3</v>
      </c>
      <c r="I732" s="3192">
        <f t="shared" si="128"/>
        <v>1</v>
      </c>
      <c r="J732" s="631"/>
      <c r="K732" s="3192">
        <f t="shared" si="129"/>
        <v>1</v>
      </c>
      <c r="L732" s="631"/>
      <c r="M732" s="3192">
        <f t="shared" si="130"/>
        <v>1</v>
      </c>
      <c r="N732" s="631"/>
      <c r="O732" s="3192">
        <f t="shared" si="131"/>
        <v>1</v>
      </c>
      <c r="P732" s="3194" t="s">
        <v>4044</v>
      </c>
      <c r="Q732" s="3192">
        <f t="shared" si="132"/>
        <v>1.02</v>
      </c>
      <c r="R732" s="3192">
        <f t="shared" ca="1" si="133"/>
        <v>13711</v>
      </c>
      <c r="S732" s="898">
        <f t="shared" ca="1" si="134"/>
        <v>69</v>
      </c>
      <c r="T732" s="3190">
        <f>面积表!A727</f>
        <v>0</v>
      </c>
    </row>
    <row r="733" spans="1:20">
      <c r="A733" s="3169" t="str">
        <f>面积表!D728</f>
        <v>1312</v>
      </c>
      <c r="B733" s="52">
        <f>面积表!E728</f>
        <v>50.33</v>
      </c>
      <c r="C733" s="3192">
        <f t="shared" si="125"/>
        <v>1</v>
      </c>
      <c r="D733" s="2559" t="s">
        <v>4016</v>
      </c>
      <c r="E733" s="3192">
        <f t="shared" si="126"/>
        <v>1</v>
      </c>
      <c r="F733" s="631" t="s">
        <v>3815</v>
      </c>
      <c r="G733" s="3192">
        <f t="shared" si="127"/>
        <v>0.95</v>
      </c>
      <c r="H733" s="631">
        <v>3</v>
      </c>
      <c r="I733" s="3192">
        <f t="shared" si="128"/>
        <v>1</v>
      </c>
      <c r="J733" s="631"/>
      <c r="K733" s="3192">
        <f t="shared" si="129"/>
        <v>1</v>
      </c>
      <c r="L733" s="631"/>
      <c r="M733" s="3192">
        <f t="shared" si="130"/>
        <v>1</v>
      </c>
      <c r="N733" s="631"/>
      <c r="O733" s="3192">
        <f t="shared" si="131"/>
        <v>1</v>
      </c>
      <c r="P733" s="3194" t="s">
        <v>4044</v>
      </c>
      <c r="Q733" s="3192">
        <f t="shared" si="132"/>
        <v>1.02</v>
      </c>
      <c r="R733" s="3192">
        <f t="shared" ca="1" si="133"/>
        <v>13711</v>
      </c>
      <c r="S733" s="898">
        <f t="shared" ca="1" si="134"/>
        <v>69</v>
      </c>
      <c r="T733" s="3190">
        <f>面积表!A728</f>
        <v>0</v>
      </c>
    </row>
    <row r="734" spans="1:20">
      <c r="A734" s="3169" t="str">
        <f>面积表!D729</f>
        <v>1313</v>
      </c>
      <c r="B734" s="52">
        <f>面积表!E729</f>
        <v>50.33</v>
      </c>
      <c r="C734" s="3192">
        <f t="shared" si="125"/>
        <v>1</v>
      </c>
      <c r="D734" s="2559" t="s">
        <v>4016</v>
      </c>
      <c r="E734" s="3192">
        <f t="shared" si="126"/>
        <v>1</v>
      </c>
      <c r="F734" s="631" t="s">
        <v>3815</v>
      </c>
      <c r="G734" s="3192">
        <f t="shared" si="127"/>
        <v>0.95</v>
      </c>
      <c r="H734" s="631">
        <v>3</v>
      </c>
      <c r="I734" s="3192">
        <f t="shared" si="128"/>
        <v>1</v>
      </c>
      <c r="J734" s="631"/>
      <c r="K734" s="3192">
        <f t="shared" si="129"/>
        <v>1</v>
      </c>
      <c r="L734" s="631"/>
      <c r="M734" s="3192">
        <f t="shared" si="130"/>
        <v>1</v>
      </c>
      <c r="N734" s="631"/>
      <c r="O734" s="3192">
        <f t="shared" si="131"/>
        <v>1</v>
      </c>
      <c r="P734" s="3194" t="s">
        <v>4044</v>
      </c>
      <c r="Q734" s="3192">
        <f t="shared" si="132"/>
        <v>1.02</v>
      </c>
      <c r="R734" s="3192">
        <f t="shared" ca="1" si="133"/>
        <v>13711</v>
      </c>
      <c r="S734" s="898">
        <f t="shared" ca="1" si="134"/>
        <v>69</v>
      </c>
      <c r="T734" s="3190">
        <f>面积表!A729</f>
        <v>0</v>
      </c>
    </row>
    <row r="735" spans="1:20">
      <c r="A735" s="3169" t="str">
        <f>面积表!D730</f>
        <v>1314</v>
      </c>
      <c r="B735" s="52">
        <f>面积表!E730</f>
        <v>50.33</v>
      </c>
      <c r="C735" s="3192">
        <f t="shared" si="125"/>
        <v>1</v>
      </c>
      <c r="D735" s="2559" t="s">
        <v>4016</v>
      </c>
      <c r="E735" s="3192">
        <f t="shared" si="126"/>
        <v>1</v>
      </c>
      <c r="F735" s="631" t="s">
        <v>3815</v>
      </c>
      <c r="G735" s="3192">
        <f t="shared" si="127"/>
        <v>0.95</v>
      </c>
      <c r="H735" s="631">
        <v>3</v>
      </c>
      <c r="I735" s="3192">
        <f t="shared" si="128"/>
        <v>1</v>
      </c>
      <c r="J735" s="631"/>
      <c r="K735" s="3192">
        <f t="shared" si="129"/>
        <v>1</v>
      </c>
      <c r="L735" s="631"/>
      <c r="M735" s="3192">
        <f t="shared" si="130"/>
        <v>1</v>
      </c>
      <c r="N735" s="631"/>
      <c r="O735" s="3192">
        <f t="shared" si="131"/>
        <v>1</v>
      </c>
      <c r="P735" s="3194" t="s">
        <v>4044</v>
      </c>
      <c r="Q735" s="3192">
        <f t="shared" si="132"/>
        <v>1.02</v>
      </c>
      <c r="R735" s="3192">
        <f t="shared" ca="1" si="133"/>
        <v>13711</v>
      </c>
      <c r="S735" s="898">
        <f t="shared" ca="1" si="134"/>
        <v>69</v>
      </c>
      <c r="T735" s="3190">
        <f>面积表!A730</f>
        <v>0</v>
      </c>
    </row>
    <row r="736" spans="1:20">
      <c r="A736" s="3169" t="str">
        <f>面积表!D731</f>
        <v>1315</v>
      </c>
      <c r="B736" s="52">
        <f>面积表!E731</f>
        <v>50.33</v>
      </c>
      <c r="C736" s="3192">
        <f t="shared" si="125"/>
        <v>1</v>
      </c>
      <c r="D736" s="2559" t="s">
        <v>4016</v>
      </c>
      <c r="E736" s="3192">
        <f t="shared" si="126"/>
        <v>1</v>
      </c>
      <c r="F736" s="631" t="s">
        <v>3815</v>
      </c>
      <c r="G736" s="3192">
        <f t="shared" si="127"/>
        <v>0.95</v>
      </c>
      <c r="H736" s="631">
        <v>3</v>
      </c>
      <c r="I736" s="3192">
        <f t="shared" si="128"/>
        <v>1</v>
      </c>
      <c r="J736" s="631"/>
      <c r="K736" s="3192">
        <f t="shared" si="129"/>
        <v>1</v>
      </c>
      <c r="L736" s="631"/>
      <c r="M736" s="3192">
        <f t="shared" si="130"/>
        <v>1</v>
      </c>
      <c r="N736" s="631"/>
      <c r="O736" s="3192">
        <f t="shared" si="131"/>
        <v>1</v>
      </c>
      <c r="P736" s="3194" t="s">
        <v>4044</v>
      </c>
      <c r="Q736" s="3192">
        <f t="shared" si="132"/>
        <v>1.02</v>
      </c>
      <c r="R736" s="3192">
        <f t="shared" ca="1" si="133"/>
        <v>13711</v>
      </c>
      <c r="S736" s="898">
        <f t="shared" ca="1" si="134"/>
        <v>69</v>
      </c>
      <c r="T736" s="3190">
        <f>面积表!A731</f>
        <v>0</v>
      </c>
    </row>
    <row r="737" spans="1:20">
      <c r="A737" s="3169" t="str">
        <f>面积表!D732</f>
        <v>1316</v>
      </c>
      <c r="B737" s="52">
        <f>面积表!E732</f>
        <v>69.77</v>
      </c>
      <c r="C737" s="3192">
        <f t="shared" si="125"/>
        <v>1.01</v>
      </c>
      <c r="D737" s="2559" t="s">
        <v>4016</v>
      </c>
      <c r="E737" s="3192">
        <f t="shared" si="126"/>
        <v>1</v>
      </c>
      <c r="F737" s="631" t="s">
        <v>3815</v>
      </c>
      <c r="G737" s="3192">
        <f t="shared" si="127"/>
        <v>0.95</v>
      </c>
      <c r="H737" s="631">
        <v>3</v>
      </c>
      <c r="I737" s="3192">
        <f t="shared" si="128"/>
        <v>1</v>
      </c>
      <c r="J737" s="631"/>
      <c r="K737" s="3192">
        <f t="shared" si="129"/>
        <v>1</v>
      </c>
      <c r="L737" s="631"/>
      <c r="M737" s="3192">
        <f t="shared" si="130"/>
        <v>1</v>
      </c>
      <c r="N737" s="631"/>
      <c r="O737" s="3192">
        <f t="shared" si="131"/>
        <v>1</v>
      </c>
      <c r="P737" s="3194" t="s">
        <v>4044</v>
      </c>
      <c r="Q737" s="3192">
        <f t="shared" si="132"/>
        <v>1.02</v>
      </c>
      <c r="R737" s="3192">
        <f t="shared" ca="1" si="133"/>
        <v>13848</v>
      </c>
      <c r="S737" s="898">
        <f t="shared" ca="1" si="134"/>
        <v>97</v>
      </c>
      <c r="T737" s="3190">
        <f>面积表!A732</f>
        <v>0</v>
      </c>
    </row>
    <row r="738" spans="1:20">
      <c r="A738" s="3173" t="str">
        <f>面积表!D733</f>
        <v>1317</v>
      </c>
      <c r="B738" s="3174">
        <f>面积表!E733</f>
        <v>38.65</v>
      </c>
      <c r="C738" s="3192">
        <f t="shared" si="125"/>
        <v>1</v>
      </c>
      <c r="D738" s="2559" t="s">
        <v>4016</v>
      </c>
      <c r="E738" s="3192">
        <f t="shared" si="126"/>
        <v>1</v>
      </c>
      <c r="F738" s="2559" t="s">
        <v>21</v>
      </c>
      <c r="G738" s="3192">
        <f t="shared" si="127"/>
        <v>1</v>
      </c>
      <c r="H738" s="631">
        <v>3</v>
      </c>
      <c r="I738" s="3192">
        <f t="shared" si="128"/>
        <v>1</v>
      </c>
      <c r="J738" s="631"/>
      <c r="K738" s="3192">
        <f t="shared" si="129"/>
        <v>1</v>
      </c>
      <c r="L738" s="631"/>
      <c r="M738" s="3192">
        <f t="shared" si="130"/>
        <v>1</v>
      </c>
      <c r="N738" s="631"/>
      <c r="O738" s="3192">
        <f t="shared" si="131"/>
        <v>1</v>
      </c>
      <c r="P738" s="3194" t="s">
        <v>4044</v>
      </c>
      <c r="Q738" s="3192">
        <f t="shared" si="132"/>
        <v>1.02</v>
      </c>
      <c r="R738" s="3192">
        <f t="shared" ca="1" si="133"/>
        <v>14433</v>
      </c>
      <c r="S738" s="898">
        <f t="shared" ca="1" si="134"/>
        <v>56</v>
      </c>
      <c r="T738" s="3191" t="str">
        <f>面积表!A733</f>
        <v>4号楼</v>
      </c>
    </row>
    <row r="739" spans="1:20">
      <c r="A739" s="3169" t="str">
        <f>面积表!D734</f>
        <v>1318</v>
      </c>
      <c r="B739" s="52">
        <f>面积表!E734</f>
        <v>41.99</v>
      </c>
      <c r="C739" s="3192">
        <f t="shared" si="125"/>
        <v>1</v>
      </c>
      <c r="D739" s="2559" t="s">
        <v>4016</v>
      </c>
      <c r="E739" s="3192">
        <f t="shared" si="126"/>
        <v>1</v>
      </c>
      <c r="F739" s="2559" t="s">
        <v>21</v>
      </c>
      <c r="G739" s="3192">
        <f t="shared" si="127"/>
        <v>1</v>
      </c>
      <c r="H739" s="631">
        <v>3</v>
      </c>
      <c r="I739" s="3192">
        <f t="shared" si="128"/>
        <v>1</v>
      </c>
      <c r="J739" s="631"/>
      <c r="K739" s="3192">
        <f t="shared" si="129"/>
        <v>1</v>
      </c>
      <c r="L739" s="631"/>
      <c r="M739" s="3192">
        <f t="shared" si="130"/>
        <v>1</v>
      </c>
      <c r="N739" s="631"/>
      <c r="O739" s="3192">
        <f t="shared" si="131"/>
        <v>1</v>
      </c>
      <c r="P739" s="3194" t="s">
        <v>4044</v>
      </c>
      <c r="Q739" s="3192">
        <f t="shared" si="132"/>
        <v>1.02</v>
      </c>
      <c r="R739" s="3192">
        <f t="shared" ca="1" si="133"/>
        <v>14433</v>
      </c>
      <c r="S739" s="898">
        <f t="shared" ca="1" si="134"/>
        <v>61</v>
      </c>
      <c r="T739" s="3190" t="str">
        <f>面积表!A734</f>
        <v>办公自用</v>
      </c>
    </row>
    <row r="740" spans="1:20">
      <c r="A740" s="3169" t="str">
        <f>面积表!D735</f>
        <v>1319</v>
      </c>
      <c r="B740" s="52">
        <f>面积表!E735</f>
        <v>44.72</v>
      </c>
      <c r="C740" s="3192">
        <f t="shared" si="125"/>
        <v>1</v>
      </c>
      <c r="D740" s="2559" t="s">
        <v>4016</v>
      </c>
      <c r="E740" s="3192">
        <f t="shared" si="126"/>
        <v>1</v>
      </c>
      <c r="F740" s="2559" t="s">
        <v>21</v>
      </c>
      <c r="G740" s="3192">
        <f t="shared" si="127"/>
        <v>1</v>
      </c>
      <c r="H740" s="631">
        <v>3</v>
      </c>
      <c r="I740" s="3192">
        <f t="shared" si="128"/>
        <v>1</v>
      </c>
      <c r="J740" s="631"/>
      <c r="K740" s="3192">
        <f t="shared" si="129"/>
        <v>1</v>
      </c>
      <c r="L740" s="631"/>
      <c r="M740" s="3192">
        <f t="shared" si="130"/>
        <v>1</v>
      </c>
      <c r="N740" s="631"/>
      <c r="O740" s="3192">
        <f t="shared" si="131"/>
        <v>1</v>
      </c>
      <c r="P740" s="3194" t="s">
        <v>4044</v>
      </c>
      <c r="Q740" s="3192">
        <f t="shared" si="132"/>
        <v>1.02</v>
      </c>
      <c r="R740" s="3192">
        <f t="shared" ca="1" si="133"/>
        <v>14433</v>
      </c>
      <c r="S740" s="898">
        <f t="shared" ca="1" si="134"/>
        <v>65</v>
      </c>
      <c r="T740" s="3190" t="str">
        <f>面积表!A735</f>
        <v>总24层</v>
      </c>
    </row>
    <row r="741" spans="1:20">
      <c r="A741" s="3169" t="str">
        <f>面积表!D736</f>
        <v>1320</v>
      </c>
      <c r="B741" s="52">
        <f>面积表!E736</f>
        <v>46.83</v>
      </c>
      <c r="C741" s="3192">
        <f t="shared" si="125"/>
        <v>1</v>
      </c>
      <c r="D741" s="2559" t="s">
        <v>4016</v>
      </c>
      <c r="E741" s="3192">
        <f t="shared" si="126"/>
        <v>1</v>
      </c>
      <c r="F741" s="2559" t="s">
        <v>21</v>
      </c>
      <c r="G741" s="3192">
        <f t="shared" si="127"/>
        <v>1</v>
      </c>
      <c r="H741" s="631">
        <v>3</v>
      </c>
      <c r="I741" s="3192">
        <f t="shared" si="128"/>
        <v>1</v>
      </c>
      <c r="J741" s="631"/>
      <c r="K741" s="3192">
        <f t="shared" si="129"/>
        <v>1</v>
      </c>
      <c r="L741" s="631"/>
      <c r="M741" s="3192">
        <f t="shared" si="130"/>
        <v>1</v>
      </c>
      <c r="N741" s="631"/>
      <c r="O741" s="3192">
        <f t="shared" si="131"/>
        <v>1</v>
      </c>
      <c r="P741" s="3194" t="s">
        <v>4044</v>
      </c>
      <c r="Q741" s="3192">
        <f t="shared" si="132"/>
        <v>1.02</v>
      </c>
      <c r="R741" s="3192">
        <f t="shared" ca="1" si="133"/>
        <v>14433</v>
      </c>
      <c r="S741" s="898">
        <f t="shared" ca="1" si="134"/>
        <v>68</v>
      </c>
      <c r="T741" s="3190">
        <f>面积表!A736</f>
        <v>0</v>
      </c>
    </row>
    <row r="742" spans="1:20">
      <c r="A742" s="3169" t="str">
        <f>面积表!D737</f>
        <v>1321</v>
      </c>
      <c r="B742" s="52">
        <f>面积表!E737</f>
        <v>48.33</v>
      </c>
      <c r="C742" s="3192">
        <f t="shared" si="125"/>
        <v>1</v>
      </c>
      <c r="D742" s="2559" t="s">
        <v>4016</v>
      </c>
      <c r="E742" s="3192">
        <f t="shared" si="126"/>
        <v>1</v>
      </c>
      <c r="F742" s="2559" t="s">
        <v>21</v>
      </c>
      <c r="G742" s="3192">
        <f t="shared" si="127"/>
        <v>1</v>
      </c>
      <c r="H742" s="631">
        <v>3</v>
      </c>
      <c r="I742" s="3192">
        <f t="shared" si="128"/>
        <v>1</v>
      </c>
      <c r="J742" s="631"/>
      <c r="K742" s="3192">
        <f t="shared" si="129"/>
        <v>1</v>
      </c>
      <c r="L742" s="631"/>
      <c r="M742" s="3192">
        <f t="shared" si="130"/>
        <v>1</v>
      </c>
      <c r="N742" s="631"/>
      <c r="O742" s="3192">
        <f t="shared" si="131"/>
        <v>1</v>
      </c>
      <c r="P742" s="3194" t="s">
        <v>4044</v>
      </c>
      <c r="Q742" s="3192">
        <f t="shared" si="132"/>
        <v>1.02</v>
      </c>
      <c r="R742" s="3192">
        <f t="shared" ca="1" si="133"/>
        <v>14433</v>
      </c>
      <c r="S742" s="898">
        <f t="shared" ca="1" si="134"/>
        <v>70</v>
      </c>
      <c r="T742" s="3190">
        <f>面积表!A737</f>
        <v>0</v>
      </c>
    </row>
    <row r="743" spans="1:20">
      <c r="A743" s="3169" t="str">
        <f>面积表!D738</f>
        <v>1322</v>
      </c>
      <c r="B743" s="52">
        <f>面积表!E738</f>
        <v>49.3</v>
      </c>
      <c r="C743" s="3192">
        <f t="shared" si="125"/>
        <v>1</v>
      </c>
      <c r="D743" s="2559" t="s">
        <v>4016</v>
      </c>
      <c r="E743" s="3192">
        <f t="shared" si="126"/>
        <v>1</v>
      </c>
      <c r="F743" s="2559" t="s">
        <v>21</v>
      </c>
      <c r="G743" s="3192">
        <f t="shared" si="127"/>
        <v>1</v>
      </c>
      <c r="H743" s="631">
        <v>3</v>
      </c>
      <c r="I743" s="3192">
        <f t="shared" si="128"/>
        <v>1</v>
      </c>
      <c r="J743" s="631"/>
      <c r="K743" s="3192">
        <f t="shared" si="129"/>
        <v>1</v>
      </c>
      <c r="L743" s="631"/>
      <c r="M743" s="3192">
        <f t="shared" si="130"/>
        <v>1</v>
      </c>
      <c r="N743" s="631"/>
      <c r="O743" s="3192">
        <f t="shared" si="131"/>
        <v>1</v>
      </c>
      <c r="P743" s="3194" t="s">
        <v>4044</v>
      </c>
      <c r="Q743" s="3192">
        <f t="shared" si="132"/>
        <v>1.02</v>
      </c>
      <c r="R743" s="3192">
        <f t="shared" ca="1" si="133"/>
        <v>14433</v>
      </c>
      <c r="S743" s="898">
        <f t="shared" ca="1" si="134"/>
        <v>71</v>
      </c>
      <c r="T743" s="3190">
        <f>面积表!A738</f>
        <v>0</v>
      </c>
    </row>
    <row r="744" spans="1:20">
      <c r="A744" s="3169" t="str">
        <f>面积表!D739</f>
        <v>1323</v>
      </c>
      <c r="B744" s="52">
        <f>面积表!E739</f>
        <v>49.59</v>
      </c>
      <c r="C744" s="3192">
        <f t="shared" si="125"/>
        <v>1</v>
      </c>
      <c r="D744" s="2559" t="s">
        <v>4016</v>
      </c>
      <c r="E744" s="3192">
        <f t="shared" si="126"/>
        <v>1</v>
      </c>
      <c r="F744" s="2559" t="s">
        <v>21</v>
      </c>
      <c r="G744" s="3192">
        <f t="shared" si="127"/>
        <v>1</v>
      </c>
      <c r="H744" s="631">
        <v>3</v>
      </c>
      <c r="I744" s="3192">
        <f t="shared" si="128"/>
        <v>1</v>
      </c>
      <c r="J744" s="631"/>
      <c r="K744" s="3192">
        <f t="shared" si="129"/>
        <v>1</v>
      </c>
      <c r="L744" s="631"/>
      <c r="M744" s="3192">
        <f t="shared" si="130"/>
        <v>1</v>
      </c>
      <c r="N744" s="631"/>
      <c r="O744" s="3192">
        <f t="shared" si="131"/>
        <v>1</v>
      </c>
      <c r="P744" s="3194" t="s">
        <v>4044</v>
      </c>
      <c r="Q744" s="3192">
        <f t="shared" si="132"/>
        <v>1.02</v>
      </c>
      <c r="R744" s="3192">
        <f t="shared" ca="1" si="133"/>
        <v>14433</v>
      </c>
      <c r="S744" s="898">
        <f t="shared" ca="1" si="134"/>
        <v>72</v>
      </c>
      <c r="T744" s="3190">
        <f>面积表!A739</f>
        <v>0</v>
      </c>
    </row>
    <row r="745" spans="1:20">
      <c r="A745" s="3169" t="str">
        <f>面积表!D740</f>
        <v>1324</v>
      </c>
      <c r="B745" s="52">
        <f>面积表!E740</f>
        <v>49.28</v>
      </c>
      <c r="C745" s="3192">
        <f t="shared" si="125"/>
        <v>1</v>
      </c>
      <c r="D745" s="2559" t="s">
        <v>4016</v>
      </c>
      <c r="E745" s="3192">
        <f t="shared" si="126"/>
        <v>1</v>
      </c>
      <c r="F745" s="2559" t="s">
        <v>21</v>
      </c>
      <c r="G745" s="3192">
        <f t="shared" si="127"/>
        <v>1</v>
      </c>
      <c r="H745" s="631">
        <v>3</v>
      </c>
      <c r="I745" s="3192">
        <f t="shared" si="128"/>
        <v>1</v>
      </c>
      <c r="J745" s="631"/>
      <c r="K745" s="3192">
        <f t="shared" si="129"/>
        <v>1</v>
      </c>
      <c r="L745" s="631"/>
      <c r="M745" s="3192">
        <f t="shared" si="130"/>
        <v>1</v>
      </c>
      <c r="N745" s="631"/>
      <c r="O745" s="3192">
        <f t="shared" si="131"/>
        <v>1</v>
      </c>
      <c r="P745" s="3194" t="s">
        <v>4044</v>
      </c>
      <c r="Q745" s="3192">
        <f t="shared" si="132"/>
        <v>1.02</v>
      </c>
      <c r="R745" s="3192">
        <f t="shared" ca="1" si="133"/>
        <v>14433</v>
      </c>
      <c r="S745" s="898">
        <f t="shared" ca="1" si="134"/>
        <v>71</v>
      </c>
      <c r="T745" s="3190">
        <f>面积表!A740</f>
        <v>0</v>
      </c>
    </row>
    <row r="746" spans="1:20">
      <c r="A746" s="3169" t="str">
        <f>面积表!D741</f>
        <v>1325</v>
      </c>
      <c r="B746" s="52">
        <f>面积表!E741</f>
        <v>48.41</v>
      </c>
      <c r="C746" s="3192">
        <f t="shared" si="125"/>
        <v>1</v>
      </c>
      <c r="D746" s="2559" t="s">
        <v>4016</v>
      </c>
      <c r="E746" s="3192">
        <f t="shared" si="126"/>
        <v>1</v>
      </c>
      <c r="F746" s="2559" t="s">
        <v>21</v>
      </c>
      <c r="G746" s="3192">
        <f t="shared" si="127"/>
        <v>1</v>
      </c>
      <c r="H746" s="631">
        <v>3</v>
      </c>
      <c r="I746" s="3192">
        <f t="shared" si="128"/>
        <v>1</v>
      </c>
      <c r="J746" s="631"/>
      <c r="K746" s="3192">
        <f t="shared" si="129"/>
        <v>1</v>
      </c>
      <c r="L746" s="631"/>
      <c r="M746" s="3192">
        <f t="shared" si="130"/>
        <v>1</v>
      </c>
      <c r="N746" s="631"/>
      <c r="O746" s="3192">
        <f t="shared" si="131"/>
        <v>1</v>
      </c>
      <c r="P746" s="3194" t="s">
        <v>4044</v>
      </c>
      <c r="Q746" s="3192">
        <f t="shared" si="132"/>
        <v>1.02</v>
      </c>
      <c r="R746" s="3192">
        <f t="shared" ca="1" si="133"/>
        <v>14433</v>
      </c>
      <c r="S746" s="898">
        <f t="shared" ca="1" si="134"/>
        <v>70</v>
      </c>
      <c r="T746" s="3190">
        <f>面积表!A741</f>
        <v>0</v>
      </c>
    </row>
    <row r="747" spans="1:20">
      <c r="A747" s="3169" t="str">
        <f>面积表!D742</f>
        <v>1326</v>
      </c>
      <c r="B747" s="52">
        <f>面积表!E742</f>
        <v>47.44</v>
      </c>
      <c r="C747" s="3192">
        <f t="shared" si="125"/>
        <v>1</v>
      </c>
      <c r="D747" s="2559" t="s">
        <v>4016</v>
      </c>
      <c r="E747" s="3192">
        <f t="shared" si="126"/>
        <v>1</v>
      </c>
      <c r="F747" s="2559" t="s">
        <v>21</v>
      </c>
      <c r="G747" s="3192">
        <f t="shared" si="127"/>
        <v>1</v>
      </c>
      <c r="H747" s="631">
        <v>3</v>
      </c>
      <c r="I747" s="3192">
        <f t="shared" si="128"/>
        <v>1</v>
      </c>
      <c r="J747" s="631"/>
      <c r="K747" s="3192">
        <f t="shared" si="129"/>
        <v>1</v>
      </c>
      <c r="L747" s="631"/>
      <c r="M747" s="3192">
        <f t="shared" si="130"/>
        <v>1</v>
      </c>
      <c r="N747" s="631"/>
      <c r="O747" s="3192">
        <f t="shared" si="131"/>
        <v>1</v>
      </c>
      <c r="P747" s="3194" t="s">
        <v>4044</v>
      </c>
      <c r="Q747" s="3192">
        <f t="shared" si="132"/>
        <v>1.02</v>
      </c>
      <c r="R747" s="3192">
        <f t="shared" ca="1" si="133"/>
        <v>14433</v>
      </c>
      <c r="S747" s="898">
        <f t="shared" ca="1" si="134"/>
        <v>68</v>
      </c>
      <c r="T747" s="3190">
        <f>面积表!A742</f>
        <v>0</v>
      </c>
    </row>
    <row r="748" spans="1:20">
      <c r="A748" s="3169" t="str">
        <f>面积表!D743</f>
        <v>1401</v>
      </c>
      <c r="B748" s="52">
        <f>面积表!E743</f>
        <v>52.2</v>
      </c>
      <c r="C748" s="3192">
        <f t="shared" si="125"/>
        <v>1</v>
      </c>
      <c r="D748" s="2559" t="s">
        <v>4016</v>
      </c>
      <c r="E748" s="3192">
        <f t="shared" si="126"/>
        <v>1</v>
      </c>
      <c r="F748" s="2559" t="s">
        <v>21</v>
      </c>
      <c r="G748" s="3192">
        <f t="shared" si="127"/>
        <v>1</v>
      </c>
      <c r="H748" s="631">
        <v>3</v>
      </c>
      <c r="I748" s="3192">
        <f t="shared" si="128"/>
        <v>1</v>
      </c>
      <c r="J748" s="631"/>
      <c r="K748" s="3192">
        <f t="shared" si="129"/>
        <v>1</v>
      </c>
      <c r="L748" s="631"/>
      <c r="M748" s="3192">
        <f t="shared" si="130"/>
        <v>1</v>
      </c>
      <c r="N748" s="631"/>
      <c r="O748" s="3192">
        <f t="shared" si="131"/>
        <v>1</v>
      </c>
      <c r="P748" s="3194" t="s">
        <v>4044</v>
      </c>
      <c r="Q748" s="3192">
        <f t="shared" si="132"/>
        <v>1.02</v>
      </c>
      <c r="R748" s="3192">
        <f t="shared" ca="1" si="133"/>
        <v>14433</v>
      </c>
      <c r="S748" s="898">
        <f t="shared" ca="1" si="134"/>
        <v>75</v>
      </c>
      <c r="T748" s="3190">
        <f>面积表!A743</f>
        <v>0</v>
      </c>
    </row>
    <row r="749" spans="1:20">
      <c r="A749" s="3169" t="str">
        <f>面积表!D744</f>
        <v>1402</v>
      </c>
      <c r="B749" s="52">
        <f>面积表!E744</f>
        <v>50.33</v>
      </c>
      <c r="C749" s="3192">
        <f t="shared" si="125"/>
        <v>1</v>
      </c>
      <c r="D749" s="2559" t="s">
        <v>4016</v>
      </c>
      <c r="E749" s="3192">
        <f t="shared" si="126"/>
        <v>1</v>
      </c>
      <c r="F749" s="2559" t="s">
        <v>21</v>
      </c>
      <c r="G749" s="3192">
        <f t="shared" si="127"/>
        <v>1</v>
      </c>
      <c r="H749" s="631">
        <v>3</v>
      </c>
      <c r="I749" s="3192">
        <f t="shared" si="128"/>
        <v>1</v>
      </c>
      <c r="J749" s="631"/>
      <c r="K749" s="3192">
        <f t="shared" si="129"/>
        <v>1</v>
      </c>
      <c r="L749" s="631"/>
      <c r="M749" s="3192">
        <f t="shared" si="130"/>
        <v>1</v>
      </c>
      <c r="N749" s="631"/>
      <c r="O749" s="3192">
        <f t="shared" si="131"/>
        <v>1</v>
      </c>
      <c r="P749" s="3194" t="s">
        <v>4044</v>
      </c>
      <c r="Q749" s="3192">
        <f t="shared" si="132"/>
        <v>1.02</v>
      </c>
      <c r="R749" s="3192">
        <f t="shared" ca="1" si="133"/>
        <v>14433</v>
      </c>
      <c r="S749" s="898">
        <f t="shared" ca="1" si="134"/>
        <v>73</v>
      </c>
      <c r="T749" s="3190">
        <f>面积表!A744</f>
        <v>0</v>
      </c>
    </row>
    <row r="750" spans="1:20">
      <c r="A750" s="3169" t="str">
        <f>面积表!D745</f>
        <v>1403</v>
      </c>
      <c r="B750" s="52">
        <f>面积表!E745</f>
        <v>50.33</v>
      </c>
      <c r="C750" s="3192">
        <f t="shared" si="125"/>
        <v>1</v>
      </c>
      <c r="D750" s="2559" t="s">
        <v>4016</v>
      </c>
      <c r="E750" s="3192">
        <f t="shared" si="126"/>
        <v>1</v>
      </c>
      <c r="F750" s="2559" t="s">
        <v>21</v>
      </c>
      <c r="G750" s="3192">
        <f t="shared" si="127"/>
        <v>1</v>
      </c>
      <c r="H750" s="631">
        <v>3</v>
      </c>
      <c r="I750" s="3192">
        <f t="shared" si="128"/>
        <v>1</v>
      </c>
      <c r="J750" s="631"/>
      <c r="K750" s="3192">
        <f t="shared" si="129"/>
        <v>1</v>
      </c>
      <c r="L750" s="631"/>
      <c r="M750" s="3192">
        <f t="shared" si="130"/>
        <v>1</v>
      </c>
      <c r="N750" s="631"/>
      <c r="O750" s="3192">
        <f t="shared" si="131"/>
        <v>1</v>
      </c>
      <c r="P750" s="3194" t="s">
        <v>4044</v>
      </c>
      <c r="Q750" s="3192">
        <f t="shared" si="132"/>
        <v>1.02</v>
      </c>
      <c r="R750" s="3192">
        <f t="shared" ca="1" si="133"/>
        <v>14433</v>
      </c>
      <c r="S750" s="898">
        <f t="shared" ca="1" si="134"/>
        <v>73</v>
      </c>
      <c r="T750" s="3190">
        <f>面积表!A745</f>
        <v>0</v>
      </c>
    </row>
    <row r="751" spans="1:20">
      <c r="A751" s="3169" t="str">
        <f>面积表!D746</f>
        <v>1404</v>
      </c>
      <c r="B751" s="52">
        <f>面积表!E746</f>
        <v>50.33</v>
      </c>
      <c r="C751" s="3192">
        <f t="shared" si="125"/>
        <v>1</v>
      </c>
      <c r="D751" s="2559" t="s">
        <v>4016</v>
      </c>
      <c r="E751" s="3192">
        <f t="shared" si="126"/>
        <v>1</v>
      </c>
      <c r="F751" s="2559" t="s">
        <v>21</v>
      </c>
      <c r="G751" s="3192">
        <f t="shared" si="127"/>
        <v>1</v>
      </c>
      <c r="H751" s="631">
        <v>3</v>
      </c>
      <c r="I751" s="3192">
        <f t="shared" si="128"/>
        <v>1</v>
      </c>
      <c r="J751" s="631"/>
      <c r="K751" s="3192">
        <f t="shared" si="129"/>
        <v>1</v>
      </c>
      <c r="L751" s="631"/>
      <c r="M751" s="3192">
        <f t="shared" si="130"/>
        <v>1</v>
      </c>
      <c r="N751" s="631"/>
      <c r="O751" s="3192">
        <f t="shared" si="131"/>
        <v>1</v>
      </c>
      <c r="P751" s="3194" t="s">
        <v>4044</v>
      </c>
      <c r="Q751" s="3192">
        <f t="shared" si="132"/>
        <v>1.02</v>
      </c>
      <c r="R751" s="3192">
        <f t="shared" ca="1" si="133"/>
        <v>14433</v>
      </c>
      <c r="S751" s="898">
        <f t="shared" ca="1" si="134"/>
        <v>73</v>
      </c>
      <c r="T751" s="3190">
        <f>面积表!A746</f>
        <v>0</v>
      </c>
    </row>
    <row r="752" spans="1:20">
      <c r="A752" s="3169" t="str">
        <f>面积表!D747</f>
        <v>1405</v>
      </c>
      <c r="B752" s="52">
        <f>面积表!E747</f>
        <v>50.33</v>
      </c>
      <c r="C752" s="3192">
        <f t="shared" si="125"/>
        <v>1</v>
      </c>
      <c r="D752" s="2559" t="s">
        <v>4016</v>
      </c>
      <c r="E752" s="3192">
        <f t="shared" si="126"/>
        <v>1</v>
      </c>
      <c r="F752" s="2559" t="s">
        <v>21</v>
      </c>
      <c r="G752" s="3192">
        <f t="shared" si="127"/>
        <v>1</v>
      </c>
      <c r="H752" s="631">
        <v>3</v>
      </c>
      <c r="I752" s="3192">
        <f t="shared" si="128"/>
        <v>1</v>
      </c>
      <c r="J752" s="631"/>
      <c r="K752" s="3192">
        <f t="shared" si="129"/>
        <v>1</v>
      </c>
      <c r="L752" s="631"/>
      <c r="M752" s="3192">
        <f t="shared" si="130"/>
        <v>1</v>
      </c>
      <c r="N752" s="631"/>
      <c r="O752" s="3192">
        <f t="shared" si="131"/>
        <v>1</v>
      </c>
      <c r="P752" s="3194" t="s">
        <v>4044</v>
      </c>
      <c r="Q752" s="3192">
        <f t="shared" si="132"/>
        <v>1.02</v>
      </c>
      <c r="R752" s="3192">
        <f t="shared" ca="1" si="133"/>
        <v>14433</v>
      </c>
      <c r="S752" s="898">
        <f t="shared" ca="1" si="134"/>
        <v>73</v>
      </c>
      <c r="T752" s="3190">
        <f>面积表!A747</f>
        <v>0</v>
      </c>
    </row>
    <row r="753" spans="1:20">
      <c r="A753" s="3169" t="str">
        <f>面积表!D748</f>
        <v>1406</v>
      </c>
      <c r="B753" s="52">
        <f>面积表!E748</f>
        <v>50.33</v>
      </c>
      <c r="C753" s="3192">
        <f t="shared" si="125"/>
        <v>1</v>
      </c>
      <c r="D753" s="2559" t="s">
        <v>4016</v>
      </c>
      <c r="E753" s="3192">
        <f t="shared" si="126"/>
        <v>1</v>
      </c>
      <c r="F753" s="2559" t="s">
        <v>21</v>
      </c>
      <c r="G753" s="3192">
        <f t="shared" si="127"/>
        <v>1</v>
      </c>
      <c r="H753" s="631">
        <v>3</v>
      </c>
      <c r="I753" s="3192">
        <f t="shared" si="128"/>
        <v>1</v>
      </c>
      <c r="J753" s="631"/>
      <c r="K753" s="3192">
        <f t="shared" si="129"/>
        <v>1</v>
      </c>
      <c r="L753" s="631"/>
      <c r="M753" s="3192">
        <f t="shared" si="130"/>
        <v>1</v>
      </c>
      <c r="N753" s="631"/>
      <c r="O753" s="3192">
        <f t="shared" si="131"/>
        <v>1</v>
      </c>
      <c r="P753" s="3194" t="s">
        <v>4044</v>
      </c>
      <c r="Q753" s="3192">
        <f t="shared" si="132"/>
        <v>1.02</v>
      </c>
      <c r="R753" s="3192">
        <f t="shared" ca="1" si="133"/>
        <v>14433</v>
      </c>
      <c r="S753" s="898">
        <f t="shared" ca="1" si="134"/>
        <v>73</v>
      </c>
      <c r="T753" s="3190">
        <f>面积表!A748</f>
        <v>0</v>
      </c>
    </row>
    <row r="754" spans="1:20">
      <c r="A754" s="3169" t="str">
        <f>面积表!D749</f>
        <v>1407</v>
      </c>
      <c r="B754" s="52">
        <f>面积表!E749</f>
        <v>50.33</v>
      </c>
      <c r="C754" s="3192">
        <f t="shared" si="125"/>
        <v>1</v>
      </c>
      <c r="D754" s="2559" t="s">
        <v>4016</v>
      </c>
      <c r="E754" s="3192">
        <f t="shared" si="126"/>
        <v>1</v>
      </c>
      <c r="F754" s="2559" t="s">
        <v>21</v>
      </c>
      <c r="G754" s="3192">
        <f t="shared" si="127"/>
        <v>1</v>
      </c>
      <c r="H754" s="631">
        <v>3</v>
      </c>
      <c r="I754" s="3192">
        <f t="shared" si="128"/>
        <v>1</v>
      </c>
      <c r="J754" s="631"/>
      <c r="K754" s="3192">
        <f t="shared" si="129"/>
        <v>1</v>
      </c>
      <c r="L754" s="631"/>
      <c r="M754" s="3192">
        <f t="shared" si="130"/>
        <v>1</v>
      </c>
      <c r="N754" s="631"/>
      <c r="O754" s="3192">
        <f t="shared" si="131"/>
        <v>1</v>
      </c>
      <c r="P754" s="3194" t="s">
        <v>4044</v>
      </c>
      <c r="Q754" s="3192">
        <f t="shared" si="132"/>
        <v>1.02</v>
      </c>
      <c r="R754" s="3192">
        <f t="shared" ca="1" si="133"/>
        <v>14433</v>
      </c>
      <c r="S754" s="898">
        <f t="shared" ca="1" si="134"/>
        <v>73</v>
      </c>
      <c r="T754" s="3190">
        <f>面积表!A749</f>
        <v>0</v>
      </c>
    </row>
    <row r="755" spans="1:20">
      <c r="A755" s="3169" t="str">
        <f>面积表!D750</f>
        <v>1408</v>
      </c>
      <c r="B755" s="52">
        <f>面积表!E750</f>
        <v>50.33</v>
      </c>
      <c r="C755" s="3192">
        <f t="shared" si="125"/>
        <v>1</v>
      </c>
      <c r="D755" s="2559" t="s">
        <v>4016</v>
      </c>
      <c r="E755" s="3192">
        <f t="shared" si="126"/>
        <v>1</v>
      </c>
      <c r="F755" s="2559" t="s">
        <v>21</v>
      </c>
      <c r="G755" s="3192">
        <f t="shared" si="127"/>
        <v>1</v>
      </c>
      <c r="H755" s="631">
        <v>3</v>
      </c>
      <c r="I755" s="3192">
        <f t="shared" si="128"/>
        <v>1</v>
      </c>
      <c r="J755" s="631"/>
      <c r="K755" s="3192">
        <f t="shared" si="129"/>
        <v>1</v>
      </c>
      <c r="L755" s="631"/>
      <c r="M755" s="3192">
        <f t="shared" si="130"/>
        <v>1</v>
      </c>
      <c r="N755" s="631"/>
      <c r="O755" s="3192">
        <f t="shared" si="131"/>
        <v>1</v>
      </c>
      <c r="P755" s="3194" t="s">
        <v>4044</v>
      </c>
      <c r="Q755" s="3192">
        <f t="shared" si="132"/>
        <v>1.02</v>
      </c>
      <c r="R755" s="3192">
        <f t="shared" ca="1" si="133"/>
        <v>14433</v>
      </c>
      <c r="S755" s="898">
        <f t="shared" ca="1" si="134"/>
        <v>73</v>
      </c>
      <c r="T755" s="3190">
        <f>面积表!A750</f>
        <v>0</v>
      </c>
    </row>
    <row r="756" spans="1:20">
      <c r="A756" s="3169" t="str">
        <f>面积表!D751</f>
        <v>1409</v>
      </c>
      <c r="B756" s="52">
        <f>面积表!E751</f>
        <v>50.33</v>
      </c>
      <c r="C756" s="3192">
        <f t="shared" si="125"/>
        <v>1</v>
      </c>
      <c r="D756" s="2559" t="s">
        <v>4016</v>
      </c>
      <c r="E756" s="3192">
        <f t="shared" si="126"/>
        <v>1</v>
      </c>
      <c r="F756" s="2559" t="s">
        <v>21</v>
      </c>
      <c r="G756" s="3192">
        <f t="shared" si="127"/>
        <v>1</v>
      </c>
      <c r="H756" s="631">
        <v>3</v>
      </c>
      <c r="I756" s="3192">
        <f t="shared" si="128"/>
        <v>1</v>
      </c>
      <c r="J756" s="631"/>
      <c r="K756" s="3192">
        <f t="shared" si="129"/>
        <v>1</v>
      </c>
      <c r="L756" s="631"/>
      <c r="M756" s="3192">
        <f t="shared" si="130"/>
        <v>1</v>
      </c>
      <c r="N756" s="631"/>
      <c r="O756" s="3192">
        <f t="shared" si="131"/>
        <v>1</v>
      </c>
      <c r="P756" s="3194" t="s">
        <v>4044</v>
      </c>
      <c r="Q756" s="3192">
        <f t="shared" si="132"/>
        <v>1.02</v>
      </c>
      <c r="R756" s="3192">
        <f t="shared" ca="1" si="133"/>
        <v>14433</v>
      </c>
      <c r="S756" s="898">
        <f t="shared" ca="1" si="134"/>
        <v>73</v>
      </c>
      <c r="T756" s="3190">
        <f>面积表!A751</f>
        <v>0</v>
      </c>
    </row>
    <row r="757" spans="1:20">
      <c r="A757" s="3169" t="str">
        <f>面积表!D752</f>
        <v>1410</v>
      </c>
      <c r="B757" s="52">
        <f>面积表!E752</f>
        <v>50.33</v>
      </c>
      <c r="C757" s="3192">
        <f t="shared" si="125"/>
        <v>1</v>
      </c>
      <c r="D757" s="2559" t="s">
        <v>4016</v>
      </c>
      <c r="E757" s="3192">
        <f t="shared" si="126"/>
        <v>1</v>
      </c>
      <c r="F757" s="2559" t="s">
        <v>21</v>
      </c>
      <c r="G757" s="3192">
        <f t="shared" si="127"/>
        <v>1</v>
      </c>
      <c r="H757" s="631">
        <v>3</v>
      </c>
      <c r="I757" s="3192">
        <f t="shared" si="128"/>
        <v>1</v>
      </c>
      <c r="J757" s="631"/>
      <c r="K757" s="3192">
        <f t="shared" si="129"/>
        <v>1</v>
      </c>
      <c r="L757" s="631"/>
      <c r="M757" s="3192">
        <f t="shared" si="130"/>
        <v>1</v>
      </c>
      <c r="N757" s="631"/>
      <c r="O757" s="3192">
        <f t="shared" si="131"/>
        <v>1</v>
      </c>
      <c r="P757" s="3194" t="s">
        <v>4044</v>
      </c>
      <c r="Q757" s="3192">
        <f t="shared" si="132"/>
        <v>1.02</v>
      </c>
      <c r="R757" s="3192">
        <f t="shared" ca="1" si="133"/>
        <v>14433</v>
      </c>
      <c r="S757" s="898">
        <f t="shared" ca="1" si="134"/>
        <v>73</v>
      </c>
      <c r="T757" s="3190">
        <f>面积表!A752</f>
        <v>0</v>
      </c>
    </row>
    <row r="758" spans="1:20">
      <c r="A758" s="3169" t="str">
        <f>面积表!D753</f>
        <v>1411</v>
      </c>
      <c r="B758" s="52">
        <f>面积表!E753</f>
        <v>50.33</v>
      </c>
      <c r="C758" s="3192">
        <f t="shared" si="125"/>
        <v>1</v>
      </c>
      <c r="D758" s="2559" t="s">
        <v>4016</v>
      </c>
      <c r="E758" s="3192">
        <f t="shared" si="126"/>
        <v>1</v>
      </c>
      <c r="F758" s="2559" t="s">
        <v>21</v>
      </c>
      <c r="G758" s="3192">
        <f t="shared" si="127"/>
        <v>1</v>
      </c>
      <c r="H758" s="631">
        <v>3</v>
      </c>
      <c r="I758" s="3192">
        <f t="shared" si="128"/>
        <v>1</v>
      </c>
      <c r="J758" s="631"/>
      <c r="K758" s="3192">
        <f t="shared" si="129"/>
        <v>1</v>
      </c>
      <c r="L758" s="631"/>
      <c r="M758" s="3192">
        <f t="shared" si="130"/>
        <v>1</v>
      </c>
      <c r="N758" s="631"/>
      <c r="O758" s="3192">
        <f t="shared" si="131"/>
        <v>1</v>
      </c>
      <c r="P758" s="3194" t="s">
        <v>4044</v>
      </c>
      <c r="Q758" s="3192">
        <f t="shared" si="132"/>
        <v>1.02</v>
      </c>
      <c r="R758" s="3192">
        <f t="shared" ca="1" si="133"/>
        <v>14433</v>
      </c>
      <c r="S758" s="898">
        <f t="shared" ca="1" si="134"/>
        <v>73</v>
      </c>
      <c r="T758" s="3190">
        <f>面积表!A753</f>
        <v>0</v>
      </c>
    </row>
    <row r="759" spans="1:20">
      <c r="A759" s="3169" t="str">
        <f>面积表!D754</f>
        <v>1412</v>
      </c>
      <c r="B759" s="52">
        <f>面积表!E754</f>
        <v>50.33</v>
      </c>
      <c r="C759" s="3192">
        <f t="shared" si="125"/>
        <v>1</v>
      </c>
      <c r="D759" s="2559" t="s">
        <v>4016</v>
      </c>
      <c r="E759" s="3192">
        <f t="shared" si="126"/>
        <v>1</v>
      </c>
      <c r="F759" s="2559" t="s">
        <v>21</v>
      </c>
      <c r="G759" s="3192">
        <f t="shared" si="127"/>
        <v>1</v>
      </c>
      <c r="H759" s="631">
        <v>3</v>
      </c>
      <c r="I759" s="3192">
        <f t="shared" si="128"/>
        <v>1</v>
      </c>
      <c r="J759" s="631"/>
      <c r="K759" s="3192">
        <f t="shared" si="129"/>
        <v>1</v>
      </c>
      <c r="L759" s="631"/>
      <c r="M759" s="3192">
        <f t="shared" si="130"/>
        <v>1</v>
      </c>
      <c r="N759" s="631"/>
      <c r="O759" s="3192">
        <f t="shared" si="131"/>
        <v>1</v>
      </c>
      <c r="P759" s="3194" t="s">
        <v>4044</v>
      </c>
      <c r="Q759" s="3192">
        <f t="shared" si="132"/>
        <v>1.02</v>
      </c>
      <c r="R759" s="3192">
        <f t="shared" ca="1" si="133"/>
        <v>14433</v>
      </c>
      <c r="S759" s="898">
        <f t="shared" ca="1" si="134"/>
        <v>73</v>
      </c>
      <c r="T759" s="3190">
        <f>面积表!A754</f>
        <v>0</v>
      </c>
    </row>
    <row r="760" spans="1:20">
      <c r="A760" s="3169" t="str">
        <f>面积表!D755</f>
        <v>1413</v>
      </c>
      <c r="B760" s="52">
        <f>面积表!E755</f>
        <v>50.33</v>
      </c>
      <c r="C760" s="3192">
        <f t="shared" si="125"/>
        <v>1</v>
      </c>
      <c r="D760" s="2559" t="s">
        <v>4016</v>
      </c>
      <c r="E760" s="3192">
        <f t="shared" si="126"/>
        <v>1</v>
      </c>
      <c r="F760" s="2559" t="s">
        <v>21</v>
      </c>
      <c r="G760" s="3192">
        <f t="shared" si="127"/>
        <v>1</v>
      </c>
      <c r="H760" s="631">
        <v>3</v>
      </c>
      <c r="I760" s="3192">
        <f t="shared" si="128"/>
        <v>1</v>
      </c>
      <c r="J760" s="631"/>
      <c r="K760" s="3192">
        <f t="shared" si="129"/>
        <v>1</v>
      </c>
      <c r="L760" s="631"/>
      <c r="M760" s="3192">
        <f t="shared" si="130"/>
        <v>1</v>
      </c>
      <c r="N760" s="631"/>
      <c r="O760" s="3192">
        <f t="shared" si="131"/>
        <v>1</v>
      </c>
      <c r="P760" s="3194" t="s">
        <v>4044</v>
      </c>
      <c r="Q760" s="3192">
        <f t="shared" si="132"/>
        <v>1.02</v>
      </c>
      <c r="R760" s="3192">
        <f t="shared" ca="1" si="133"/>
        <v>14433</v>
      </c>
      <c r="S760" s="898">
        <f t="shared" ca="1" si="134"/>
        <v>73</v>
      </c>
      <c r="T760" s="3190">
        <f>面积表!A755</f>
        <v>0</v>
      </c>
    </row>
    <row r="761" spans="1:20">
      <c r="A761" s="3169" t="str">
        <f>面积表!D756</f>
        <v>1414</v>
      </c>
      <c r="B761" s="52">
        <f>面积表!E756</f>
        <v>50.33</v>
      </c>
      <c r="C761" s="3192">
        <f t="shared" si="125"/>
        <v>1</v>
      </c>
      <c r="D761" s="2559" t="s">
        <v>4016</v>
      </c>
      <c r="E761" s="3192">
        <f t="shared" si="126"/>
        <v>1</v>
      </c>
      <c r="F761" s="2559" t="s">
        <v>21</v>
      </c>
      <c r="G761" s="3192">
        <f t="shared" si="127"/>
        <v>1</v>
      </c>
      <c r="H761" s="631">
        <v>3</v>
      </c>
      <c r="I761" s="3192">
        <f t="shared" si="128"/>
        <v>1</v>
      </c>
      <c r="J761" s="631"/>
      <c r="K761" s="3192">
        <f t="shared" si="129"/>
        <v>1</v>
      </c>
      <c r="L761" s="631"/>
      <c r="M761" s="3192">
        <f t="shared" si="130"/>
        <v>1</v>
      </c>
      <c r="N761" s="631"/>
      <c r="O761" s="3192">
        <f t="shared" si="131"/>
        <v>1</v>
      </c>
      <c r="P761" s="3194" t="s">
        <v>4044</v>
      </c>
      <c r="Q761" s="3192">
        <f t="shared" si="132"/>
        <v>1.02</v>
      </c>
      <c r="R761" s="3192">
        <f t="shared" ca="1" si="133"/>
        <v>14433</v>
      </c>
      <c r="S761" s="898">
        <f t="shared" ca="1" si="134"/>
        <v>73</v>
      </c>
      <c r="T761" s="3190">
        <f>面积表!A756</f>
        <v>0</v>
      </c>
    </row>
    <row r="762" spans="1:20">
      <c r="A762" s="3169" t="str">
        <f>面积表!D757</f>
        <v>1415</v>
      </c>
      <c r="B762" s="52">
        <f>面积表!E757</f>
        <v>50.33</v>
      </c>
      <c r="C762" s="3192">
        <f t="shared" si="125"/>
        <v>1</v>
      </c>
      <c r="D762" s="2559" t="s">
        <v>4016</v>
      </c>
      <c r="E762" s="3192">
        <f t="shared" si="126"/>
        <v>1</v>
      </c>
      <c r="F762" s="2559" t="s">
        <v>21</v>
      </c>
      <c r="G762" s="3192">
        <f t="shared" si="127"/>
        <v>1</v>
      </c>
      <c r="H762" s="631">
        <v>3</v>
      </c>
      <c r="I762" s="3192">
        <f t="shared" si="128"/>
        <v>1</v>
      </c>
      <c r="J762" s="631"/>
      <c r="K762" s="3192">
        <f t="shared" si="129"/>
        <v>1</v>
      </c>
      <c r="L762" s="631"/>
      <c r="M762" s="3192">
        <f t="shared" si="130"/>
        <v>1</v>
      </c>
      <c r="N762" s="631"/>
      <c r="O762" s="3192">
        <f t="shared" si="131"/>
        <v>1</v>
      </c>
      <c r="P762" s="3194" t="s">
        <v>4044</v>
      </c>
      <c r="Q762" s="3192">
        <f t="shared" si="132"/>
        <v>1.02</v>
      </c>
      <c r="R762" s="3192">
        <f t="shared" ca="1" si="133"/>
        <v>14433</v>
      </c>
      <c r="S762" s="898">
        <f t="shared" ca="1" si="134"/>
        <v>73</v>
      </c>
      <c r="T762" s="3190">
        <f>面积表!A757</f>
        <v>0</v>
      </c>
    </row>
    <row r="763" spans="1:20">
      <c r="A763" s="3169" t="str">
        <f>面积表!D758</f>
        <v>1416</v>
      </c>
      <c r="B763" s="52">
        <f>面积表!E758</f>
        <v>69.77</v>
      </c>
      <c r="C763" s="3192">
        <f t="shared" si="125"/>
        <v>1.01</v>
      </c>
      <c r="D763" s="2559" t="s">
        <v>4016</v>
      </c>
      <c r="E763" s="3192">
        <f t="shared" si="126"/>
        <v>1</v>
      </c>
      <c r="F763" s="2559" t="s">
        <v>21</v>
      </c>
      <c r="G763" s="3192">
        <f t="shared" si="127"/>
        <v>1</v>
      </c>
      <c r="H763" s="631">
        <v>3</v>
      </c>
      <c r="I763" s="3192">
        <f t="shared" si="128"/>
        <v>1</v>
      </c>
      <c r="J763" s="631"/>
      <c r="K763" s="3192">
        <f t="shared" si="129"/>
        <v>1</v>
      </c>
      <c r="L763" s="631"/>
      <c r="M763" s="3192">
        <f t="shared" si="130"/>
        <v>1</v>
      </c>
      <c r="N763" s="631"/>
      <c r="O763" s="3192">
        <f t="shared" si="131"/>
        <v>1</v>
      </c>
      <c r="P763" s="3194" t="s">
        <v>4044</v>
      </c>
      <c r="Q763" s="3192">
        <f t="shared" si="132"/>
        <v>1.02</v>
      </c>
      <c r="R763" s="3192">
        <f t="shared" ca="1" si="133"/>
        <v>14577</v>
      </c>
      <c r="S763" s="898">
        <f t="shared" ca="1" si="134"/>
        <v>102</v>
      </c>
      <c r="T763" s="3190">
        <f>面积表!A758</f>
        <v>0</v>
      </c>
    </row>
    <row r="764" spans="1:20">
      <c r="A764" s="3169" t="str">
        <f>面积表!D759</f>
        <v>1417</v>
      </c>
      <c r="B764" s="52">
        <f>面积表!E759</f>
        <v>38.65</v>
      </c>
      <c r="C764" s="3192">
        <f t="shared" si="125"/>
        <v>1</v>
      </c>
      <c r="D764" s="2559" t="s">
        <v>4016</v>
      </c>
      <c r="E764" s="3192">
        <f t="shared" si="126"/>
        <v>1</v>
      </c>
      <c r="F764" s="2559" t="s">
        <v>21</v>
      </c>
      <c r="G764" s="3192">
        <f t="shared" si="127"/>
        <v>1</v>
      </c>
      <c r="H764" s="631">
        <v>3</v>
      </c>
      <c r="I764" s="3192">
        <f t="shared" si="128"/>
        <v>1</v>
      </c>
      <c r="J764" s="631"/>
      <c r="K764" s="3192">
        <f t="shared" si="129"/>
        <v>1</v>
      </c>
      <c r="L764" s="631"/>
      <c r="M764" s="3192">
        <f t="shared" si="130"/>
        <v>1</v>
      </c>
      <c r="N764" s="631"/>
      <c r="O764" s="3192">
        <f t="shared" si="131"/>
        <v>1</v>
      </c>
      <c r="P764" s="3194" t="s">
        <v>4044</v>
      </c>
      <c r="Q764" s="3192">
        <f t="shared" si="132"/>
        <v>1.02</v>
      </c>
      <c r="R764" s="3192">
        <f t="shared" ca="1" si="133"/>
        <v>14433</v>
      </c>
      <c r="S764" s="898">
        <f t="shared" ca="1" si="134"/>
        <v>56</v>
      </c>
      <c r="T764" s="3190">
        <f>面积表!A759</f>
        <v>0</v>
      </c>
    </row>
    <row r="765" spans="1:20">
      <c r="A765" s="3169" t="str">
        <f>面积表!D760</f>
        <v>1418</v>
      </c>
      <c r="B765" s="52">
        <f>面积表!E760</f>
        <v>41.99</v>
      </c>
      <c r="C765" s="3192">
        <f t="shared" si="125"/>
        <v>1</v>
      </c>
      <c r="D765" s="2559" t="s">
        <v>4016</v>
      </c>
      <c r="E765" s="3192">
        <f t="shared" si="126"/>
        <v>1</v>
      </c>
      <c r="F765" s="2559" t="s">
        <v>21</v>
      </c>
      <c r="G765" s="3192">
        <f t="shared" si="127"/>
        <v>1</v>
      </c>
      <c r="H765" s="631">
        <v>3</v>
      </c>
      <c r="I765" s="3192">
        <f t="shared" si="128"/>
        <v>1</v>
      </c>
      <c r="J765" s="631"/>
      <c r="K765" s="3192">
        <f t="shared" si="129"/>
        <v>1</v>
      </c>
      <c r="L765" s="631"/>
      <c r="M765" s="3192">
        <f t="shared" si="130"/>
        <v>1</v>
      </c>
      <c r="N765" s="631"/>
      <c r="O765" s="3192">
        <f t="shared" si="131"/>
        <v>1</v>
      </c>
      <c r="P765" s="3194" t="s">
        <v>4044</v>
      </c>
      <c r="Q765" s="3192">
        <f t="shared" si="132"/>
        <v>1.02</v>
      </c>
      <c r="R765" s="3192">
        <f t="shared" ca="1" si="133"/>
        <v>14433</v>
      </c>
      <c r="S765" s="898">
        <f t="shared" ca="1" si="134"/>
        <v>61</v>
      </c>
      <c r="T765" s="3190">
        <f>面积表!A760</f>
        <v>0</v>
      </c>
    </row>
    <row r="766" spans="1:20">
      <c r="A766" s="3169" t="str">
        <f>面积表!D761</f>
        <v>1419</v>
      </c>
      <c r="B766" s="52">
        <f>面积表!E761</f>
        <v>44.72</v>
      </c>
      <c r="C766" s="3192">
        <f t="shared" si="125"/>
        <v>1</v>
      </c>
      <c r="D766" s="2559" t="s">
        <v>4016</v>
      </c>
      <c r="E766" s="3192">
        <f t="shared" si="126"/>
        <v>1</v>
      </c>
      <c r="F766" s="2559" t="s">
        <v>21</v>
      </c>
      <c r="G766" s="3192">
        <f t="shared" si="127"/>
        <v>1</v>
      </c>
      <c r="H766" s="631">
        <v>3</v>
      </c>
      <c r="I766" s="3192">
        <f t="shared" si="128"/>
        <v>1</v>
      </c>
      <c r="J766" s="631"/>
      <c r="K766" s="3192">
        <f t="shared" si="129"/>
        <v>1</v>
      </c>
      <c r="L766" s="631"/>
      <c r="M766" s="3192">
        <f t="shared" si="130"/>
        <v>1</v>
      </c>
      <c r="N766" s="631"/>
      <c r="O766" s="3192">
        <f t="shared" si="131"/>
        <v>1</v>
      </c>
      <c r="P766" s="3194" t="s">
        <v>4044</v>
      </c>
      <c r="Q766" s="3192">
        <f t="shared" si="132"/>
        <v>1.02</v>
      </c>
      <c r="R766" s="3192">
        <f t="shared" ca="1" si="133"/>
        <v>14433</v>
      </c>
      <c r="S766" s="898">
        <f t="shared" ca="1" si="134"/>
        <v>65</v>
      </c>
      <c r="T766" s="3190">
        <f>面积表!A761</f>
        <v>0</v>
      </c>
    </row>
    <row r="767" spans="1:20">
      <c r="A767" s="3169" t="str">
        <f>面积表!D762</f>
        <v>1420</v>
      </c>
      <c r="B767" s="52">
        <f>面积表!E762</f>
        <v>46.83</v>
      </c>
      <c r="C767" s="3192">
        <f t="shared" si="125"/>
        <v>1</v>
      </c>
      <c r="D767" s="2559" t="s">
        <v>4016</v>
      </c>
      <c r="E767" s="3192">
        <f t="shared" si="126"/>
        <v>1</v>
      </c>
      <c r="F767" s="2559" t="s">
        <v>21</v>
      </c>
      <c r="G767" s="3192">
        <f t="shared" si="127"/>
        <v>1</v>
      </c>
      <c r="H767" s="631">
        <v>3</v>
      </c>
      <c r="I767" s="3192">
        <f t="shared" si="128"/>
        <v>1</v>
      </c>
      <c r="J767" s="631"/>
      <c r="K767" s="3192">
        <f t="shared" si="129"/>
        <v>1</v>
      </c>
      <c r="L767" s="631"/>
      <c r="M767" s="3192">
        <f t="shared" si="130"/>
        <v>1</v>
      </c>
      <c r="N767" s="631"/>
      <c r="O767" s="3192">
        <f t="shared" si="131"/>
        <v>1</v>
      </c>
      <c r="P767" s="3194" t="s">
        <v>4044</v>
      </c>
      <c r="Q767" s="3192">
        <f t="shared" si="132"/>
        <v>1.02</v>
      </c>
      <c r="R767" s="3192">
        <f t="shared" ca="1" si="133"/>
        <v>14433</v>
      </c>
      <c r="S767" s="898">
        <f t="shared" ca="1" si="134"/>
        <v>68</v>
      </c>
      <c r="T767" s="3190">
        <f>面积表!A762</f>
        <v>0</v>
      </c>
    </row>
    <row r="768" spans="1:20">
      <c r="A768" s="3169" t="str">
        <f>面积表!D763</f>
        <v>1421</v>
      </c>
      <c r="B768" s="52">
        <f>面积表!E763</f>
        <v>48.33</v>
      </c>
      <c r="C768" s="3192">
        <f t="shared" si="125"/>
        <v>1</v>
      </c>
      <c r="D768" s="2559" t="s">
        <v>4016</v>
      </c>
      <c r="E768" s="3192">
        <f t="shared" si="126"/>
        <v>1</v>
      </c>
      <c r="F768" s="2559" t="s">
        <v>21</v>
      </c>
      <c r="G768" s="3192">
        <f t="shared" si="127"/>
        <v>1</v>
      </c>
      <c r="H768" s="631">
        <v>3</v>
      </c>
      <c r="I768" s="3192">
        <f t="shared" si="128"/>
        <v>1</v>
      </c>
      <c r="J768" s="631"/>
      <c r="K768" s="3192">
        <f t="shared" si="129"/>
        <v>1</v>
      </c>
      <c r="L768" s="631"/>
      <c r="M768" s="3192">
        <f t="shared" si="130"/>
        <v>1</v>
      </c>
      <c r="N768" s="631"/>
      <c r="O768" s="3192">
        <f t="shared" si="131"/>
        <v>1</v>
      </c>
      <c r="P768" s="3194" t="s">
        <v>4044</v>
      </c>
      <c r="Q768" s="3192">
        <f t="shared" si="132"/>
        <v>1.02</v>
      </c>
      <c r="R768" s="3192">
        <f t="shared" ca="1" si="133"/>
        <v>14433</v>
      </c>
      <c r="S768" s="898">
        <f t="shared" ca="1" si="134"/>
        <v>70</v>
      </c>
      <c r="T768" s="3190">
        <f>面积表!A763</f>
        <v>0</v>
      </c>
    </row>
    <row r="769" spans="1:20">
      <c r="A769" s="3169" t="str">
        <f>面积表!D764</f>
        <v>1422</v>
      </c>
      <c r="B769" s="52">
        <f>面积表!E764</f>
        <v>49.3</v>
      </c>
      <c r="C769" s="3192">
        <f t="shared" si="125"/>
        <v>1</v>
      </c>
      <c r="D769" s="2559" t="s">
        <v>4016</v>
      </c>
      <c r="E769" s="3192">
        <f t="shared" si="126"/>
        <v>1</v>
      </c>
      <c r="F769" s="2559" t="s">
        <v>21</v>
      </c>
      <c r="G769" s="3192">
        <f t="shared" si="127"/>
        <v>1</v>
      </c>
      <c r="H769" s="631">
        <v>3</v>
      </c>
      <c r="I769" s="3192">
        <f t="shared" si="128"/>
        <v>1</v>
      </c>
      <c r="J769" s="631"/>
      <c r="K769" s="3192">
        <f t="shared" si="129"/>
        <v>1</v>
      </c>
      <c r="L769" s="631"/>
      <c r="M769" s="3192">
        <f t="shared" si="130"/>
        <v>1</v>
      </c>
      <c r="N769" s="631"/>
      <c r="O769" s="3192">
        <f t="shared" si="131"/>
        <v>1</v>
      </c>
      <c r="P769" s="3194" t="s">
        <v>4044</v>
      </c>
      <c r="Q769" s="3192">
        <f t="shared" si="132"/>
        <v>1.02</v>
      </c>
      <c r="R769" s="3192">
        <f t="shared" ca="1" si="133"/>
        <v>14433</v>
      </c>
      <c r="S769" s="898">
        <f t="shared" ca="1" si="134"/>
        <v>71</v>
      </c>
      <c r="T769" s="3190">
        <f>面积表!A764</f>
        <v>0</v>
      </c>
    </row>
    <row r="770" spans="1:20">
      <c r="A770" s="3169" t="str">
        <f>面积表!D765</f>
        <v>1423</v>
      </c>
      <c r="B770" s="52">
        <f>面积表!E765</f>
        <v>49.59</v>
      </c>
      <c r="C770" s="3192">
        <f t="shared" si="125"/>
        <v>1</v>
      </c>
      <c r="D770" s="2559" t="s">
        <v>4016</v>
      </c>
      <c r="E770" s="3192">
        <f t="shared" si="126"/>
        <v>1</v>
      </c>
      <c r="F770" s="2559" t="s">
        <v>21</v>
      </c>
      <c r="G770" s="3192">
        <f t="shared" si="127"/>
        <v>1</v>
      </c>
      <c r="H770" s="631">
        <v>3</v>
      </c>
      <c r="I770" s="3192">
        <f t="shared" si="128"/>
        <v>1</v>
      </c>
      <c r="J770" s="631"/>
      <c r="K770" s="3192">
        <f t="shared" si="129"/>
        <v>1</v>
      </c>
      <c r="L770" s="631"/>
      <c r="M770" s="3192">
        <f t="shared" si="130"/>
        <v>1</v>
      </c>
      <c r="N770" s="631"/>
      <c r="O770" s="3192">
        <f t="shared" si="131"/>
        <v>1</v>
      </c>
      <c r="P770" s="3194" t="s">
        <v>4044</v>
      </c>
      <c r="Q770" s="3192">
        <f t="shared" si="132"/>
        <v>1.02</v>
      </c>
      <c r="R770" s="3192">
        <f t="shared" ca="1" si="133"/>
        <v>14433</v>
      </c>
      <c r="S770" s="898">
        <f t="shared" ca="1" si="134"/>
        <v>72</v>
      </c>
      <c r="T770" s="3190">
        <f>面积表!A765</f>
        <v>0</v>
      </c>
    </row>
    <row r="771" spans="1:20">
      <c r="A771" s="3169" t="str">
        <f>面积表!D766</f>
        <v>1424</v>
      </c>
      <c r="B771" s="52">
        <f>面积表!E766</f>
        <v>49.28</v>
      </c>
      <c r="C771" s="3192">
        <f t="shared" si="125"/>
        <v>1</v>
      </c>
      <c r="D771" s="2559" t="s">
        <v>4016</v>
      </c>
      <c r="E771" s="3192">
        <f t="shared" si="126"/>
        <v>1</v>
      </c>
      <c r="F771" s="2559" t="s">
        <v>21</v>
      </c>
      <c r="G771" s="3192">
        <f t="shared" si="127"/>
        <v>1</v>
      </c>
      <c r="H771" s="631">
        <v>3</v>
      </c>
      <c r="I771" s="3192">
        <f t="shared" si="128"/>
        <v>1</v>
      </c>
      <c r="J771" s="631"/>
      <c r="K771" s="3192">
        <f t="shared" si="129"/>
        <v>1</v>
      </c>
      <c r="L771" s="631"/>
      <c r="M771" s="3192">
        <f t="shared" si="130"/>
        <v>1</v>
      </c>
      <c r="N771" s="631"/>
      <c r="O771" s="3192">
        <f t="shared" si="131"/>
        <v>1</v>
      </c>
      <c r="P771" s="3194" t="s">
        <v>4044</v>
      </c>
      <c r="Q771" s="3192">
        <f t="shared" si="132"/>
        <v>1.02</v>
      </c>
      <c r="R771" s="3192">
        <f t="shared" ca="1" si="133"/>
        <v>14433</v>
      </c>
      <c r="S771" s="898">
        <f t="shared" ca="1" si="134"/>
        <v>71</v>
      </c>
      <c r="T771" s="3190">
        <f>面积表!A766</f>
        <v>0</v>
      </c>
    </row>
    <row r="772" spans="1:20">
      <c r="A772" s="3169" t="str">
        <f>面积表!D767</f>
        <v>1425</v>
      </c>
      <c r="B772" s="52">
        <f>面积表!E767</f>
        <v>48.41</v>
      </c>
      <c r="C772" s="3192">
        <f t="shared" si="125"/>
        <v>1</v>
      </c>
      <c r="D772" s="2559" t="s">
        <v>4016</v>
      </c>
      <c r="E772" s="3192">
        <f t="shared" si="126"/>
        <v>1</v>
      </c>
      <c r="F772" s="2559" t="s">
        <v>21</v>
      </c>
      <c r="G772" s="3192">
        <f t="shared" si="127"/>
        <v>1</v>
      </c>
      <c r="H772" s="631">
        <v>3</v>
      </c>
      <c r="I772" s="3192">
        <f t="shared" si="128"/>
        <v>1</v>
      </c>
      <c r="J772" s="631"/>
      <c r="K772" s="3192">
        <f t="shared" si="129"/>
        <v>1</v>
      </c>
      <c r="L772" s="631"/>
      <c r="M772" s="3192">
        <f t="shared" si="130"/>
        <v>1</v>
      </c>
      <c r="N772" s="631"/>
      <c r="O772" s="3192">
        <f t="shared" si="131"/>
        <v>1</v>
      </c>
      <c r="P772" s="3194" t="s">
        <v>4044</v>
      </c>
      <c r="Q772" s="3192">
        <f t="shared" si="132"/>
        <v>1.02</v>
      </c>
      <c r="R772" s="3192">
        <f t="shared" ca="1" si="133"/>
        <v>14433</v>
      </c>
      <c r="S772" s="898">
        <f t="shared" ca="1" si="134"/>
        <v>70</v>
      </c>
      <c r="T772" s="3190">
        <f>面积表!A767</f>
        <v>0</v>
      </c>
    </row>
    <row r="773" spans="1:20">
      <c r="A773" s="3169" t="str">
        <f>面积表!D768</f>
        <v>1426</v>
      </c>
      <c r="B773" s="52">
        <f>面积表!E768</f>
        <v>47.44</v>
      </c>
      <c r="C773" s="3192">
        <f t="shared" si="125"/>
        <v>1</v>
      </c>
      <c r="D773" s="2559" t="s">
        <v>4016</v>
      </c>
      <c r="E773" s="3192">
        <f t="shared" si="126"/>
        <v>1</v>
      </c>
      <c r="F773" s="2559" t="s">
        <v>21</v>
      </c>
      <c r="G773" s="3192">
        <f t="shared" si="127"/>
        <v>1</v>
      </c>
      <c r="H773" s="631">
        <v>3</v>
      </c>
      <c r="I773" s="3192">
        <f t="shared" si="128"/>
        <v>1</v>
      </c>
      <c r="J773" s="631"/>
      <c r="K773" s="3192">
        <f t="shared" si="129"/>
        <v>1</v>
      </c>
      <c r="L773" s="631"/>
      <c r="M773" s="3192">
        <f t="shared" si="130"/>
        <v>1</v>
      </c>
      <c r="N773" s="631"/>
      <c r="O773" s="3192">
        <f t="shared" si="131"/>
        <v>1</v>
      </c>
      <c r="P773" s="3194" t="s">
        <v>4044</v>
      </c>
      <c r="Q773" s="3192">
        <f t="shared" si="132"/>
        <v>1.02</v>
      </c>
      <c r="R773" s="3192">
        <f t="shared" ca="1" si="133"/>
        <v>14433</v>
      </c>
      <c r="S773" s="898">
        <f t="shared" ca="1" si="134"/>
        <v>68</v>
      </c>
      <c r="T773" s="3190">
        <f>面积表!A768</f>
        <v>0</v>
      </c>
    </row>
    <row r="774" spans="1:20">
      <c r="A774" s="3169" t="str">
        <f>面积表!D769</f>
        <v>1501</v>
      </c>
      <c r="B774" s="52">
        <f>面积表!E769</f>
        <v>52.2</v>
      </c>
      <c r="C774" s="3192">
        <f t="shared" si="125"/>
        <v>1</v>
      </c>
      <c r="D774" s="2559" t="s">
        <v>4016</v>
      </c>
      <c r="E774" s="3192">
        <f t="shared" si="126"/>
        <v>1</v>
      </c>
      <c r="F774" s="2559" t="s">
        <v>21</v>
      </c>
      <c r="G774" s="3192">
        <f t="shared" si="127"/>
        <v>1</v>
      </c>
      <c r="H774" s="631">
        <v>3</v>
      </c>
      <c r="I774" s="3192">
        <f t="shared" si="128"/>
        <v>1</v>
      </c>
      <c r="J774" s="631"/>
      <c r="K774" s="3192">
        <f t="shared" si="129"/>
        <v>1</v>
      </c>
      <c r="L774" s="631"/>
      <c r="M774" s="3192">
        <f t="shared" si="130"/>
        <v>1</v>
      </c>
      <c r="N774" s="631"/>
      <c r="O774" s="3192">
        <f t="shared" si="131"/>
        <v>1</v>
      </c>
      <c r="P774" s="3194" t="s">
        <v>4044</v>
      </c>
      <c r="Q774" s="3192">
        <f t="shared" si="132"/>
        <v>1.02</v>
      </c>
      <c r="R774" s="3192">
        <f t="shared" ca="1" si="133"/>
        <v>14433</v>
      </c>
      <c r="S774" s="898">
        <f t="shared" ca="1" si="134"/>
        <v>75</v>
      </c>
      <c r="T774" s="3190">
        <f>面积表!A769</f>
        <v>0</v>
      </c>
    </row>
    <row r="775" spans="1:20">
      <c r="A775" s="3169" t="str">
        <f>面积表!D770</f>
        <v>1502</v>
      </c>
      <c r="B775" s="52">
        <f>面积表!E770</f>
        <v>50.33</v>
      </c>
      <c r="C775" s="3192">
        <f t="shared" si="125"/>
        <v>1</v>
      </c>
      <c r="D775" s="2559" t="s">
        <v>4016</v>
      </c>
      <c r="E775" s="3192">
        <f t="shared" si="126"/>
        <v>1</v>
      </c>
      <c r="F775" s="2559" t="s">
        <v>21</v>
      </c>
      <c r="G775" s="3192">
        <f t="shared" si="127"/>
        <v>1</v>
      </c>
      <c r="H775" s="631">
        <v>3</v>
      </c>
      <c r="I775" s="3192">
        <f t="shared" si="128"/>
        <v>1</v>
      </c>
      <c r="J775" s="631"/>
      <c r="K775" s="3192">
        <f t="shared" si="129"/>
        <v>1</v>
      </c>
      <c r="L775" s="631"/>
      <c r="M775" s="3192">
        <f t="shared" si="130"/>
        <v>1</v>
      </c>
      <c r="N775" s="631"/>
      <c r="O775" s="3192">
        <f t="shared" si="131"/>
        <v>1</v>
      </c>
      <c r="P775" s="3194" t="s">
        <v>4044</v>
      </c>
      <c r="Q775" s="3192">
        <f t="shared" si="132"/>
        <v>1.02</v>
      </c>
      <c r="R775" s="3192">
        <f t="shared" ca="1" si="133"/>
        <v>14433</v>
      </c>
      <c r="S775" s="898">
        <f t="shared" ca="1" si="134"/>
        <v>73</v>
      </c>
      <c r="T775" s="3190">
        <f>面积表!A770</f>
        <v>0</v>
      </c>
    </row>
    <row r="776" spans="1:20">
      <c r="A776" s="3169" t="str">
        <f>面积表!D771</f>
        <v>1503</v>
      </c>
      <c r="B776" s="52">
        <f>面积表!E771</f>
        <v>50.33</v>
      </c>
      <c r="C776" s="3192">
        <f t="shared" si="125"/>
        <v>1</v>
      </c>
      <c r="D776" s="2559" t="s">
        <v>4016</v>
      </c>
      <c r="E776" s="3192">
        <f t="shared" si="126"/>
        <v>1</v>
      </c>
      <c r="F776" s="2559" t="s">
        <v>21</v>
      </c>
      <c r="G776" s="3192">
        <f t="shared" si="127"/>
        <v>1</v>
      </c>
      <c r="H776" s="631">
        <v>3</v>
      </c>
      <c r="I776" s="3192">
        <f t="shared" si="128"/>
        <v>1</v>
      </c>
      <c r="J776" s="631"/>
      <c r="K776" s="3192">
        <f t="shared" si="129"/>
        <v>1</v>
      </c>
      <c r="L776" s="631"/>
      <c r="M776" s="3192">
        <f t="shared" si="130"/>
        <v>1</v>
      </c>
      <c r="N776" s="631"/>
      <c r="O776" s="3192">
        <f t="shared" si="131"/>
        <v>1</v>
      </c>
      <c r="P776" s="3194" t="s">
        <v>4044</v>
      </c>
      <c r="Q776" s="3192">
        <f t="shared" si="132"/>
        <v>1.02</v>
      </c>
      <c r="R776" s="3192">
        <f t="shared" ca="1" si="133"/>
        <v>14433</v>
      </c>
      <c r="S776" s="898">
        <f t="shared" ca="1" si="134"/>
        <v>73</v>
      </c>
      <c r="T776" s="3190">
        <f>面积表!A771</f>
        <v>0</v>
      </c>
    </row>
    <row r="777" spans="1:20">
      <c r="A777" s="3169" t="str">
        <f>面积表!D772</f>
        <v>1504</v>
      </c>
      <c r="B777" s="52">
        <f>面积表!E772</f>
        <v>50.33</v>
      </c>
      <c r="C777" s="3192">
        <f t="shared" si="125"/>
        <v>1</v>
      </c>
      <c r="D777" s="2559" t="s">
        <v>4016</v>
      </c>
      <c r="E777" s="3192">
        <f t="shared" si="126"/>
        <v>1</v>
      </c>
      <c r="F777" s="2559" t="s">
        <v>21</v>
      </c>
      <c r="G777" s="3192">
        <f t="shared" si="127"/>
        <v>1</v>
      </c>
      <c r="H777" s="631">
        <v>3</v>
      </c>
      <c r="I777" s="3192">
        <f t="shared" si="128"/>
        <v>1</v>
      </c>
      <c r="J777" s="631"/>
      <c r="K777" s="3192">
        <f t="shared" si="129"/>
        <v>1</v>
      </c>
      <c r="L777" s="631"/>
      <c r="M777" s="3192">
        <f t="shared" si="130"/>
        <v>1</v>
      </c>
      <c r="N777" s="631"/>
      <c r="O777" s="3192">
        <f t="shared" si="131"/>
        <v>1</v>
      </c>
      <c r="P777" s="3194" t="s">
        <v>4044</v>
      </c>
      <c r="Q777" s="3192">
        <f t="shared" si="132"/>
        <v>1.02</v>
      </c>
      <c r="R777" s="3192">
        <f t="shared" ca="1" si="133"/>
        <v>14433</v>
      </c>
      <c r="S777" s="898">
        <f t="shared" ca="1" si="134"/>
        <v>73</v>
      </c>
      <c r="T777" s="3190">
        <f>面积表!A772</f>
        <v>0</v>
      </c>
    </row>
    <row r="778" spans="1:20">
      <c r="A778" s="3169" t="str">
        <f>面积表!D773</f>
        <v>1505</v>
      </c>
      <c r="B778" s="52">
        <f>面积表!E773</f>
        <v>50.33</v>
      </c>
      <c r="C778" s="3192">
        <f t="shared" si="125"/>
        <v>1</v>
      </c>
      <c r="D778" s="2559" t="s">
        <v>4016</v>
      </c>
      <c r="E778" s="3192">
        <f t="shared" si="126"/>
        <v>1</v>
      </c>
      <c r="F778" s="2559" t="s">
        <v>21</v>
      </c>
      <c r="G778" s="3192">
        <f t="shared" si="127"/>
        <v>1</v>
      </c>
      <c r="H778" s="631">
        <v>3</v>
      </c>
      <c r="I778" s="3192">
        <f t="shared" si="128"/>
        <v>1</v>
      </c>
      <c r="J778" s="631"/>
      <c r="K778" s="3192">
        <f t="shared" si="129"/>
        <v>1</v>
      </c>
      <c r="L778" s="631"/>
      <c r="M778" s="3192">
        <f t="shared" si="130"/>
        <v>1</v>
      </c>
      <c r="N778" s="631"/>
      <c r="O778" s="3192">
        <f t="shared" si="131"/>
        <v>1</v>
      </c>
      <c r="P778" s="3194" t="s">
        <v>4044</v>
      </c>
      <c r="Q778" s="3192">
        <f t="shared" si="132"/>
        <v>1.02</v>
      </c>
      <c r="R778" s="3192">
        <f t="shared" ca="1" si="133"/>
        <v>14433</v>
      </c>
      <c r="S778" s="898">
        <f t="shared" ca="1" si="134"/>
        <v>73</v>
      </c>
      <c r="T778" s="3190">
        <f>面积表!A773</f>
        <v>0</v>
      </c>
    </row>
    <row r="779" spans="1:20">
      <c r="A779" s="3169" t="str">
        <f>面积表!D774</f>
        <v>1506</v>
      </c>
      <c r="B779" s="52">
        <f>面积表!E774</f>
        <v>50.33</v>
      </c>
      <c r="C779" s="3192">
        <f t="shared" si="125"/>
        <v>1</v>
      </c>
      <c r="D779" s="2559" t="s">
        <v>4016</v>
      </c>
      <c r="E779" s="3192">
        <f t="shared" si="126"/>
        <v>1</v>
      </c>
      <c r="F779" s="2559" t="s">
        <v>21</v>
      </c>
      <c r="G779" s="3192">
        <f t="shared" si="127"/>
        <v>1</v>
      </c>
      <c r="H779" s="631">
        <v>3</v>
      </c>
      <c r="I779" s="3192">
        <f t="shared" si="128"/>
        <v>1</v>
      </c>
      <c r="J779" s="631"/>
      <c r="K779" s="3192">
        <f t="shared" si="129"/>
        <v>1</v>
      </c>
      <c r="L779" s="631"/>
      <c r="M779" s="3192">
        <f t="shared" si="130"/>
        <v>1</v>
      </c>
      <c r="N779" s="631"/>
      <c r="O779" s="3192">
        <f t="shared" si="131"/>
        <v>1</v>
      </c>
      <c r="P779" s="3194" t="s">
        <v>4044</v>
      </c>
      <c r="Q779" s="3192">
        <f t="shared" si="132"/>
        <v>1.02</v>
      </c>
      <c r="R779" s="3192">
        <f t="shared" ca="1" si="133"/>
        <v>14433</v>
      </c>
      <c r="S779" s="898">
        <f t="shared" ca="1" si="134"/>
        <v>73</v>
      </c>
      <c r="T779" s="3190">
        <f>面积表!A774</f>
        <v>0</v>
      </c>
    </row>
    <row r="780" spans="1:20">
      <c r="A780" s="3169" t="str">
        <f>面积表!D775</f>
        <v>1507</v>
      </c>
      <c r="B780" s="52">
        <f>面积表!E775</f>
        <v>50.33</v>
      </c>
      <c r="C780" s="3192">
        <f t="shared" si="125"/>
        <v>1</v>
      </c>
      <c r="D780" s="2559" t="s">
        <v>4016</v>
      </c>
      <c r="E780" s="3192">
        <f t="shared" si="126"/>
        <v>1</v>
      </c>
      <c r="F780" s="2559" t="s">
        <v>21</v>
      </c>
      <c r="G780" s="3192">
        <f t="shared" si="127"/>
        <v>1</v>
      </c>
      <c r="H780" s="631">
        <v>3</v>
      </c>
      <c r="I780" s="3192">
        <f t="shared" si="128"/>
        <v>1</v>
      </c>
      <c r="J780" s="631"/>
      <c r="K780" s="3192">
        <f t="shared" si="129"/>
        <v>1</v>
      </c>
      <c r="L780" s="631"/>
      <c r="M780" s="3192">
        <f t="shared" si="130"/>
        <v>1</v>
      </c>
      <c r="N780" s="631"/>
      <c r="O780" s="3192">
        <f t="shared" si="131"/>
        <v>1</v>
      </c>
      <c r="P780" s="3194" t="s">
        <v>4044</v>
      </c>
      <c r="Q780" s="3192">
        <f t="shared" si="132"/>
        <v>1.02</v>
      </c>
      <c r="R780" s="3192">
        <f t="shared" ca="1" si="133"/>
        <v>14433</v>
      </c>
      <c r="S780" s="898">
        <f t="shared" ca="1" si="134"/>
        <v>73</v>
      </c>
      <c r="T780" s="3190">
        <f>面积表!A775</f>
        <v>0</v>
      </c>
    </row>
    <row r="781" spans="1:20">
      <c r="A781" s="3169" t="str">
        <f>面积表!D776</f>
        <v>1508</v>
      </c>
      <c r="B781" s="52">
        <f>面积表!E776</f>
        <v>50.33</v>
      </c>
      <c r="C781" s="3192">
        <f t="shared" ref="C781:C844" si="135">IF(B781="",1,(LOOKUP(B781,$3:$3,$4:$4)-LOOKUP($B$24,$3:$3,$4:$4)+100)/100)</f>
        <v>1</v>
      </c>
      <c r="D781" s="2559" t="s">
        <v>4016</v>
      </c>
      <c r="E781" s="3192">
        <f t="shared" ref="E781:E844" si="136">(SUMIF($5:$5,D781,$6:$6)-SUMIF($5:$5,$D$24,$6:$6)+100)/100</f>
        <v>1</v>
      </c>
      <c r="F781" s="2559" t="s">
        <v>21</v>
      </c>
      <c r="G781" s="3192">
        <f t="shared" ref="G781:G844" si="137">(SUMIF($7:$7,F781,$8:$8)-SUMIF($7:$7,$F$24,$8:$8)+100)/100</f>
        <v>1</v>
      </c>
      <c r="H781" s="631">
        <v>3</v>
      </c>
      <c r="I781" s="3192">
        <f t="shared" ref="I781:I844" si="138">(SUMIF($9:$9,H781,$10:$10)-SUMIF($9:$9,$H$24,$10:$10)+100)/100</f>
        <v>1</v>
      </c>
      <c r="J781" s="631"/>
      <c r="K781" s="3192">
        <f t="shared" ref="K781:K844" si="139">(SUMIF($11:$11,J781,$12:$12)-SUMIF($11:$11,$J$24,$12:$12)+100)/100</f>
        <v>1</v>
      </c>
      <c r="L781" s="631"/>
      <c r="M781" s="3192">
        <f t="shared" ref="M781:M844" si="140">(SUMIF($13:$13,L781,$14:$14)-SUMIF($13:$13,$L$24,$14:$14)+100)/100</f>
        <v>1</v>
      </c>
      <c r="N781" s="631"/>
      <c r="O781" s="3192">
        <f t="shared" ref="O781:O844" si="141">(SUMIF($15:$15,N781,$16:$16)-SUMIF($15:$15,$N$24,$16:$16)+100)/100</f>
        <v>1</v>
      </c>
      <c r="P781" s="3194" t="s">
        <v>4044</v>
      </c>
      <c r="Q781" s="3192">
        <f t="shared" ref="Q781:Q844" si="142">(SUMIF($17:$17,P781,$18:$18)-SUMIF($17:$17,$P$24,$18:$18)+100)/100</f>
        <v>1.02</v>
      </c>
      <c r="R781" s="3192">
        <f t="shared" ref="R781:R844" ca="1" si="143">IF(B781="",0,ROUND($R$24*C781*E781*G781*I781*K781*M781*O781*Q781,0))</f>
        <v>14433</v>
      </c>
      <c r="S781" s="898">
        <f t="shared" ref="S781:S844" ca="1" si="144">ROUND(R781*B781/10000,0)</f>
        <v>73</v>
      </c>
      <c r="T781" s="3190">
        <f>面积表!A776</f>
        <v>0</v>
      </c>
    </row>
    <row r="782" spans="1:20">
      <c r="A782" s="3169" t="str">
        <f>面积表!D777</f>
        <v>1509</v>
      </c>
      <c r="B782" s="52">
        <f>面积表!E777</f>
        <v>50.33</v>
      </c>
      <c r="C782" s="3192">
        <f t="shared" si="135"/>
        <v>1</v>
      </c>
      <c r="D782" s="2559" t="s">
        <v>4016</v>
      </c>
      <c r="E782" s="3192">
        <f t="shared" si="136"/>
        <v>1</v>
      </c>
      <c r="F782" s="2559" t="s">
        <v>21</v>
      </c>
      <c r="G782" s="3192">
        <f t="shared" si="137"/>
        <v>1</v>
      </c>
      <c r="H782" s="631">
        <v>3</v>
      </c>
      <c r="I782" s="3192">
        <f t="shared" si="138"/>
        <v>1</v>
      </c>
      <c r="J782" s="631"/>
      <c r="K782" s="3192">
        <f t="shared" si="139"/>
        <v>1</v>
      </c>
      <c r="L782" s="631"/>
      <c r="M782" s="3192">
        <f t="shared" si="140"/>
        <v>1</v>
      </c>
      <c r="N782" s="631"/>
      <c r="O782" s="3192">
        <f t="shared" si="141"/>
        <v>1</v>
      </c>
      <c r="P782" s="3194" t="s">
        <v>4044</v>
      </c>
      <c r="Q782" s="3192">
        <f t="shared" si="142"/>
        <v>1.02</v>
      </c>
      <c r="R782" s="3192">
        <f t="shared" ca="1" si="143"/>
        <v>14433</v>
      </c>
      <c r="S782" s="898">
        <f t="shared" ca="1" si="144"/>
        <v>73</v>
      </c>
      <c r="T782" s="3190">
        <f>面积表!A777</f>
        <v>0</v>
      </c>
    </row>
    <row r="783" spans="1:20">
      <c r="A783" s="3169" t="str">
        <f>面积表!D778</f>
        <v>1510</v>
      </c>
      <c r="B783" s="52">
        <f>面积表!E778</f>
        <v>50.33</v>
      </c>
      <c r="C783" s="3192">
        <f t="shared" si="135"/>
        <v>1</v>
      </c>
      <c r="D783" s="2559" t="s">
        <v>4016</v>
      </c>
      <c r="E783" s="3192">
        <f t="shared" si="136"/>
        <v>1</v>
      </c>
      <c r="F783" s="2559" t="s">
        <v>21</v>
      </c>
      <c r="G783" s="3192">
        <f t="shared" si="137"/>
        <v>1</v>
      </c>
      <c r="H783" s="631">
        <v>3</v>
      </c>
      <c r="I783" s="3192">
        <f t="shared" si="138"/>
        <v>1</v>
      </c>
      <c r="J783" s="631"/>
      <c r="K783" s="3192">
        <f t="shared" si="139"/>
        <v>1</v>
      </c>
      <c r="L783" s="631"/>
      <c r="M783" s="3192">
        <f t="shared" si="140"/>
        <v>1</v>
      </c>
      <c r="N783" s="631"/>
      <c r="O783" s="3192">
        <f t="shared" si="141"/>
        <v>1</v>
      </c>
      <c r="P783" s="3194" t="s">
        <v>4044</v>
      </c>
      <c r="Q783" s="3192">
        <f t="shared" si="142"/>
        <v>1.02</v>
      </c>
      <c r="R783" s="3192">
        <f t="shared" ca="1" si="143"/>
        <v>14433</v>
      </c>
      <c r="S783" s="898">
        <f t="shared" ca="1" si="144"/>
        <v>73</v>
      </c>
      <c r="T783" s="3190">
        <f>面积表!A778</f>
        <v>0</v>
      </c>
    </row>
    <row r="784" spans="1:20">
      <c r="A784" s="3169" t="str">
        <f>面积表!D779</f>
        <v>1511</v>
      </c>
      <c r="B784" s="52">
        <f>面积表!E779</f>
        <v>50.33</v>
      </c>
      <c r="C784" s="3192">
        <f t="shared" si="135"/>
        <v>1</v>
      </c>
      <c r="D784" s="2559" t="s">
        <v>4016</v>
      </c>
      <c r="E784" s="3192">
        <f t="shared" si="136"/>
        <v>1</v>
      </c>
      <c r="F784" s="2559" t="s">
        <v>21</v>
      </c>
      <c r="G784" s="3192">
        <f t="shared" si="137"/>
        <v>1</v>
      </c>
      <c r="H784" s="631">
        <v>3</v>
      </c>
      <c r="I784" s="3192">
        <f t="shared" si="138"/>
        <v>1</v>
      </c>
      <c r="J784" s="631"/>
      <c r="K784" s="3192">
        <f t="shared" si="139"/>
        <v>1</v>
      </c>
      <c r="L784" s="631"/>
      <c r="M784" s="3192">
        <f t="shared" si="140"/>
        <v>1</v>
      </c>
      <c r="N784" s="631"/>
      <c r="O784" s="3192">
        <f t="shared" si="141"/>
        <v>1</v>
      </c>
      <c r="P784" s="3194" t="s">
        <v>4044</v>
      </c>
      <c r="Q784" s="3192">
        <f t="shared" si="142"/>
        <v>1.02</v>
      </c>
      <c r="R784" s="3192">
        <f t="shared" ca="1" si="143"/>
        <v>14433</v>
      </c>
      <c r="S784" s="898">
        <f t="shared" ca="1" si="144"/>
        <v>73</v>
      </c>
      <c r="T784" s="3190">
        <f>面积表!A779</f>
        <v>0</v>
      </c>
    </row>
    <row r="785" spans="1:20">
      <c r="A785" s="3169" t="str">
        <f>面积表!D780</f>
        <v>1512</v>
      </c>
      <c r="B785" s="52">
        <f>面积表!E780</f>
        <v>50.33</v>
      </c>
      <c r="C785" s="3192">
        <f t="shared" si="135"/>
        <v>1</v>
      </c>
      <c r="D785" s="2559" t="s">
        <v>4016</v>
      </c>
      <c r="E785" s="3192">
        <f t="shared" si="136"/>
        <v>1</v>
      </c>
      <c r="F785" s="2559" t="s">
        <v>21</v>
      </c>
      <c r="G785" s="3192">
        <f t="shared" si="137"/>
        <v>1</v>
      </c>
      <c r="H785" s="631">
        <v>3</v>
      </c>
      <c r="I785" s="3192">
        <f t="shared" si="138"/>
        <v>1</v>
      </c>
      <c r="J785" s="631"/>
      <c r="K785" s="3192">
        <f t="shared" si="139"/>
        <v>1</v>
      </c>
      <c r="L785" s="631"/>
      <c r="M785" s="3192">
        <f t="shared" si="140"/>
        <v>1</v>
      </c>
      <c r="N785" s="631"/>
      <c r="O785" s="3192">
        <f t="shared" si="141"/>
        <v>1</v>
      </c>
      <c r="P785" s="3194" t="s">
        <v>4044</v>
      </c>
      <c r="Q785" s="3192">
        <f t="shared" si="142"/>
        <v>1.02</v>
      </c>
      <c r="R785" s="3192">
        <f t="shared" ca="1" si="143"/>
        <v>14433</v>
      </c>
      <c r="S785" s="898">
        <f t="shared" ca="1" si="144"/>
        <v>73</v>
      </c>
      <c r="T785" s="3190">
        <f>面积表!A780</f>
        <v>0</v>
      </c>
    </row>
    <row r="786" spans="1:20">
      <c r="A786" s="3169" t="str">
        <f>面积表!D781</f>
        <v>1513</v>
      </c>
      <c r="B786" s="52">
        <f>面积表!E781</f>
        <v>50.33</v>
      </c>
      <c r="C786" s="3192">
        <f t="shared" si="135"/>
        <v>1</v>
      </c>
      <c r="D786" s="2559" t="s">
        <v>4016</v>
      </c>
      <c r="E786" s="3192">
        <f t="shared" si="136"/>
        <v>1</v>
      </c>
      <c r="F786" s="2559" t="s">
        <v>21</v>
      </c>
      <c r="G786" s="3192">
        <f t="shared" si="137"/>
        <v>1</v>
      </c>
      <c r="H786" s="631">
        <v>3</v>
      </c>
      <c r="I786" s="3192">
        <f t="shared" si="138"/>
        <v>1</v>
      </c>
      <c r="J786" s="631"/>
      <c r="K786" s="3192">
        <f t="shared" si="139"/>
        <v>1</v>
      </c>
      <c r="L786" s="631"/>
      <c r="M786" s="3192">
        <f t="shared" si="140"/>
        <v>1</v>
      </c>
      <c r="N786" s="631"/>
      <c r="O786" s="3192">
        <f t="shared" si="141"/>
        <v>1</v>
      </c>
      <c r="P786" s="3194" t="s">
        <v>4044</v>
      </c>
      <c r="Q786" s="3192">
        <f t="shared" si="142"/>
        <v>1.02</v>
      </c>
      <c r="R786" s="3192">
        <f t="shared" ca="1" si="143"/>
        <v>14433</v>
      </c>
      <c r="S786" s="898">
        <f t="shared" ca="1" si="144"/>
        <v>73</v>
      </c>
      <c r="T786" s="3190">
        <f>面积表!A781</f>
        <v>0</v>
      </c>
    </row>
    <row r="787" spans="1:20">
      <c r="A787" s="3169" t="str">
        <f>面积表!D782</f>
        <v>1514</v>
      </c>
      <c r="B787" s="52">
        <f>面积表!E782</f>
        <v>50.33</v>
      </c>
      <c r="C787" s="3192">
        <f t="shared" si="135"/>
        <v>1</v>
      </c>
      <c r="D787" s="2559" t="s">
        <v>4016</v>
      </c>
      <c r="E787" s="3192">
        <f t="shared" si="136"/>
        <v>1</v>
      </c>
      <c r="F787" s="2559" t="s">
        <v>21</v>
      </c>
      <c r="G787" s="3192">
        <f t="shared" si="137"/>
        <v>1</v>
      </c>
      <c r="H787" s="631">
        <v>3</v>
      </c>
      <c r="I787" s="3192">
        <f t="shared" si="138"/>
        <v>1</v>
      </c>
      <c r="J787" s="631"/>
      <c r="K787" s="3192">
        <f t="shared" si="139"/>
        <v>1</v>
      </c>
      <c r="L787" s="631"/>
      <c r="M787" s="3192">
        <f t="shared" si="140"/>
        <v>1</v>
      </c>
      <c r="N787" s="631"/>
      <c r="O787" s="3192">
        <f t="shared" si="141"/>
        <v>1</v>
      </c>
      <c r="P787" s="3194" t="s">
        <v>4044</v>
      </c>
      <c r="Q787" s="3192">
        <f t="shared" si="142"/>
        <v>1.02</v>
      </c>
      <c r="R787" s="3192">
        <f t="shared" ca="1" si="143"/>
        <v>14433</v>
      </c>
      <c r="S787" s="898">
        <f t="shared" ca="1" si="144"/>
        <v>73</v>
      </c>
      <c r="T787" s="3190">
        <f>面积表!A782</f>
        <v>0</v>
      </c>
    </row>
    <row r="788" spans="1:20">
      <c r="A788" s="3169" t="str">
        <f>面积表!D783</f>
        <v>1515</v>
      </c>
      <c r="B788" s="52">
        <f>面积表!E783</f>
        <v>50.33</v>
      </c>
      <c r="C788" s="3192">
        <f t="shared" si="135"/>
        <v>1</v>
      </c>
      <c r="D788" s="2559" t="s">
        <v>4016</v>
      </c>
      <c r="E788" s="3192">
        <f t="shared" si="136"/>
        <v>1</v>
      </c>
      <c r="F788" s="2559" t="s">
        <v>21</v>
      </c>
      <c r="G788" s="3192">
        <f t="shared" si="137"/>
        <v>1</v>
      </c>
      <c r="H788" s="631">
        <v>3</v>
      </c>
      <c r="I788" s="3192">
        <f t="shared" si="138"/>
        <v>1</v>
      </c>
      <c r="J788" s="631"/>
      <c r="K788" s="3192">
        <f t="shared" si="139"/>
        <v>1</v>
      </c>
      <c r="L788" s="631"/>
      <c r="M788" s="3192">
        <f t="shared" si="140"/>
        <v>1</v>
      </c>
      <c r="N788" s="631"/>
      <c r="O788" s="3192">
        <f t="shared" si="141"/>
        <v>1</v>
      </c>
      <c r="P788" s="3194" t="s">
        <v>4044</v>
      </c>
      <c r="Q788" s="3192">
        <f t="shared" si="142"/>
        <v>1.02</v>
      </c>
      <c r="R788" s="3192">
        <f t="shared" ca="1" si="143"/>
        <v>14433</v>
      </c>
      <c r="S788" s="898">
        <f t="shared" ca="1" si="144"/>
        <v>73</v>
      </c>
      <c r="T788" s="3190">
        <f>面积表!A783</f>
        <v>0</v>
      </c>
    </row>
    <row r="789" spans="1:20">
      <c r="A789" s="3169" t="str">
        <f>面积表!D784</f>
        <v>1516</v>
      </c>
      <c r="B789" s="52">
        <f>面积表!E784</f>
        <v>69.77</v>
      </c>
      <c r="C789" s="3192">
        <f t="shared" si="135"/>
        <v>1.01</v>
      </c>
      <c r="D789" s="2559" t="s">
        <v>4016</v>
      </c>
      <c r="E789" s="3192">
        <f t="shared" si="136"/>
        <v>1</v>
      </c>
      <c r="F789" s="2559" t="s">
        <v>21</v>
      </c>
      <c r="G789" s="3192">
        <f t="shared" si="137"/>
        <v>1</v>
      </c>
      <c r="H789" s="631">
        <v>3</v>
      </c>
      <c r="I789" s="3192">
        <f t="shared" si="138"/>
        <v>1</v>
      </c>
      <c r="J789" s="631"/>
      <c r="K789" s="3192">
        <f t="shared" si="139"/>
        <v>1</v>
      </c>
      <c r="L789" s="631"/>
      <c r="M789" s="3192">
        <f t="shared" si="140"/>
        <v>1</v>
      </c>
      <c r="N789" s="631"/>
      <c r="O789" s="3192">
        <f t="shared" si="141"/>
        <v>1</v>
      </c>
      <c r="P789" s="3194" t="s">
        <v>4044</v>
      </c>
      <c r="Q789" s="3192">
        <f t="shared" si="142"/>
        <v>1.02</v>
      </c>
      <c r="R789" s="3192">
        <f t="shared" ca="1" si="143"/>
        <v>14577</v>
      </c>
      <c r="S789" s="898">
        <f t="shared" ca="1" si="144"/>
        <v>102</v>
      </c>
      <c r="T789" s="3190">
        <f>面积表!A784</f>
        <v>0</v>
      </c>
    </row>
    <row r="790" spans="1:20">
      <c r="A790" s="3169" t="str">
        <f>面积表!D785</f>
        <v>1517</v>
      </c>
      <c r="B790" s="52">
        <f>面积表!E785</f>
        <v>38.65</v>
      </c>
      <c r="C790" s="3192">
        <f t="shared" si="135"/>
        <v>1</v>
      </c>
      <c r="D790" s="2559" t="s">
        <v>4016</v>
      </c>
      <c r="E790" s="3192">
        <f t="shared" si="136"/>
        <v>1</v>
      </c>
      <c r="F790" s="2559" t="s">
        <v>21</v>
      </c>
      <c r="G790" s="3192">
        <f t="shared" si="137"/>
        <v>1</v>
      </c>
      <c r="H790" s="631">
        <v>3</v>
      </c>
      <c r="I790" s="3192">
        <f t="shared" si="138"/>
        <v>1</v>
      </c>
      <c r="J790" s="631"/>
      <c r="K790" s="3192">
        <f t="shared" si="139"/>
        <v>1</v>
      </c>
      <c r="L790" s="631"/>
      <c r="M790" s="3192">
        <f t="shared" si="140"/>
        <v>1</v>
      </c>
      <c r="N790" s="631"/>
      <c r="O790" s="3192">
        <f t="shared" si="141"/>
        <v>1</v>
      </c>
      <c r="P790" s="3194" t="s">
        <v>4044</v>
      </c>
      <c r="Q790" s="3192">
        <f t="shared" si="142"/>
        <v>1.02</v>
      </c>
      <c r="R790" s="3192">
        <f t="shared" ca="1" si="143"/>
        <v>14433</v>
      </c>
      <c r="S790" s="898">
        <f t="shared" ca="1" si="144"/>
        <v>56</v>
      </c>
      <c r="T790" s="3190">
        <f>面积表!A785</f>
        <v>0</v>
      </c>
    </row>
    <row r="791" spans="1:20">
      <c r="A791" s="3169" t="str">
        <f>面积表!D786</f>
        <v>1518</v>
      </c>
      <c r="B791" s="52">
        <f>面积表!E786</f>
        <v>41.99</v>
      </c>
      <c r="C791" s="3192">
        <f t="shared" si="135"/>
        <v>1</v>
      </c>
      <c r="D791" s="2559" t="s">
        <v>4016</v>
      </c>
      <c r="E791" s="3192">
        <f t="shared" si="136"/>
        <v>1</v>
      </c>
      <c r="F791" s="2559" t="s">
        <v>21</v>
      </c>
      <c r="G791" s="3192">
        <f t="shared" si="137"/>
        <v>1</v>
      </c>
      <c r="H791" s="631">
        <v>3</v>
      </c>
      <c r="I791" s="3192">
        <f t="shared" si="138"/>
        <v>1</v>
      </c>
      <c r="J791" s="631"/>
      <c r="K791" s="3192">
        <f t="shared" si="139"/>
        <v>1</v>
      </c>
      <c r="L791" s="631"/>
      <c r="M791" s="3192">
        <f t="shared" si="140"/>
        <v>1</v>
      </c>
      <c r="N791" s="631"/>
      <c r="O791" s="3192">
        <f t="shared" si="141"/>
        <v>1</v>
      </c>
      <c r="P791" s="3194" t="s">
        <v>4044</v>
      </c>
      <c r="Q791" s="3192">
        <f t="shared" si="142"/>
        <v>1.02</v>
      </c>
      <c r="R791" s="3192">
        <f t="shared" ca="1" si="143"/>
        <v>14433</v>
      </c>
      <c r="S791" s="898">
        <f t="shared" ca="1" si="144"/>
        <v>61</v>
      </c>
      <c r="T791" s="3190">
        <f>面积表!A786</f>
        <v>0</v>
      </c>
    </row>
    <row r="792" spans="1:20">
      <c r="A792" s="3169" t="str">
        <f>面积表!D787</f>
        <v>1519</v>
      </c>
      <c r="B792" s="52">
        <f>面积表!E787</f>
        <v>44.72</v>
      </c>
      <c r="C792" s="3192">
        <f t="shared" si="135"/>
        <v>1</v>
      </c>
      <c r="D792" s="2559" t="s">
        <v>4016</v>
      </c>
      <c r="E792" s="3192">
        <f t="shared" si="136"/>
        <v>1</v>
      </c>
      <c r="F792" s="2559" t="s">
        <v>21</v>
      </c>
      <c r="G792" s="3192">
        <f t="shared" si="137"/>
        <v>1</v>
      </c>
      <c r="H792" s="631">
        <v>3</v>
      </c>
      <c r="I792" s="3192">
        <f t="shared" si="138"/>
        <v>1</v>
      </c>
      <c r="J792" s="631"/>
      <c r="K792" s="3192">
        <f t="shared" si="139"/>
        <v>1</v>
      </c>
      <c r="L792" s="631"/>
      <c r="M792" s="3192">
        <f t="shared" si="140"/>
        <v>1</v>
      </c>
      <c r="N792" s="631"/>
      <c r="O792" s="3192">
        <f t="shared" si="141"/>
        <v>1</v>
      </c>
      <c r="P792" s="3194" t="s">
        <v>4044</v>
      </c>
      <c r="Q792" s="3192">
        <f t="shared" si="142"/>
        <v>1.02</v>
      </c>
      <c r="R792" s="3192">
        <f t="shared" ca="1" si="143"/>
        <v>14433</v>
      </c>
      <c r="S792" s="898">
        <f t="shared" ca="1" si="144"/>
        <v>65</v>
      </c>
      <c r="T792" s="3190">
        <f>面积表!A787</f>
        <v>0</v>
      </c>
    </row>
    <row r="793" spans="1:20">
      <c r="A793" s="3169" t="str">
        <f>面积表!D788</f>
        <v>1520</v>
      </c>
      <c r="B793" s="52">
        <f>面积表!E788</f>
        <v>46.83</v>
      </c>
      <c r="C793" s="3192">
        <f t="shared" si="135"/>
        <v>1</v>
      </c>
      <c r="D793" s="2559" t="s">
        <v>4016</v>
      </c>
      <c r="E793" s="3192">
        <f t="shared" si="136"/>
        <v>1</v>
      </c>
      <c r="F793" s="2559" t="s">
        <v>21</v>
      </c>
      <c r="G793" s="3192">
        <f t="shared" si="137"/>
        <v>1</v>
      </c>
      <c r="H793" s="631">
        <v>3</v>
      </c>
      <c r="I793" s="3192">
        <f t="shared" si="138"/>
        <v>1</v>
      </c>
      <c r="J793" s="631"/>
      <c r="K793" s="3192">
        <f t="shared" si="139"/>
        <v>1</v>
      </c>
      <c r="L793" s="631"/>
      <c r="M793" s="3192">
        <f t="shared" si="140"/>
        <v>1</v>
      </c>
      <c r="N793" s="631"/>
      <c r="O793" s="3192">
        <f t="shared" si="141"/>
        <v>1</v>
      </c>
      <c r="P793" s="3194" t="s">
        <v>4044</v>
      </c>
      <c r="Q793" s="3192">
        <f t="shared" si="142"/>
        <v>1.02</v>
      </c>
      <c r="R793" s="3192">
        <f t="shared" ca="1" si="143"/>
        <v>14433</v>
      </c>
      <c r="S793" s="898">
        <f t="shared" ca="1" si="144"/>
        <v>68</v>
      </c>
      <c r="T793" s="3190">
        <f>面积表!A788</f>
        <v>0</v>
      </c>
    </row>
    <row r="794" spans="1:20">
      <c r="A794" s="3169" t="str">
        <f>面积表!D789</f>
        <v>1521</v>
      </c>
      <c r="B794" s="52">
        <f>面积表!E789</f>
        <v>48.33</v>
      </c>
      <c r="C794" s="3192">
        <f t="shared" si="135"/>
        <v>1</v>
      </c>
      <c r="D794" s="2559" t="s">
        <v>4016</v>
      </c>
      <c r="E794" s="3192">
        <f t="shared" si="136"/>
        <v>1</v>
      </c>
      <c r="F794" s="2559" t="s">
        <v>21</v>
      </c>
      <c r="G794" s="3192">
        <f t="shared" si="137"/>
        <v>1</v>
      </c>
      <c r="H794" s="631">
        <v>3</v>
      </c>
      <c r="I794" s="3192">
        <f t="shared" si="138"/>
        <v>1</v>
      </c>
      <c r="J794" s="631"/>
      <c r="K794" s="3192">
        <f t="shared" si="139"/>
        <v>1</v>
      </c>
      <c r="L794" s="631"/>
      <c r="M794" s="3192">
        <f t="shared" si="140"/>
        <v>1</v>
      </c>
      <c r="N794" s="631"/>
      <c r="O794" s="3192">
        <f t="shared" si="141"/>
        <v>1</v>
      </c>
      <c r="P794" s="3194" t="s">
        <v>4044</v>
      </c>
      <c r="Q794" s="3192">
        <f t="shared" si="142"/>
        <v>1.02</v>
      </c>
      <c r="R794" s="3192">
        <f t="shared" ca="1" si="143"/>
        <v>14433</v>
      </c>
      <c r="S794" s="898">
        <f t="shared" ca="1" si="144"/>
        <v>70</v>
      </c>
      <c r="T794" s="3190">
        <f>面积表!A789</f>
        <v>0</v>
      </c>
    </row>
    <row r="795" spans="1:20">
      <c r="A795" s="3169" t="str">
        <f>面积表!D790</f>
        <v>1522</v>
      </c>
      <c r="B795" s="52">
        <f>面积表!E790</f>
        <v>49.3</v>
      </c>
      <c r="C795" s="3192">
        <f t="shared" si="135"/>
        <v>1</v>
      </c>
      <c r="D795" s="2559" t="s">
        <v>4016</v>
      </c>
      <c r="E795" s="3192">
        <f t="shared" si="136"/>
        <v>1</v>
      </c>
      <c r="F795" s="2559" t="s">
        <v>21</v>
      </c>
      <c r="G795" s="3192">
        <f t="shared" si="137"/>
        <v>1</v>
      </c>
      <c r="H795" s="631">
        <v>3</v>
      </c>
      <c r="I795" s="3192">
        <f t="shared" si="138"/>
        <v>1</v>
      </c>
      <c r="J795" s="631"/>
      <c r="K795" s="3192">
        <f t="shared" si="139"/>
        <v>1</v>
      </c>
      <c r="L795" s="631"/>
      <c r="M795" s="3192">
        <f t="shared" si="140"/>
        <v>1</v>
      </c>
      <c r="N795" s="631"/>
      <c r="O795" s="3192">
        <f t="shared" si="141"/>
        <v>1</v>
      </c>
      <c r="P795" s="3194" t="s">
        <v>4044</v>
      </c>
      <c r="Q795" s="3192">
        <f t="shared" si="142"/>
        <v>1.02</v>
      </c>
      <c r="R795" s="3192">
        <f t="shared" ca="1" si="143"/>
        <v>14433</v>
      </c>
      <c r="S795" s="898">
        <f t="shared" ca="1" si="144"/>
        <v>71</v>
      </c>
      <c r="T795" s="3190">
        <f>面积表!A790</f>
        <v>0</v>
      </c>
    </row>
    <row r="796" spans="1:20">
      <c r="A796" s="3169" t="str">
        <f>面积表!D791</f>
        <v>1523</v>
      </c>
      <c r="B796" s="52">
        <f>面积表!E791</f>
        <v>49.59</v>
      </c>
      <c r="C796" s="3192">
        <f t="shared" si="135"/>
        <v>1</v>
      </c>
      <c r="D796" s="2559" t="s">
        <v>4016</v>
      </c>
      <c r="E796" s="3192">
        <f t="shared" si="136"/>
        <v>1</v>
      </c>
      <c r="F796" s="2559" t="s">
        <v>21</v>
      </c>
      <c r="G796" s="3192">
        <f t="shared" si="137"/>
        <v>1</v>
      </c>
      <c r="H796" s="631">
        <v>3</v>
      </c>
      <c r="I796" s="3192">
        <f t="shared" si="138"/>
        <v>1</v>
      </c>
      <c r="J796" s="631"/>
      <c r="K796" s="3192">
        <f t="shared" si="139"/>
        <v>1</v>
      </c>
      <c r="L796" s="631"/>
      <c r="M796" s="3192">
        <f t="shared" si="140"/>
        <v>1</v>
      </c>
      <c r="N796" s="631"/>
      <c r="O796" s="3192">
        <f t="shared" si="141"/>
        <v>1</v>
      </c>
      <c r="P796" s="3194" t="s">
        <v>4044</v>
      </c>
      <c r="Q796" s="3192">
        <f t="shared" si="142"/>
        <v>1.02</v>
      </c>
      <c r="R796" s="3192">
        <f t="shared" ca="1" si="143"/>
        <v>14433</v>
      </c>
      <c r="S796" s="898">
        <f t="shared" ca="1" si="144"/>
        <v>72</v>
      </c>
      <c r="T796" s="3190">
        <f>面积表!A791</f>
        <v>0</v>
      </c>
    </row>
    <row r="797" spans="1:20">
      <c r="A797" s="3169" t="str">
        <f>面积表!D792</f>
        <v>1524</v>
      </c>
      <c r="B797" s="52">
        <f>面积表!E792</f>
        <v>49.28</v>
      </c>
      <c r="C797" s="3192">
        <f t="shared" si="135"/>
        <v>1</v>
      </c>
      <c r="D797" s="2559" t="s">
        <v>4016</v>
      </c>
      <c r="E797" s="3192">
        <f t="shared" si="136"/>
        <v>1</v>
      </c>
      <c r="F797" s="2559" t="s">
        <v>21</v>
      </c>
      <c r="G797" s="3192">
        <f t="shared" si="137"/>
        <v>1</v>
      </c>
      <c r="H797" s="631">
        <v>3</v>
      </c>
      <c r="I797" s="3192">
        <f t="shared" si="138"/>
        <v>1</v>
      </c>
      <c r="J797" s="631"/>
      <c r="K797" s="3192">
        <f t="shared" si="139"/>
        <v>1</v>
      </c>
      <c r="L797" s="631"/>
      <c r="M797" s="3192">
        <f t="shared" si="140"/>
        <v>1</v>
      </c>
      <c r="N797" s="631"/>
      <c r="O797" s="3192">
        <f t="shared" si="141"/>
        <v>1</v>
      </c>
      <c r="P797" s="3194" t="s">
        <v>4044</v>
      </c>
      <c r="Q797" s="3192">
        <f t="shared" si="142"/>
        <v>1.02</v>
      </c>
      <c r="R797" s="3192">
        <f t="shared" ca="1" si="143"/>
        <v>14433</v>
      </c>
      <c r="S797" s="898">
        <f t="shared" ca="1" si="144"/>
        <v>71</v>
      </c>
      <c r="T797" s="3190">
        <f>面积表!A792</f>
        <v>0</v>
      </c>
    </row>
    <row r="798" spans="1:20">
      <c r="A798" s="3169" t="str">
        <f>面积表!D793</f>
        <v>1525</v>
      </c>
      <c r="B798" s="52">
        <f>面积表!E793</f>
        <v>48.41</v>
      </c>
      <c r="C798" s="3192">
        <f t="shared" si="135"/>
        <v>1</v>
      </c>
      <c r="D798" s="2559" t="s">
        <v>4016</v>
      </c>
      <c r="E798" s="3192">
        <f t="shared" si="136"/>
        <v>1</v>
      </c>
      <c r="F798" s="2559" t="s">
        <v>21</v>
      </c>
      <c r="G798" s="3192">
        <f t="shared" si="137"/>
        <v>1</v>
      </c>
      <c r="H798" s="631">
        <v>3</v>
      </c>
      <c r="I798" s="3192">
        <f t="shared" si="138"/>
        <v>1</v>
      </c>
      <c r="J798" s="631"/>
      <c r="K798" s="3192">
        <f t="shared" si="139"/>
        <v>1</v>
      </c>
      <c r="L798" s="631"/>
      <c r="M798" s="3192">
        <f t="shared" si="140"/>
        <v>1</v>
      </c>
      <c r="N798" s="631"/>
      <c r="O798" s="3192">
        <f t="shared" si="141"/>
        <v>1</v>
      </c>
      <c r="P798" s="3194" t="s">
        <v>4044</v>
      </c>
      <c r="Q798" s="3192">
        <f t="shared" si="142"/>
        <v>1.02</v>
      </c>
      <c r="R798" s="3192">
        <f t="shared" ca="1" si="143"/>
        <v>14433</v>
      </c>
      <c r="S798" s="898">
        <f t="shared" ca="1" si="144"/>
        <v>70</v>
      </c>
      <c r="T798" s="3190">
        <f>面积表!A793</f>
        <v>0</v>
      </c>
    </row>
    <row r="799" spans="1:20">
      <c r="A799" s="3169" t="str">
        <f>面积表!D794</f>
        <v>1526</v>
      </c>
      <c r="B799" s="52">
        <f>面积表!E794</f>
        <v>47.44</v>
      </c>
      <c r="C799" s="3192">
        <f t="shared" si="135"/>
        <v>1</v>
      </c>
      <c r="D799" s="2559" t="s">
        <v>4016</v>
      </c>
      <c r="E799" s="3192">
        <f t="shared" si="136"/>
        <v>1</v>
      </c>
      <c r="F799" s="2559" t="s">
        <v>21</v>
      </c>
      <c r="G799" s="3192">
        <f t="shared" si="137"/>
        <v>1</v>
      </c>
      <c r="H799" s="631">
        <v>3</v>
      </c>
      <c r="I799" s="3192">
        <f t="shared" si="138"/>
        <v>1</v>
      </c>
      <c r="J799" s="631"/>
      <c r="K799" s="3192">
        <f t="shared" si="139"/>
        <v>1</v>
      </c>
      <c r="L799" s="631"/>
      <c r="M799" s="3192">
        <f t="shared" si="140"/>
        <v>1</v>
      </c>
      <c r="N799" s="631"/>
      <c r="O799" s="3192">
        <f t="shared" si="141"/>
        <v>1</v>
      </c>
      <c r="P799" s="3194" t="s">
        <v>4044</v>
      </c>
      <c r="Q799" s="3192">
        <f t="shared" si="142"/>
        <v>1.02</v>
      </c>
      <c r="R799" s="3192">
        <f t="shared" ca="1" si="143"/>
        <v>14433</v>
      </c>
      <c r="S799" s="898">
        <f t="shared" ca="1" si="144"/>
        <v>68</v>
      </c>
      <c r="T799" s="3190">
        <f>面积表!A794</f>
        <v>0</v>
      </c>
    </row>
    <row r="800" spans="1:20">
      <c r="A800" s="3169" t="str">
        <f>面积表!D795</f>
        <v>1601</v>
      </c>
      <c r="B800" s="52">
        <f>面积表!E795</f>
        <v>52.2</v>
      </c>
      <c r="C800" s="3192">
        <f t="shared" si="135"/>
        <v>1</v>
      </c>
      <c r="D800" s="2559" t="s">
        <v>4016</v>
      </c>
      <c r="E800" s="3192">
        <f t="shared" si="136"/>
        <v>1</v>
      </c>
      <c r="F800" s="2559" t="s">
        <v>21</v>
      </c>
      <c r="G800" s="3192">
        <f t="shared" si="137"/>
        <v>1</v>
      </c>
      <c r="H800" s="631">
        <v>3</v>
      </c>
      <c r="I800" s="3192">
        <f t="shared" si="138"/>
        <v>1</v>
      </c>
      <c r="J800" s="631"/>
      <c r="K800" s="3192">
        <f t="shared" si="139"/>
        <v>1</v>
      </c>
      <c r="L800" s="631"/>
      <c r="M800" s="3192">
        <f t="shared" si="140"/>
        <v>1</v>
      </c>
      <c r="N800" s="631"/>
      <c r="O800" s="3192">
        <f t="shared" si="141"/>
        <v>1</v>
      </c>
      <c r="P800" s="3194" t="s">
        <v>4044</v>
      </c>
      <c r="Q800" s="3192">
        <f t="shared" si="142"/>
        <v>1.02</v>
      </c>
      <c r="R800" s="3192">
        <f t="shared" ca="1" si="143"/>
        <v>14433</v>
      </c>
      <c r="S800" s="898">
        <f t="shared" ca="1" si="144"/>
        <v>75</v>
      </c>
      <c r="T800" s="3190">
        <f>面积表!A795</f>
        <v>0</v>
      </c>
    </row>
    <row r="801" spans="1:20">
      <c r="A801" s="3169" t="str">
        <f>面积表!D796</f>
        <v>1602</v>
      </c>
      <c r="B801" s="52">
        <f>面积表!E796</f>
        <v>50.33</v>
      </c>
      <c r="C801" s="3192">
        <f t="shared" si="135"/>
        <v>1</v>
      </c>
      <c r="D801" s="2559" t="s">
        <v>4016</v>
      </c>
      <c r="E801" s="3192">
        <f t="shared" si="136"/>
        <v>1</v>
      </c>
      <c r="F801" s="2559" t="s">
        <v>21</v>
      </c>
      <c r="G801" s="3192">
        <f t="shared" si="137"/>
        <v>1</v>
      </c>
      <c r="H801" s="631">
        <v>3</v>
      </c>
      <c r="I801" s="3192">
        <f t="shared" si="138"/>
        <v>1</v>
      </c>
      <c r="J801" s="631"/>
      <c r="K801" s="3192">
        <f t="shared" si="139"/>
        <v>1</v>
      </c>
      <c r="L801" s="631"/>
      <c r="M801" s="3192">
        <f t="shared" si="140"/>
        <v>1</v>
      </c>
      <c r="N801" s="631"/>
      <c r="O801" s="3192">
        <f t="shared" si="141"/>
        <v>1</v>
      </c>
      <c r="P801" s="3194" t="s">
        <v>4044</v>
      </c>
      <c r="Q801" s="3192">
        <f t="shared" si="142"/>
        <v>1.02</v>
      </c>
      <c r="R801" s="3192">
        <f t="shared" ca="1" si="143"/>
        <v>14433</v>
      </c>
      <c r="S801" s="898">
        <f t="shared" ca="1" si="144"/>
        <v>73</v>
      </c>
      <c r="T801" s="3190">
        <f>面积表!A796</f>
        <v>0</v>
      </c>
    </row>
    <row r="802" spans="1:20">
      <c r="A802" s="3169" t="str">
        <f>面积表!D797</f>
        <v>1603</v>
      </c>
      <c r="B802" s="52">
        <f>面积表!E797</f>
        <v>50.33</v>
      </c>
      <c r="C802" s="3192">
        <f t="shared" si="135"/>
        <v>1</v>
      </c>
      <c r="D802" s="2559" t="s">
        <v>4016</v>
      </c>
      <c r="E802" s="3192">
        <f t="shared" si="136"/>
        <v>1</v>
      </c>
      <c r="F802" s="2559" t="s">
        <v>21</v>
      </c>
      <c r="G802" s="3192">
        <f t="shared" si="137"/>
        <v>1</v>
      </c>
      <c r="H802" s="631">
        <v>3</v>
      </c>
      <c r="I802" s="3192">
        <f t="shared" si="138"/>
        <v>1</v>
      </c>
      <c r="J802" s="631"/>
      <c r="K802" s="3192">
        <f t="shared" si="139"/>
        <v>1</v>
      </c>
      <c r="L802" s="631"/>
      <c r="M802" s="3192">
        <f t="shared" si="140"/>
        <v>1</v>
      </c>
      <c r="N802" s="631"/>
      <c r="O802" s="3192">
        <f t="shared" si="141"/>
        <v>1</v>
      </c>
      <c r="P802" s="3194" t="s">
        <v>4044</v>
      </c>
      <c r="Q802" s="3192">
        <f t="shared" si="142"/>
        <v>1.02</v>
      </c>
      <c r="R802" s="3192">
        <f t="shared" ca="1" si="143"/>
        <v>14433</v>
      </c>
      <c r="S802" s="898">
        <f t="shared" ca="1" si="144"/>
        <v>73</v>
      </c>
      <c r="T802" s="3190">
        <f>面积表!A797</f>
        <v>0</v>
      </c>
    </row>
    <row r="803" spans="1:20">
      <c r="A803" s="3169" t="str">
        <f>面积表!D798</f>
        <v>1604</v>
      </c>
      <c r="B803" s="52">
        <f>面积表!E798</f>
        <v>50.33</v>
      </c>
      <c r="C803" s="3192">
        <f t="shared" si="135"/>
        <v>1</v>
      </c>
      <c r="D803" s="2559" t="s">
        <v>4016</v>
      </c>
      <c r="E803" s="3192">
        <f t="shared" si="136"/>
        <v>1</v>
      </c>
      <c r="F803" s="2559" t="s">
        <v>21</v>
      </c>
      <c r="G803" s="3192">
        <f t="shared" si="137"/>
        <v>1</v>
      </c>
      <c r="H803" s="631">
        <v>3</v>
      </c>
      <c r="I803" s="3192">
        <f t="shared" si="138"/>
        <v>1</v>
      </c>
      <c r="J803" s="631"/>
      <c r="K803" s="3192">
        <f t="shared" si="139"/>
        <v>1</v>
      </c>
      <c r="L803" s="631"/>
      <c r="M803" s="3192">
        <f t="shared" si="140"/>
        <v>1</v>
      </c>
      <c r="N803" s="631"/>
      <c r="O803" s="3192">
        <f t="shared" si="141"/>
        <v>1</v>
      </c>
      <c r="P803" s="3194" t="s">
        <v>4044</v>
      </c>
      <c r="Q803" s="3192">
        <f t="shared" si="142"/>
        <v>1.02</v>
      </c>
      <c r="R803" s="3192">
        <f t="shared" ca="1" si="143"/>
        <v>14433</v>
      </c>
      <c r="S803" s="898">
        <f t="shared" ca="1" si="144"/>
        <v>73</v>
      </c>
      <c r="T803" s="3190">
        <f>面积表!A798</f>
        <v>0</v>
      </c>
    </row>
    <row r="804" spans="1:20">
      <c r="A804" s="3169" t="str">
        <f>面积表!D799</f>
        <v>1605</v>
      </c>
      <c r="B804" s="52">
        <f>面积表!E799</f>
        <v>50.33</v>
      </c>
      <c r="C804" s="3192">
        <f t="shared" si="135"/>
        <v>1</v>
      </c>
      <c r="D804" s="2559" t="s">
        <v>4016</v>
      </c>
      <c r="E804" s="3192">
        <f t="shared" si="136"/>
        <v>1</v>
      </c>
      <c r="F804" s="2559" t="s">
        <v>21</v>
      </c>
      <c r="G804" s="3192">
        <f t="shared" si="137"/>
        <v>1</v>
      </c>
      <c r="H804" s="631">
        <v>3</v>
      </c>
      <c r="I804" s="3192">
        <f t="shared" si="138"/>
        <v>1</v>
      </c>
      <c r="J804" s="631"/>
      <c r="K804" s="3192">
        <f t="shared" si="139"/>
        <v>1</v>
      </c>
      <c r="L804" s="631"/>
      <c r="M804" s="3192">
        <f t="shared" si="140"/>
        <v>1</v>
      </c>
      <c r="N804" s="631"/>
      <c r="O804" s="3192">
        <f t="shared" si="141"/>
        <v>1</v>
      </c>
      <c r="P804" s="3194" t="s">
        <v>4044</v>
      </c>
      <c r="Q804" s="3192">
        <f t="shared" si="142"/>
        <v>1.02</v>
      </c>
      <c r="R804" s="3192">
        <f t="shared" ca="1" si="143"/>
        <v>14433</v>
      </c>
      <c r="S804" s="898">
        <f t="shared" ca="1" si="144"/>
        <v>73</v>
      </c>
      <c r="T804" s="3190">
        <f>面积表!A799</f>
        <v>0</v>
      </c>
    </row>
    <row r="805" spans="1:20">
      <c r="A805" s="3169" t="str">
        <f>面积表!D800</f>
        <v>1606</v>
      </c>
      <c r="B805" s="52">
        <f>面积表!E800</f>
        <v>50.33</v>
      </c>
      <c r="C805" s="3192">
        <f t="shared" si="135"/>
        <v>1</v>
      </c>
      <c r="D805" s="2559" t="s">
        <v>4016</v>
      </c>
      <c r="E805" s="3192">
        <f t="shared" si="136"/>
        <v>1</v>
      </c>
      <c r="F805" s="2559" t="s">
        <v>21</v>
      </c>
      <c r="G805" s="3192">
        <f t="shared" si="137"/>
        <v>1</v>
      </c>
      <c r="H805" s="631">
        <v>3</v>
      </c>
      <c r="I805" s="3192">
        <f t="shared" si="138"/>
        <v>1</v>
      </c>
      <c r="J805" s="631"/>
      <c r="K805" s="3192">
        <f t="shared" si="139"/>
        <v>1</v>
      </c>
      <c r="L805" s="631"/>
      <c r="M805" s="3192">
        <f t="shared" si="140"/>
        <v>1</v>
      </c>
      <c r="N805" s="631"/>
      <c r="O805" s="3192">
        <f t="shared" si="141"/>
        <v>1</v>
      </c>
      <c r="P805" s="3194" t="s">
        <v>4044</v>
      </c>
      <c r="Q805" s="3192">
        <f t="shared" si="142"/>
        <v>1.02</v>
      </c>
      <c r="R805" s="3192">
        <f t="shared" ca="1" si="143"/>
        <v>14433</v>
      </c>
      <c r="S805" s="898">
        <f t="shared" ca="1" si="144"/>
        <v>73</v>
      </c>
      <c r="T805" s="3190">
        <f>面积表!A800</f>
        <v>0</v>
      </c>
    </row>
    <row r="806" spans="1:20">
      <c r="A806" s="3169" t="str">
        <f>面积表!D801</f>
        <v>1607</v>
      </c>
      <c r="B806" s="52">
        <f>面积表!E801</f>
        <v>50.33</v>
      </c>
      <c r="C806" s="3192">
        <f t="shared" si="135"/>
        <v>1</v>
      </c>
      <c r="D806" s="2559" t="s">
        <v>4016</v>
      </c>
      <c r="E806" s="3192">
        <f t="shared" si="136"/>
        <v>1</v>
      </c>
      <c r="F806" s="2559" t="s">
        <v>21</v>
      </c>
      <c r="G806" s="3192">
        <f t="shared" si="137"/>
        <v>1</v>
      </c>
      <c r="H806" s="631">
        <v>3</v>
      </c>
      <c r="I806" s="3192">
        <f t="shared" si="138"/>
        <v>1</v>
      </c>
      <c r="J806" s="631"/>
      <c r="K806" s="3192">
        <f t="shared" si="139"/>
        <v>1</v>
      </c>
      <c r="L806" s="631"/>
      <c r="M806" s="3192">
        <f t="shared" si="140"/>
        <v>1</v>
      </c>
      <c r="N806" s="631"/>
      <c r="O806" s="3192">
        <f t="shared" si="141"/>
        <v>1</v>
      </c>
      <c r="P806" s="3194" t="s">
        <v>4044</v>
      </c>
      <c r="Q806" s="3192">
        <f t="shared" si="142"/>
        <v>1.02</v>
      </c>
      <c r="R806" s="3192">
        <f t="shared" ca="1" si="143"/>
        <v>14433</v>
      </c>
      <c r="S806" s="898">
        <f t="shared" ca="1" si="144"/>
        <v>73</v>
      </c>
      <c r="T806" s="3190">
        <f>面积表!A801</f>
        <v>0</v>
      </c>
    </row>
    <row r="807" spans="1:20">
      <c r="A807" s="3169" t="str">
        <f>面积表!D802</f>
        <v>1608</v>
      </c>
      <c r="B807" s="52">
        <f>面积表!E802</f>
        <v>50.33</v>
      </c>
      <c r="C807" s="3192">
        <f t="shared" si="135"/>
        <v>1</v>
      </c>
      <c r="D807" s="2559" t="s">
        <v>4016</v>
      </c>
      <c r="E807" s="3192">
        <f t="shared" si="136"/>
        <v>1</v>
      </c>
      <c r="F807" s="2559" t="s">
        <v>21</v>
      </c>
      <c r="G807" s="3192">
        <f t="shared" si="137"/>
        <v>1</v>
      </c>
      <c r="H807" s="631">
        <v>3</v>
      </c>
      <c r="I807" s="3192">
        <f t="shared" si="138"/>
        <v>1</v>
      </c>
      <c r="J807" s="631"/>
      <c r="K807" s="3192">
        <f t="shared" si="139"/>
        <v>1</v>
      </c>
      <c r="L807" s="631"/>
      <c r="M807" s="3192">
        <f t="shared" si="140"/>
        <v>1</v>
      </c>
      <c r="N807" s="631"/>
      <c r="O807" s="3192">
        <f t="shared" si="141"/>
        <v>1</v>
      </c>
      <c r="P807" s="3194" t="s">
        <v>4044</v>
      </c>
      <c r="Q807" s="3192">
        <f t="shared" si="142"/>
        <v>1.02</v>
      </c>
      <c r="R807" s="3192">
        <f t="shared" ca="1" si="143"/>
        <v>14433</v>
      </c>
      <c r="S807" s="898">
        <f t="shared" ca="1" si="144"/>
        <v>73</v>
      </c>
      <c r="T807" s="3190">
        <f>面积表!A802</f>
        <v>0</v>
      </c>
    </row>
    <row r="808" spans="1:20">
      <c r="A808" s="3169" t="str">
        <f>面积表!D803</f>
        <v>1609</v>
      </c>
      <c r="B808" s="52">
        <f>面积表!E803</f>
        <v>50.33</v>
      </c>
      <c r="C808" s="3192">
        <f t="shared" si="135"/>
        <v>1</v>
      </c>
      <c r="D808" s="2559" t="s">
        <v>4016</v>
      </c>
      <c r="E808" s="3192">
        <f t="shared" si="136"/>
        <v>1</v>
      </c>
      <c r="F808" s="2559" t="s">
        <v>21</v>
      </c>
      <c r="G808" s="3192">
        <f t="shared" si="137"/>
        <v>1</v>
      </c>
      <c r="H808" s="631">
        <v>3</v>
      </c>
      <c r="I808" s="3192">
        <f t="shared" si="138"/>
        <v>1</v>
      </c>
      <c r="J808" s="631"/>
      <c r="K808" s="3192">
        <f t="shared" si="139"/>
        <v>1</v>
      </c>
      <c r="L808" s="631"/>
      <c r="M808" s="3192">
        <f t="shared" si="140"/>
        <v>1</v>
      </c>
      <c r="N808" s="631"/>
      <c r="O808" s="3192">
        <f t="shared" si="141"/>
        <v>1</v>
      </c>
      <c r="P808" s="3194" t="s">
        <v>4044</v>
      </c>
      <c r="Q808" s="3192">
        <f t="shared" si="142"/>
        <v>1.02</v>
      </c>
      <c r="R808" s="3192">
        <f t="shared" ca="1" si="143"/>
        <v>14433</v>
      </c>
      <c r="S808" s="898">
        <f t="shared" ca="1" si="144"/>
        <v>73</v>
      </c>
      <c r="T808" s="3190">
        <f>面积表!A803</f>
        <v>0</v>
      </c>
    </row>
    <row r="809" spans="1:20">
      <c r="A809" s="3169" t="str">
        <f>面积表!D804</f>
        <v>1610</v>
      </c>
      <c r="B809" s="52">
        <f>面积表!E804</f>
        <v>50.33</v>
      </c>
      <c r="C809" s="3192">
        <f t="shared" si="135"/>
        <v>1</v>
      </c>
      <c r="D809" s="2559" t="s">
        <v>4016</v>
      </c>
      <c r="E809" s="3192">
        <f t="shared" si="136"/>
        <v>1</v>
      </c>
      <c r="F809" s="2559" t="s">
        <v>21</v>
      </c>
      <c r="G809" s="3192">
        <f t="shared" si="137"/>
        <v>1</v>
      </c>
      <c r="H809" s="631">
        <v>3</v>
      </c>
      <c r="I809" s="3192">
        <f t="shared" si="138"/>
        <v>1</v>
      </c>
      <c r="J809" s="631"/>
      <c r="K809" s="3192">
        <f t="shared" si="139"/>
        <v>1</v>
      </c>
      <c r="L809" s="631"/>
      <c r="M809" s="3192">
        <f t="shared" si="140"/>
        <v>1</v>
      </c>
      <c r="N809" s="631"/>
      <c r="O809" s="3192">
        <f t="shared" si="141"/>
        <v>1</v>
      </c>
      <c r="P809" s="3194" t="s">
        <v>4044</v>
      </c>
      <c r="Q809" s="3192">
        <f t="shared" si="142"/>
        <v>1.02</v>
      </c>
      <c r="R809" s="3192">
        <f t="shared" ca="1" si="143"/>
        <v>14433</v>
      </c>
      <c r="S809" s="898">
        <f t="shared" ca="1" si="144"/>
        <v>73</v>
      </c>
      <c r="T809" s="3190">
        <f>面积表!A804</f>
        <v>0</v>
      </c>
    </row>
    <row r="810" spans="1:20">
      <c r="A810" s="3169" t="str">
        <f>面积表!D805</f>
        <v>1611</v>
      </c>
      <c r="B810" s="52">
        <f>面积表!E805</f>
        <v>50.33</v>
      </c>
      <c r="C810" s="3192">
        <f t="shared" si="135"/>
        <v>1</v>
      </c>
      <c r="D810" s="2559" t="s">
        <v>4016</v>
      </c>
      <c r="E810" s="3192">
        <f t="shared" si="136"/>
        <v>1</v>
      </c>
      <c r="F810" s="2559" t="s">
        <v>21</v>
      </c>
      <c r="G810" s="3192">
        <f t="shared" si="137"/>
        <v>1</v>
      </c>
      <c r="H810" s="631">
        <v>3</v>
      </c>
      <c r="I810" s="3192">
        <f t="shared" si="138"/>
        <v>1</v>
      </c>
      <c r="J810" s="631"/>
      <c r="K810" s="3192">
        <f t="shared" si="139"/>
        <v>1</v>
      </c>
      <c r="L810" s="631"/>
      <c r="M810" s="3192">
        <f t="shared" si="140"/>
        <v>1</v>
      </c>
      <c r="N810" s="631"/>
      <c r="O810" s="3192">
        <f t="shared" si="141"/>
        <v>1</v>
      </c>
      <c r="P810" s="3194" t="s">
        <v>4044</v>
      </c>
      <c r="Q810" s="3192">
        <f t="shared" si="142"/>
        <v>1.02</v>
      </c>
      <c r="R810" s="3192">
        <f t="shared" ca="1" si="143"/>
        <v>14433</v>
      </c>
      <c r="S810" s="898">
        <f t="shared" ca="1" si="144"/>
        <v>73</v>
      </c>
      <c r="T810" s="3190">
        <f>面积表!A805</f>
        <v>0</v>
      </c>
    </row>
    <row r="811" spans="1:20">
      <c r="A811" s="3169" t="str">
        <f>面积表!D806</f>
        <v>1612</v>
      </c>
      <c r="B811" s="52">
        <f>面积表!E806</f>
        <v>50.33</v>
      </c>
      <c r="C811" s="3192">
        <f t="shared" si="135"/>
        <v>1</v>
      </c>
      <c r="D811" s="2559" t="s">
        <v>4016</v>
      </c>
      <c r="E811" s="3192">
        <f t="shared" si="136"/>
        <v>1</v>
      </c>
      <c r="F811" s="2559" t="s">
        <v>21</v>
      </c>
      <c r="G811" s="3192">
        <f t="shared" si="137"/>
        <v>1</v>
      </c>
      <c r="H811" s="631">
        <v>3</v>
      </c>
      <c r="I811" s="3192">
        <f t="shared" si="138"/>
        <v>1</v>
      </c>
      <c r="J811" s="631"/>
      <c r="K811" s="3192">
        <f t="shared" si="139"/>
        <v>1</v>
      </c>
      <c r="L811" s="631"/>
      <c r="M811" s="3192">
        <f t="shared" si="140"/>
        <v>1</v>
      </c>
      <c r="N811" s="631"/>
      <c r="O811" s="3192">
        <f t="shared" si="141"/>
        <v>1</v>
      </c>
      <c r="P811" s="3194" t="s">
        <v>4044</v>
      </c>
      <c r="Q811" s="3192">
        <f t="shared" si="142"/>
        <v>1.02</v>
      </c>
      <c r="R811" s="3192">
        <f t="shared" ca="1" si="143"/>
        <v>14433</v>
      </c>
      <c r="S811" s="898">
        <f t="shared" ca="1" si="144"/>
        <v>73</v>
      </c>
      <c r="T811" s="3190">
        <f>面积表!A806</f>
        <v>0</v>
      </c>
    </row>
    <row r="812" spans="1:20">
      <c r="A812" s="3169" t="str">
        <f>面积表!D807</f>
        <v>1613</v>
      </c>
      <c r="B812" s="52">
        <f>面积表!E807</f>
        <v>50.33</v>
      </c>
      <c r="C812" s="3192">
        <f t="shared" si="135"/>
        <v>1</v>
      </c>
      <c r="D812" s="2559" t="s">
        <v>4016</v>
      </c>
      <c r="E812" s="3192">
        <f t="shared" si="136"/>
        <v>1</v>
      </c>
      <c r="F812" s="2559" t="s">
        <v>21</v>
      </c>
      <c r="G812" s="3192">
        <f t="shared" si="137"/>
        <v>1</v>
      </c>
      <c r="H812" s="631">
        <v>3</v>
      </c>
      <c r="I812" s="3192">
        <f t="shared" si="138"/>
        <v>1</v>
      </c>
      <c r="J812" s="631"/>
      <c r="K812" s="3192">
        <f t="shared" si="139"/>
        <v>1</v>
      </c>
      <c r="L812" s="631"/>
      <c r="M812" s="3192">
        <f t="shared" si="140"/>
        <v>1</v>
      </c>
      <c r="N812" s="631"/>
      <c r="O812" s="3192">
        <f t="shared" si="141"/>
        <v>1</v>
      </c>
      <c r="P812" s="3194" t="s">
        <v>4044</v>
      </c>
      <c r="Q812" s="3192">
        <f t="shared" si="142"/>
        <v>1.02</v>
      </c>
      <c r="R812" s="3192">
        <f t="shared" ca="1" si="143"/>
        <v>14433</v>
      </c>
      <c r="S812" s="898">
        <f t="shared" ca="1" si="144"/>
        <v>73</v>
      </c>
      <c r="T812" s="3190">
        <f>面积表!A807</f>
        <v>0</v>
      </c>
    </row>
    <row r="813" spans="1:20">
      <c r="A813" s="3169" t="str">
        <f>面积表!D808</f>
        <v>1614</v>
      </c>
      <c r="B813" s="52">
        <f>面积表!E808</f>
        <v>50.33</v>
      </c>
      <c r="C813" s="3192">
        <f t="shared" si="135"/>
        <v>1</v>
      </c>
      <c r="D813" s="2559" t="s">
        <v>4016</v>
      </c>
      <c r="E813" s="3192">
        <f t="shared" si="136"/>
        <v>1</v>
      </c>
      <c r="F813" s="2559" t="s">
        <v>21</v>
      </c>
      <c r="G813" s="3192">
        <f t="shared" si="137"/>
        <v>1</v>
      </c>
      <c r="H813" s="631">
        <v>3</v>
      </c>
      <c r="I813" s="3192">
        <f t="shared" si="138"/>
        <v>1</v>
      </c>
      <c r="J813" s="631"/>
      <c r="K813" s="3192">
        <f t="shared" si="139"/>
        <v>1</v>
      </c>
      <c r="L813" s="631"/>
      <c r="M813" s="3192">
        <f t="shared" si="140"/>
        <v>1</v>
      </c>
      <c r="N813" s="631"/>
      <c r="O813" s="3192">
        <f t="shared" si="141"/>
        <v>1</v>
      </c>
      <c r="P813" s="3194" t="s">
        <v>4044</v>
      </c>
      <c r="Q813" s="3192">
        <f t="shared" si="142"/>
        <v>1.02</v>
      </c>
      <c r="R813" s="3192">
        <f t="shared" ca="1" si="143"/>
        <v>14433</v>
      </c>
      <c r="S813" s="898">
        <f t="shared" ca="1" si="144"/>
        <v>73</v>
      </c>
      <c r="T813" s="3190">
        <f>面积表!A808</f>
        <v>0</v>
      </c>
    </row>
    <row r="814" spans="1:20">
      <c r="A814" s="3169" t="str">
        <f>面积表!D809</f>
        <v>1615</v>
      </c>
      <c r="B814" s="52">
        <f>面积表!E809</f>
        <v>50.33</v>
      </c>
      <c r="C814" s="3192">
        <f t="shared" si="135"/>
        <v>1</v>
      </c>
      <c r="D814" s="2559" t="s">
        <v>4016</v>
      </c>
      <c r="E814" s="3192">
        <f t="shared" si="136"/>
        <v>1</v>
      </c>
      <c r="F814" s="2559" t="s">
        <v>21</v>
      </c>
      <c r="G814" s="3192">
        <f t="shared" si="137"/>
        <v>1</v>
      </c>
      <c r="H814" s="631">
        <v>3</v>
      </c>
      <c r="I814" s="3192">
        <f t="shared" si="138"/>
        <v>1</v>
      </c>
      <c r="J814" s="631"/>
      <c r="K814" s="3192">
        <f t="shared" si="139"/>
        <v>1</v>
      </c>
      <c r="L814" s="631"/>
      <c r="M814" s="3192">
        <f t="shared" si="140"/>
        <v>1</v>
      </c>
      <c r="N814" s="631"/>
      <c r="O814" s="3192">
        <f t="shared" si="141"/>
        <v>1</v>
      </c>
      <c r="P814" s="3194" t="s">
        <v>4044</v>
      </c>
      <c r="Q814" s="3192">
        <f t="shared" si="142"/>
        <v>1.02</v>
      </c>
      <c r="R814" s="3192">
        <f t="shared" ca="1" si="143"/>
        <v>14433</v>
      </c>
      <c r="S814" s="898">
        <f t="shared" ca="1" si="144"/>
        <v>73</v>
      </c>
      <c r="T814" s="3190">
        <f>面积表!A809</f>
        <v>0</v>
      </c>
    </row>
    <row r="815" spans="1:20">
      <c r="A815" s="3169" t="str">
        <f>面积表!D810</f>
        <v>1616</v>
      </c>
      <c r="B815" s="52">
        <f>面积表!E810</f>
        <v>69.77</v>
      </c>
      <c r="C815" s="3192">
        <f t="shared" si="135"/>
        <v>1.01</v>
      </c>
      <c r="D815" s="2559" t="s">
        <v>4016</v>
      </c>
      <c r="E815" s="3192">
        <f t="shared" si="136"/>
        <v>1</v>
      </c>
      <c r="F815" s="2559" t="s">
        <v>21</v>
      </c>
      <c r="G815" s="3192">
        <f t="shared" si="137"/>
        <v>1</v>
      </c>
      <c r="H815" s="631">
        <v>3</v>
      </c>
      <c r="I815" s="3192">
        <f t="shared" si="138"/>
        <v>1</v>
      </c>
      <c r="J815" s="631"/>
      <c r="K815" s="3192">
        <f t="shared" si="139"/>
        <v>1</v>
      </c>
      <c r="L815" s="631"/>
      <c r="M815" s="3192">
        <f t="shared" si="140"/>
        <v>1</v>
      </c>
      <c r="N815" s="631"/>
      <c r="O815" s="3192">
        <f t="shared" si="141"/>
        <v>1</v>
      </c>
      <c r="P815" s="3194" t="s">
        <v>4044</v>
      </c>
      <c r="Q815" s="3192">
        <f t="shared" si="142"/>
        <v>1.02</v>
      </c>
      <c r="R815" s="3192">
        <f t="shared" ca="1" si="143"/>
        <v>14577</v>
      </c>
      <c r="S815" s="898">
        <f t="shared" ca="1" si="144"/>
        <v>102</v>
      </c>
      <c r="T815" s="3190">
        <f>面积表!A810</f>
        <v>0</v>
      </c>
    </row>
    <row r="816" spans="1:20">
      <c r="A816" s="3169" t="str">
        <f>面积表!D811</f>
        <v>1617</v>
      </c>
      <c r="B816" s="52">
        <f>面积表!E811</f>
        <v>38.65</v>
      </c>
      <c r="C816" s="3192">
        <f t="shared" si="135"/>
        <v>1</v>
      </c>
      <c r="D816" s="2559" t="s">
        <v>4016</v>
      </c>
      <c r="E816" s="3192">
        <f t="shared" si="136"/>
        <v>1</v>
      </c>
      <c r="F816" s="2559" t="s">
        <v>21</v>
      </c>
      <c r="G816" s="3192">
        <f t="shared" si="137"/>
        <v>1</v>
      </c>
      <c r="H816" s="631">
        <v>3</v>
      </c>
      <c r="I816" s="3192">
        <f t="shared" si="138"/>
        <v>1</v>
      </c>
      <c r="J816" s="631"/>
      <c r="K816" s="3192">
        <f t="shared" si="139"/>
        <v>1</v>
      </c>
      <c r="L816" s="631"/>
      <c r="M816" s="3192">
        <f t="shared" si="140"/>
        <v>1</v>
      </c>
      <c r="N816" s="631"/>
      <c r="O816" s="3192">
        <f t="shared" si="141"/>
        <v>1</v>
      </c>
      <c r="P816" s="3194" t="s">
        <v>4044</v>
      </c>
      <c r="Q816" s="3192">
        <f t="shared" si="142"/>
        <v>1.02</v>
      </c>
      <c r="R816" s="3192">
        <f t="shared" ca="1" si="143"/>
        <v>14433</v>
      </c>
      <c r="S816" s="898">
        <f t="shared" ca="1" si="144"/>
        <v>56</v>
      </c>
      <c r="T816" s="3190">
        <f>面积表!A811</f>
        <v>0</v>
      </c>
    </row>
    <row r="817" spans="1:20">
      <c r="A817" s="3169" t="str">
        <f>面积表!D812</f>
        <v>1618</v>
      </c>
      <c r="B817" s="52">
        <f>面积表!E812</f>
        <v>41.99</v>
      </c>
      <c r="C817" s="3192">
        <f t="shared" si="135"/>
        <v>1</v>
      </c>
      <c r="D817" s="2559" t="s">
        <v>4016</v>
      </c>
      <c r="E817" s="3192">
        <f t="shared" si="136"/>
        <v>1</v>
      </c>
      <c r="F817" s="2559" t="s">
        <v>21</v>
      </c>
      <c r="G817" s="3192">
        <f t="shared" si="137"/>
        <v>1</v>
      </c>
      <c r="H817" s="631">
        <v>3</v>
      </c>
      <c r="I817" s="3192">
        <f t="shared" si="138"/>
        <v>1</v>
      </c>
      <c r="J817" s="631"/>
      <c r="K817" s="3192">
        <f t="shared" si="139"/>
        <v>1</v>
      </c>
      <c r="L817" s="631"/>
      <c r="M817" s="3192">
        <f t="shared" si="140"/>
        <v>1</v>
      </c>
      <c r="N817" s="631"/>
      <c r="O817" s="3192">
        <f t="shared" si="141"/>
        <v>1</v>
      </c>
      <c r="P817" s="3194" t="s">
        <v>4044</v>
      </c>
      <c r="Q817" s="3192">
        <f t="shared" si="142"/>
        <v>1.02</v>
      </c>
      <c r="R817" s="3192">
        <f t="shared" ca="1" si="143"/>
        <v>14433</v>
      </c>
      <c r="S817" s="898">
        <f t="shared" ca="1" si="144"/>
        <v>61</v>
      </c>
      <c r="T817" s="3190">
        <f>面积表!A812</f>
        <v>0</v>
      </c>
    </row>
    <row r="818" spans="1:20">
      <c r="A818" s="3169" t="str">
        <f>面积表!D813</f>
        <v>1619</v>
      </c>
      <c r="B818" s="52">
        <f>面积表!E813</f>
        <v>44.72</v>
      </c>
      <c r="C818" s="3192">
        <f t="shared" si="135"/>
        <v>1</v>
      </c>
      <c r="D818" s="2559" t="s">
        <v>4016</v>
      </c>
      <c r="E818" s="3192">
        <f t="shared" si="136"/>
        <v>1</v>
      </c>
      <c r="F818" s="2559" t="s">
        <v>21</v>
      </c>
      <c r="G818" s="3192">
        <f t="shared" si="137"/>
        <v>1</v>
      </c>
      <c r="H818" s="631">
        <v>3</v>
      </c>
      <c r="I818" s="3192">
        <f t="shared" si="138"/>
        <v>1</v>
      </c>
      <c r="J818" s="631"/>
      <c r="K818" s="3192">
        <f t="shared" si="139"/>
        <v>1</v>
      </c>
      <c r="L818" s="631"/>
      <c r="M818" s="3192">
        <f t="shared" si="140"/>
        <v>1</v>
      </c>
      <c r="N818" s="631"/>
      <c r="O818" s="3192">
        <f t="shared" si="141"/>
        <v>1</v>
      </c>
      <c r="P818" s="3194" t="s">
        <v>4044</v>
      </c>
      <c r="Q818" s="3192">
        <f t="shared" si="142"/>
        <v>1.02</v>
      </c>
      <c r="R818" s="3192">
        <f t="shared" ca="1" si="143"/>
        <v>14433</v>
      </c>
      <c r="S818" s="898">
        <f t="shared" ca="1" si="144"/>
        <v>65</v>
      </c>
      <c r="T818" s="3190">
        <f>面积表!A813</f>
        <v>0</v>
      </c>
    </row>
    <row r="819" spans="1:20">
      <c r="A819" s="3169" t="str">
        <f>面积表!D814</f>
        <v>1620</v>
      </c>
      <c r="B819" s="52">
        <f>面积表!E814</f>
        <v>46.83</v>
      </c>
      <c r="C819" s="3192">
        <f t="shared" si="135"/>
        <v>1</v>
      </c>
      <c r="D819" s="2559" t="s">
        <v>4016</v>
      </c>
      <c r="E819" s="3192">
        <f t="shared" si="136"/>
        <v>1</v>
      </c>
      <c r="F819" s="2559" t="s">
        <v>21</v>
      </c>
      <c r="G819" s="3192">
        <f t="shared" si="137"/>
        <v>1</v>
      </c>
      <c r="H819" s="631">
        <v>3</v>
      </c>
      <c r="I819" s="3192">
        <f t="shared" si="138"/>
        <v>1</v>
      </c>
      <c r="J819" s="631"/>
      <c r="K819" s="3192">
        <f t="shared" si="139"/>
        <v>1</v>
      </c>
      <c r="L819" s="631"/>
      <c r="M819" s="3192">
        <f t="shared" si="140"/>
        <v>1</v>
      </c>
      <c r="N819" s="631"/>
      <c r="O819" s="3192">
        <f t="shared" si="141"/>
        <v>1</v>
      </c>
      <c r="P819" s="3194" t="s">
        <v>4044</v>
      </c>
      <c r="Q819" s="3192">
        <f t="shared" si="142"/>
        <v>1.02</v>
      </c>
      <c r="R819" s="3192">
        <f t="shared" ca="1" si="143"/>
        <v>14433</v>
      </c>
      <c r="S819" s="898">
        <f t="shared" ca="1" si="144"/>
        <v>68</v>
      </c>
      <c r="T819" s="3190">
        <f>面积表!A814</f>
        <v>0</v>
      </c>
    </row>
    <row r="820" spans="1:20">
      <c r="A820" s="3169" t="str">
        <f>面积表!D815</f>
        <v>1621</v>
      </c>
      <c r="B820" s="52">
        <f>面积表!E815</f>
        <v>48.33</v>
      </c>
      <c r="C820" s="3192">
        <f t="shared" si="135"/>
        <v>1</v>
      </c>
      <c r="D820" s="2559" t="s">
        <v>4016</v>
      </c>
      <c r="E820" s="3192">
        <f t="shared" si="136"/>
        <v>1</v>
      </c>
      <c r="F820" s="2559" t="s">
        <v>21</v>
      </c>
      <c r="G820" s="3192">
        <f t="shared" si="137"/>
        <v>1</v>
      </c>
      <c r="H820" s="631">
        <v>3</v>
      </c>
      <c r="I820" s="3192">
        <f t="shared" si="138"/>
        <v>1</v>
      </c>
      <c r="J820" s="631"/>
      <c r="K820" s="3192">
        <f t="shared" si="139"/>
        <v>1</v>
      </c>
      <c r="L820" s="631"/>
      <c r="M820" s="3192">
        <f t="shared" si="140"/>
        <v>1</v>
      </c>
      <c r="N820" s="631"/>
      <c r="O820" s="3192">
        <f t="shared" si="141"/>
        <v>1</v>
      </c>
      <c r="P820" s="3194" t="s">
        <v>4044</v>
      </c>
      <c r="Q820" s="3192">
        <f t="shared" si="142"/>
        <v>1.02</v>
      </c>
      <c r="R820" s="3192">
        <f t="shared" ca="1" si="143"/>
        <v>14433</v>
      </c>
      <c r="S820" s="898">
        <f t="shared" ca="1" si="144"/>
        <v>70</v>
      </c>
      <c r="T820" s="3190">
        <f>面积表!A815</f>
        <v>0</v>
      </c>
    </row>
    <row r="821" spans="1:20">
      <c r="A821" s="3169" t="str">
        <f>面积表!D816</f>
        <v>1622</v>
      </c>
      <c r="B821" s="52">
        <f>面积表!E816</f>
        <v>49.3</v>
      </c>
      <c r="C821" s="3192">
        <f t="shared" si="135"/>
        <v>1</v>
      </c>
      <c r="D821" s="2559" t="s">
        <v>4016</v>
      </c>
      <c r="E821" s="3192">
        <f t="shared" si="136"/>
        <v>1</v>
      </c>
      <c r="F821" s="2559" t="s">
        <v>21</v>
      </c>
      <c r="G821" s="3192">
        <f t="shared" si="137"/>
        <v>1</v>
      </c>
      <c r="H821" s="631">
        <v>3</v>
      </c>
      <c r="I821" s="3192">
        <f t="shared" si="138"/>
        <v>1</v>
      </c>
      <c r="J821" s="631"/>
      <c r="K821" s="3192">
        <f t="shared" si="139"/>
        <v>1</v>
      </c>
      <c r="L821" s="631"/>
      <c r="M821" s="3192">
        <f t="shared" si="140"/>
        <v>1</v>
      </c>
      <c r="N821" s="631"/>
      <c r="O821" s="3192">
        <f t="shared" si="141"/>
        <v>1</v>
      </c>
      <c r="P821" s="3194" t="s">
        <v>4044</v>
      </c>
      <c r="Q821" s="3192">
        <f t="shared" si="142"/>
        <v>1.02</v>
      </c>
      <c r="R821" s="3192">
        <f t="shared" ca="1" si="143"/>
        <v>14433</v>
      </c>
      <c r="S821" s="898">
        <f t="shared" ca="1" si="144"/>
        <v>71</v>
      </c>
      <c r="T821" s="3190">
        <f>面积表!A816</f>
        <v>0</v>
      </c>
    </row>
    <row r="822" spans="1:20">
      <c r="A822" s="3169" t="str">
        <f>面积表!D817</f>
        <v>1623</v>
      </c>
      <c r="B822" s="52">
        <f>面积表!E817</f>
        <v>49.59</v>
      </c>
      <c r="C822" s="3192">
        <f t="shared" si="135"/>
        <v>1</v>
      </c>
      <c r="D822" s="2559" t="s">
        <v>4016</v>
      </c>
      <c r="E822" s="3192">
        <f t="shared" si="136"/>
        <v>1</v>
      </c>
      <c r="F822" s="2559" t="s">
        <v>21</v>
      </c>
      <c r="G822" s="3192">
        <f t="shared" si="137"/>
        <v>1</v>
      </c>
      <c r="H822" s="631">
        <v>3</v>
      </c>
      <c r="I822" s="3192">
        <f t="shared" si="138"/>
        <v>1</v>
      </c>
      <c r="J822" s="631"/>
      <c r="K822" s="3192">
        <f t="shared" si="139"/>
        <v>1</v>
      </c>
      <c r="L822" s="631"/>
      <c r="M822" s="3192">
        <f t="shared" si="140"/>
        <v>1</v>
      </c>
      <c r="N822" s="631"/>
      <c r="O822" s="3192">
        <f t="shared" si="141"/>
        <v>1</v>
      </c>
      <c r="P822" s="3194" t="s">
        <v>4044</v>
      </c>
      <c r="Q822" s="3192">
        <f t="shared" si="142"/>
        <v>1.02</v>
      </c>
      <c r="R822" s="3192">
        <f t="shared" ca="1" si="143"/>
        <v>14433</v>
      </c>
      <c r="S822" s="898">
        <f t="shared" ca="1" si="144"/>
        <v>72</v>
      </c>
      <c r="T822" s="3190">
        <f>面积表!A817</f>
        <v>0</v>
      </c>
    </row>
    <row r="823" spans="1:20">
      <c r="A823" s="3169" t="str">
        <f>面积表!D818</f>
        <v>1624</v>
      </c>
      <c r="B823" s="52">
        <f>面积表!E818</f>
        <v>49.28</v>
      </c>
      <c r="C823" s="3192">
        <f t="shared" si="135"/>
        <v>1</v>
      </c>
      <c r="D823" s="2559" t="s">
        <v>4016</v>
      </c>
      <c r="E823" s="3192">
        <f t="shared" si="136"/>
        <v>1</v>
      </c>
      <c r="F823" s="2559" t="s">
        <v>21</v>
      </c>
      <c r="G823" s="3192">
        <f t="shared" si="137"/>
        <v>1</v>
      </c>
      <c r="H823" s="631">
        <v>3</v>
      </c>
      <c r="I823" s="3192">
        <f t="shared" si="138"/>
        <v>1</v>
      </c>
      <c r="J823" s="631"/>
      <c r="K823" s="3192">
        <f t="shared" si="139"/>
        <v>1</v>
      </c>
      <c r="L823" s="631"/>
      <c r="M823" s="3192">
        <f t="shared" si="140"/>
        <v>1</v>
      </c>
      <c r="N823" s="631"/>
      <c r="O823" s="3192">
        <f t="shared" si="141"/>
        <v>1</v>
      </c>
      <c r="P823" s="3194" t="s">
        <v>4044</v>
      </c>
      <c r="Q823" s="3192">
        <f t="shared" si="142"/>
        <v>1.02</v>
      </c>
      <c r="R823" s="3192">
        <f t="shared" ca="1" si="143"/>
        <v>14433</v>
      </c>
      <c r="S823" s="898">
        <f t="shared" ca="1" si="144"/>
        <v>71</v>
      </c>
      <c r="T823" s="3190">
        <f>面积表!A818</f>
        <v>0</v>
      </c>
    </row>
    <row r="824" spans="1:20">
      <c r="A824" s="3169" t="str">
        <f>面积表!D819</f>
        <v>1625</v>
      </c>
      <c r="B824" s="52">
        <f>面积表!E819</f>
        <v>48.41</v>
      </c>
      <c r="C824" s="3192">
        <f t="shared" si="135"/>
        <v>1</v>
      </c>
      <c r="D824" s="2559" t="s">
        <v>4016</v>
      </c>
      <c r="E824" s="3192">
        <f t="shared" si="136"/>
        <v>1</v>
      </c>
      <c r="F824" s="2559" t="s">
        <v>21</v>
      </c>
      <c r="G824" s="3192">
        <f t="shared" si="137"/>
        <v>1</v>
      </c>
      <c r="H824" s="631">
        <v>3</v>
      </c>
      <c r="I824" s="3192">
        <f t="shared" si="138"/>
        <v>1</v>
      </c>
      <c r="J824" s="631"/>
      <c r="K824" s="3192">
        <f t="shared" si="139"/>
        <v>1</v>
      </c>
      <c r="L824" s="631"/>
      <c r="M824" s="3192">
        <f t="shared" si="140"/>
        <v>1</v>
      </c>
      <c r="N824" s="631"/>
      <c r="O824" s="3192">
        <f t="shared" si="141"/>
        <v>1</v>
      </c>
      <c r="P824" s="3194" t="s">
        <v>4044</v>
      </c>
      <c r="Q824" s="3192">
        <f t="shared" si="142"/>
        <v>1.02</v>
      </c>
      <c r="R824" s="3192">
        <f t="shared" ca="1" si="143"/>
        <v>14433</v>
      </c>
      <c r="S824" s="898">
        <f t="shared" ca="1" si="144"/>
        <v>70</v>
      </c>
      <c r="T824" s="3190">
        <f>面积表!A819</f>
        <v>0</v>
      </c>
    </row>
    <row r="825" spans="1:20">
      <c r="A825" s="3169" t="str">
        <f>面积表!D820</f>
        <v>1626</v>
      </c>
      <c r="B825" s="52">
        <f>面积表!E820</f>
        <v>47.44</v>
      </c>
      <c r="C825" s="3192">
        <f t="shared" si="135"/>
        <v>1</v>
      </c>
      <c r="D825" s="2559" t="s">
        <v>4016</v>
      </c>
      <c r="E825" s="3192">
        <f t="shared" si="136"/>
        <v>1</v>
      </c>
      <c r="F825" s="2559" t="s">
        <v>21</v>
      </c>
      <c r="G825" s="3192">
        <f t="shared" si="137"/>
        <v>1</v>
      </c>
      <c r="H825" s="631">
        <v>3</v>
      </c>
      <c r="I825" s="3192">
        <f t="shared" si="138"/>
        <v>1</v>
      </c>
      <c r="J825" s="631"/>
      <c r="K825" s="3192">
        <f t="shared" si="139"/>
        <v>1</v>
      </c>
      <c r="L825" s="631"/>
      <c r="M825" s="3192">
        <f t="shared" si="140"/>
        <v>1</v>
      </c>
      <c r="N825" s="631"/>
      <c r="O825" s="3192">
        <f t="shared" si="141"/>
        <v>1</v>
      </c>
      <c r="P825" s="3194" t="s">
        <v>4044</v>
      </c>
      <c r="Q825" s="3192">
        <f t="shared" si="142"/>
        <v>1.02</v>
      </c>
      <c r="R825" s="3192">
        <f t="shared" ca="1" si="143"/>
        <v>14433</v>
      </c>
      <c r="S825" s="898">
        <f t="shared" ca="1" si="144"/>
        <v>68</v>
      </c>
      <c r="T825" s="3190">
        <f>面积表!A820</f>
        <v>0</v>
      </c>
    </row>
    <row r="826" spans="1:20">
      <c r="A826" s="3169" t="str">
        <f>面积表!D821</f>
        <v>1703</v>
      </c>
      <c r="B826" s="52">
        <f>面积表!E821</f>
        <v>50.33</v>
      </c>
      <c r="C826" s="3192">
        <f t="shared" si="135"/>
        <v>1</v>
      </c>
      <c r="D826" s="2559" t="s">
        <v>4016</v>
      </c>
      <c r="E826" s="3192">
        <f t="shared" si="136"/>
        <v>1</v>
      </c>
      <c r="F826" s="2559" t="s">
        <v>21</v>
      </c>
      <c r="G826" s="3192">
        <f t="shared" si="137"/>
        <v>1</v>
      </c>
      <c r="H826" s="631">
        <v>3</v>
      </c>
      <c r="I826" s="3192">
        <f t="shared" si="138"/>
        <v>1</v>
      </c>
      <c r="J826" s="631"/>
      <c r="K826" s="3192">
        <f t="shared" si="139"/>
        <v>1</v>
      </c>
      <c r="L826" s="631"/>
      <c r="M826" s="3192">
        <f t="shared" si="140"/>
        <v>1</v>
      </c>
      <c r="N826" s="631"/>
      <c r="O826" s="3192">
        <f t="shared" si="141"/>
        <v>1</v>
      </c>
      <c r="P826" s="3194" t="s">
        <v>4045</v>
      </c>
      <c r="Q826" s="3192">
        <f t="shared" si="142"/>
        <v>1.04</v>
      </c>
      <c r="R826" s="3192">
        <f t="shared" ca="1" si="143"/>
        <v>14716</v>
      </c>
      <c r="S826" s="898">
        <f t="shared" ca="1" si="144"/>
        <v>74</v>
      </c>
      <c r="T826" s="3190">
        <f>面积表!A821</f>
        <v>0</v>
      </c>
    </row>
    <row r="827" spans="1:20">
      <c r="A827" s="3169" t="str">
        <f>面积表!D822</f>
        <v>1707</v>
      </c>
      <c r="B827" s="52">
        <f>面积表!E822</f>
        <v>50.33</v>
      </c>
      <c r="C827" s="3192">
        <f t="shared" si="135"/>
        <v>1</v>
      </c>
      <c r="D827" s="2559" t="s">
        <v>4016</v>
      </c>
      <c r="E827" s="3192">
        <f t="shared" si="136"/>
        <v>1</v>
      </c>
      <c r="F827" s="2559" t="s">
        <v>21</v>
      </c>
      <c r="G827" s="3192">
        <f t="shared" si="137"/>
        <v>1</v>
      </c>
      <c r="H827" s="631">
        <v>3</v>
      </c>
      <c r="I827" s="3192">
        <f t="shared" si="138"/>
        <v>1</v>
      </c>
      <c r="J827" s="631"/>
      <c r="K827" s="3192">
        <f t="shared" si="139"/>
        <v>1</v>
      </c>
      <c r="L827" s="631"/>
      <c r="M827" s="3192">
        <f t="shared" si="140"/>
        <v>1</v>
      </c>
      <c r="N827" s="631"/>
      <c r="O827" s="3192">
        <f t="shared" si="141"/>
        <v>1</v>
      </c>
      <c r="P827" s="3194" t="s">
        <v>4045</v>
      </c>
      <c r="Q827" s="3192">
        <f t="shared" si="142"/>
        <v>1.04</v>
      </c>
      <c r="R827" s="3192">
        <f t="shared" ca="1" si="143"/>
        <v>14716</v>
      </c>
      <c r="S827" s="898">
        <f t="shared" ca="1" si="144"/>
        <v>74</v>
      </c>
      <c r="T827" s="3190">
        <f>面积表!A822</f>
        <v>0</v>
      </c>
    </row>
    <row r="828" spans="1:20">
      <c r="A828" s="3169" t="str">
        <f>面积表!D823</f>
        <v>1708</v>
      </c>
      <c r="B828" s="52">
        <f>面积表!E823</f>
        <v>50.33</v>
      </c>
      <c r="C828" s="3192">
        <f t="shared" si="135"/>
        <v>1</v>
      </c>
      <c r="D828" s="2559" t="s">
        <v>4016</v>
      </c>
      <c r="E828" s="3192">
        <f t="shared" si="136"/>
        <v>1</v>
      </c>
      <c r="F828" s="2559" t="s">
        <v>21</v>
      </c>
      <c r="G828" s="3192">
        <f t="shared" si="137"/>
        <v>1</v>
      </c>
      <c r="H828" s="631">
        <v>3</v>
      </c>
      <c r="I828" s="3192">
        <f t="shared" si="138"/>
        <v>1</v>
      </c>
      <c r="J828" s="631"/>
      <c r="K828" s="3192">
        <f t="shared" si="139"/>
        <v>1</v>
      </c>
      <c r="L828" s="631"/>
      <c r="M828" s="3192">
        <f t="shared" si="140"/>
        <v>1</v>
      </c>
      <c r="N828" s="631"/>
      <c r="O828" s="3192">
        <f t="shared" si="141"/>
        <v>1</v>
      </c>
      <c r="P828" s="3194" t="s">
        <v>4045</v>
      </c>
      <c r="Q828" s="3192">
        <f t="shared" si="142"/>
        <v>1.04</v>
      </c>
      <c r="R828" s="3192">
        <f t="shared" ca="1" si="143"/>
        <v>14716</v>
      </c>
      <c r="S828" s="898">
        <f t="shared" ca="1" si="144"/>
        <v>74</v>
      </c>
      <c r="T828" s="3190">
        <f>面积表!A823</f>
        <v>0</v>
      </c>
    </row>
    <row r="829" spans="1:20">
      <c r="A829" s="3169" t="str">
        <f>面积表!D824</f>
        <v>1710</v>
      </c>
      <c r="B829" s="52">
        <f>面积表!E824</f>
        <v>50.33</v>
      </c>
      <c r="C829" s="3192">
        <f t="shared" si="135"/>
        <v>1</v>
      </c>
      <c r="D829" s="2559" t="s">
        <v>4016</v>
      </c>
      <c r="E829" s="3192">
        <f t="shared" si="136"/>
        <v>1</v>
      </c>
      <c r="F829" s="2559" t="s">
        <v>21</v>
      </c>
      <c r="G829" s="3192">
        <f t="shared" si="137"/>
        <v>1</v>
      </c>
      <c r="H829" s="631">
        <v>3</v>
      </c>
      <c r="I829" s="3192">
        <f t="shared" si="138"/>
        <v>1</v>
      </c>
      <c r="J829" s="631"/>
      <c r="K829" s="3192">
        <f t="shared" si="139"/>
        <v>1</v>
      </c>
      <c r="L829" s="631"/>
      <c r="M829" s="3192">
        <f t="shared" si="140"/>
        <v>1</v>
      </c>
      <c r="N829" s="631"/>
      <c r="O829" s="3192">
        <f t="shared" si="141"/>
        <v>1</v>
      </c>
      <c r="P829" s="3194" t="s">
        <v>4045</v>
      </c>
      <c r="Q829" s="3192">
        <f t="shared" si="142"/>
        <v>1.04</v>
      </c>
      <c r="R829" s="3192">
        <f t="shared" ca="1" si="143"/>
        <v>14716</v>
      </c>
      <c r="S829" s="898">
        <f t="shared" ca="1" si="144"/>
        <v>74</v>
      </c>
      <c r="T829" s="3190">
        <f>面积表!A824</f>
        <v>0</v>
      </c>
    </row>
    <row r="830" spans="1:20">
      <c r="A830" s="3169" t="str">
        <f>面积表!D825</f>
        <v>1711</v>
      </c>
      <c r="B830" s="52">
        <f>面积表!E825</f>
        <v>50.33</v>
      </c>
      <c r="C830" s="3192">
        <f t="shared" si="135"/>
        <v>1</v>
      </c>
      <c r="D830" s="2559" t="s">
        <v>4016</v>
      </c>
      <c r="E830" s="3192">
        <f t="shared" si="136"/>
        <v>1</v>
      </c>
      <c r="F830" s="2559" t="s">
        <v>21</v>
      </c>
      <c r="G830" s="3192">
        <f t="shared" si="137"/>
        <v>1</v>
      </c>
      <c r="H830" s="631">
        <v>3</v>
      </c>
      <c r="I830" s="3192">
        <f t="shared" si="138"/>
        <v>1</v>
      </c>
      <c r="J830" s="631"/>
      <c r="K830" s="3192">
        <f t="shared" si="139"/>
        <v>1</v>
      </c>
      <c r="L830" s="631"/>
      <c r="M830" s="3192">
        <f t="shared" si="140"/>
        <v>1</v>
      </c>
      <c r="N830" s="631"/>
      <c r="O830" s="3192">
        <f t="shared" si="141"/>
        <v>1</v>
      </c>
      <c r="P830" s="3194" t="s">
        <v>4045</v>
      </c>
      <c r="Q830" s="3192">
        <f t="shared" si="142"/>
        <v>1.04</v>
      </c>
      <c r="R830" s="3192">
        <f t="shared" ca="1" si="143"/>
        <v>14716</v>
      </c>
      <c r="S830" s="898">
        <f t="shared" ca="1" si="144"/>
        <v>74</v>
      </c>
      <c r="T830" s="3190">
        <f>面积表!A825</f>
        <v>0</v>
      </c>
    </row>
    <row r="831" spans="1:20">
      <c r="A831" s="3169" t="str">
        <f>面积表!D826</f>
        <v>1712</v>
      </c>
      <c r="B831" s="52">
        <f>面积表!E826</f>
        <v>50.33</v>
      </c>
      <c r="C831" s="3192">
        <f t="shared" si="135"/>
        <v>1</v>
      </c>
      <c r="D831" s="2559" t="s">
        <v>4016</v>
      </c>
      <c r="E831" s="3192">
        <f t="shared" si="136"/>
        <v>1</v>
      </c>
      <c r="F831" s="2559" t="s">
        <v>21</v>
      </c>
      <c r="G831" s="3192">
        <f t="shared" si="137"/>
        <v>1</v>
      </c>
      <c r="H831" s="631">
        <v>3</v>
      </c>
      <c r="I831" s="3192">
        <f t="shared" si="138"/>
        <v>1</v>
      </c>
      <c r="J831" s="631"/>
      <c r="K831" s="3192">
        <f t="shared" si="139"/>
        <v>1</v>
      </c>
      <c r="L831" s="631"/>
      <c r="M831" s="3192">
        <f t="shared" si="140"/>
        <v>1</v>
      </c>
      <c r="N831" s="631"/>
      <c r="O831" s="3192">
        <f t="shared" si="141"/>
        <v>1</v>
      </c>
      <c r="P831" s="3194" t="s">
        <v>4045</v>
      </c>
      <c r="Q831" s="3192">
        <f t="shared" si="142"/>
        <v>1.04</v>
      </c>
      <c r="R831" s="3192">
        <f t="shared" ca="1" si="143"/>
        <v>14716</v>
      </c>
      <c r="S831" s="898">
        <f t="shared" ca="1" si="144"/>
        <v>74</v>
      </c>
      <c r="T831" s="3190">
        <f>面积表!A826</f>
        <v>0</v>
      </c>
    </row>
    <row r="832" spans="1:20">
      <c r="A832" s="3169" t="str">
        <f>面积表!D827</f>
        <v>1713</v>
      </c>
      <c r="B832" s="52">
        <f>面积表!E827</f>
        <v>50.33</v>
      </c>
      <c r="C832" s="3192">
        <f t="shared" si="135"/>
        <v>1</v>
      </c>
      <c r="D832" s="2559" t="s">
        <v>4016</v>
      </c>
      <c r="E832" s="3192">
        <f t="shared" si="136"/>
        <v>1</v>
      </c>
      <c r="F832" s="2559" t="s">
        <v>21</v>
      </c>
      <c r="G832" s="3192">
        <f t="shared" si="137"/>
        <v>1</v>
      </c>
      <c r="H832" s="631">
        <v>3</v>
      </c>
      <c r="I832" s="3192">
        <f t="shared" si="138"/>
        <v>1</v>
      </c>
      <c r="J832" s="631"/>
      <c r="K832" s="3192">
        <f t="shared" si="139"/>
        <v>1</v>
      </c>
      <c r="L832" s="631"/>
      <c r="M832" s="3192">
        <f t="shared" si="140"/>
        <v>1</v>
      </c>
      <c r="N832" s="631"/>
      <c r="O832" s="3192">
        <f t="shared" si="141"/>
        <v>1</v>
      </c>
      <c r="P832" s="3194" t="s">
        <v>4045</v>
      </c>
      <c r="Q832" s="3192">
        <f t="shared" si="142"/>
        <v>1.04</v>
      </c>
      <c r="R832" s="3192">
        <f t="shared" ca="1" si="143"/>
        <v>14716</v>
      </c>
      <c r="S832" s="898">
        <f t="shared" ca="1" si="144"/>
        <v>74</v>
      </c>
      <c r="T832" s="3190">
        <f>面积表!A827</f>
        <v>0</v>
      </c>
    </row>
    <row r="833" spans="1:20">
      <c r="A833" s="3169" t="str">
        <f>面积表!D828</f>
        <v>1714</v>
      </c>
      <c r="B833" s="52">
        <f>面积表!E828</f>
        <v>50.33</v>
      </c>
      <c r="C833" s="3192">
        <f t="shared" si="135"/>
        <v>1</v>
      </c>
      <c r="D833" s="2559" t="s">
        <v>4016</v>
      </c>
      <c r="E833" s="3192">
        <f t="shared" si="136"/>
        <v>1</v>
      </c>
      <c r="F833" s="2559" t="s">
        <v>21</v>
      </c>
      <c r="G833" s="3192">
        <f t="shared" si="137"/>
        <v>1</v>
      </c>
      <c r="H833" s="631">
        <v>3</v>
      </c>
      <c r="I833" s="3192">
        <f t="shared" si="138"/>
        <v>1</v>
      </c>
      <c r="J833" s="631"/>
      <c r="K833" s="3192">
        <f t="shared" si="139"/>
        <v>1</v>
      </c>
      <c r="L833" s="631"/>
      <c r="M833" s="3192">
        <f t="shared" si="140"/>
        <v>1</v>
      </c>
      <c r="N833" s="631"/>
      <c r="O833" s="3192">
        <f t="shared" si="141"/>
        <v>1</v>
      </c>
      <c r="P833" s="3194" t="s">
        <v>4045</v>
      </c>
      <c r="Q833" s="3192">
        <f t="shared" si="142"/>
        <v>1.04</v>
      </c>
      <c r="R833" s="3192">
        <f t="shared" ca="1" si="143"/>
        <v>14716</v>
      </c>
      <c r="S833" s="898">
        <f t="shared" ca="1" si="144"/>
        <v>74</v>
      </c>
      <c r="T833" s="3190">
        <f>面积表!A828</f>
        <v>0</v>
      </c>
    </row>
    <row r="834" spans="1:20">
      <c r="A834" s="3169" t="str">
        <f>面积表!D829</f>
        <v>1715</v>
      </c>
      <c r="B834" s="52">
        <f>面积表!E829</f>
        <v>50.33</v>
      </c>
      <c r="C834" s="3192">
        <f t="shared" si="135"/>
        <v>1</v>
      </c>
      <c r="D834" s="2559" t="s">
        <v>4016</v>
      </c>
      <c r="E834" s="3192">
        <f t="shared" si="136"/>
        <v>1</v>
      </c>
      <c r="F834" s="2559" t="s">
        <v>21</v>
      </c>
      <c r="G834" s="3192">
        <f t="shared" si="137"/>
        <v>1</v>
      </c>
      <c r="H834" s="631">
        <v>3</v>
      </c>
      <c r="I834" s="3192">
        <f t="shared" si="138"/>
        <v>1</v>
      </c>
      <c r="J834" s="631"/>
      <c r="K834" s="3192">
        <f t="shared" si="139"/>
        <v>1</v>
      </c>
      <c r="L834" s="631"/>
      <c r="M834" s="3192">
        <f t="shared" si="140"/>
        <v>1</v>
      </c>
      <c r="N834" s="631"/>
      <c r="O834" s="3192">
        <f t="shared" si="141"/>
        <v>1</v>
      </c>
      <c r="P834" s="3194" t="s">
        <v>4045</v>
      </c>
      <c r="Q834" s="3192">
        <f t="shared" si="142"/>
        <v>1.04</v>
      </c>
      <c r="R834" s="3192">
        <f t="shared" ca="1" si="143"/>
        <v>14716</v>
      </c>
      <c r="S834" s="898">
        <f t="shared" ca="1" si="144"/>
        <v>74</v>
      </c>
      <c r="T834" s="3190">
        <f>面积表!A829</f>
        <v>0</v>
      </c>
    </row>
    <row r="835" spans="1:20">
      <c r="A835" s="3169" t="str">
        <f>面积表!D830</f>
        <v>1716</v>
      </c>
      <c r="B835" s="52">
        <f>面积表!E830</f>
        <v>69.77</v>
      </c>
      <c r="C835" s="3192">
        <f t="shared" si="135"/>
        <v>1.01</v>
      </c>
      <c r="D835" s="2559" t="s">
        <v>4016</v>
      </c>
      <c r="E835" s="3192">
        <f t="shared" si="136"/>
        <v>1</v>
      </c>
      <c r="F835" s="2559" t="s">
        <v>21</v>
      </c>
      <c r="G835" s="3192">
        <f t="shared" si="137"/>
        <v>1</v>
      </c>
      <c r="H835" s="631">
        <v>3</v>
      </c>
      <c r="I835" s="3192">
        <f t="shared" si="138"/>
        <v>1</v>
      </c>
      <c r="J835" s="631"/>
      <c r="K835" s="3192">
        <f t="shared" si="139"/>
        <v>1</v>
      </c>
      <c r="L835" s="631"/>
      <c r="M835" s="3192">
        <f t="shared" si="140"/>
        <v>1</v>
      </c>
      <c r="N835" s="631"/>
      <c r="O835" s="3192">
        <f t="shared" si="141"/>
        <v>1</v>
      </c>
      <c r="P835" s="3194" t="s">
        <v>4045</v>
      </c>
      <c r="Q835" s="3192">
        <f t="shared" si="142"/>
        <v>1.04</v>
      </c>
      <c r="R835" s="3192">
        <f t="shared" ca="1" si="143"/>
        <v>14863</v>
      </c>
      <c r="S835" s="898">
        <f t="shared" ca="1" si="144"/>
        <v>104</v>
      </c>
      <c r="T835" s="3190">
        <f>面积表!A830</f>
        <v>0</v>
      </c>
    </row>
    <row r="836" spans="1:20">
      <c r="A836" s="3169" t="str">
        <f>面积表!D831</f>
        <v>1717</v>
      </c>
      <c r="B836" s="52">
        <f>面积表!E831</f>
        <v>38.65</v>
      </c>
      <c r="C836" s="3192">
        <f t="shared" si="135"/>
        <v>1</v>
      </c>
      <c r="D836" s="2559" t="s">
        <v>4016</v>
      </c>
      <c r="E836" s="3192">
        <f t="shared" si="136"/>
        <v>1</v>
      </c>
      <c r="F836" s="2559" t="s">
        <v>21</v>
      </c>
      <c r="G836" s="3192">
        <f t="shared" si="137"/>
        <v>1</v>
      </c>
      <c r="H836" s="631">
        <v>3</v>
      </c>
      <c r="I836" s="3192">
        <f t="shared" si="138"/>
        <v>1</v>
      </c>
      <c r="J836" s="631"/>
      <c r="K836" s="3192">
        <f t="shared" si="139"/>
        <v>1</v>
      </c>
      <c r="L836" s="631"/>
      <c r="M836" s="3192">
        <f t="shared" si="140"/>
        <v>1</v>
      </c>
      <c r="N836" s="631"/>
      <c r="O836" s="3192">
        <f t="shared" si="141"/>
        <v>1</v>
      </c>
      <c r="P836" s="3194" t="s">
        <v>4045</v>
      </c>
      <c r="Q836" s="3192">
        <f t="shared" si="142"/>
        <v>1.04</v>
      </c>
      <c r="R836" s="3192">
        <f t="shared" ca="1" si="143"/>
        <v>14716</v>
      </c>
      <c r="S836" s="898">
        <f t="shared" ca="1" si="144"/>
        <v>57</v>
      </c>
      <c r="T836" s="3190">
        <f>面积表!A831</f>
        <v>0</v>
      </c>
    </row>
    <row r="837" spans="1:20">
      <c r="A837" s="3169" t="str">
        <f>面积表!D832</f>
        <v>1718</v>
      </c>
      <c r="B837" s="52">
        <f>面积表!E832</f>
        <v>41.99</v>
      </c>
      <c r="C837" s="3192">
        <f t="shared" si="135"/>
        <v>1</v>
      </c>
      <c r="D837" s="2559" t="s">
        <v>4016</v>
      </c>
      <c r="E837" s="3192">
        <f t="shared" si="136"/>
        <v>1</v>
      </c>
      <c r="F837" s="2559" t="s">
        <v>21</v>
      </c>
      <c r="G837" s="3192">
        <f t="shared" si="137"/>
        <v>1</v>
      </c>
      <c r="H837" s="631">
        <v>3</v>
      </c>
      <c r="I837" s="3192">
        <f t="shared" si="138"/>
        <v>1</v>
      </c>
      <c r="J837" s="631"/>
      <c r="K837" s="3192">
        <f t="shared" si="139"/>
        <v>1</v>
      </c>
      <c r="L837" s="631"/>
      <c r="M837" s="3192">
        <f t="shared" si="140"/>
        <v>1</v>
      </c>
      <c r="N837" s="631"/>
      <c r="O837" s="3192">
        <f t="shared" si="141"/>
        <v>1</v>
      </c>
      <c r="P837" s="3194" t="s">
        <v>4045</v>
      </c>
      <c r="Q837" s="3192">
        <f t="shared" si="142"/>
        <v>1.04</v>
      </c>
      <c r="R837" s="3192">
        <f t="shared" ca="1" si="143"/>
        <v>14716</v>
      </c>
      <c r="S837" s="898">
        <f t="shared" ca="1" si="144"/>
        <v>62</v>
      </c>
      <c r="T837" s="3190">
        <f>面积表!A832</f>
        <v>0</v>
      </c>
    </row>
    <row r="838" spans="1:20">
      <c r="A838" s="3169" t="str">
        <f>面积表!D833</f>
        <v>1719</v>
      </c>
      <c r="B838" s="52">
        <f>面积表!E833</f>
        <v>44.72</v>
      </c>
      <c r="C838" s="3192">
        <f t="shared" si="135"/>
        <v>1</v>
      </c>
      <c r="D838" s="2559" t="s">
        <v>4016</v>
      </c>
      <c r="E838" s="3192">
        <f t="shared" si="136"/>
        <v>1</v>
      </c>
      <c r="F838" s="2559" t="s">
        <v>21</v>
      </c>
      <c r="G838" s="3192">
        <f t="shared" si="137"/>
        <v>1</v>
      </c>
      <c r="H838" s="631">
        <v>3</v>
      </c>
      <c r="I838" s="3192">
        <f t="shared" si="138"/>
        <v>1</v>
      </c>
      <c r="J838" s="631"/>
      <c r="K838" s="3192">
        <f t="shared" si="139"/>
        <v>1</v>
      </c>
      <c r="L838" s="631"/>
      <c r="M838" s="3192">
        <f t="shared" si="140"/>
        <v>1</v>
      </c>
      <c r="N838" s="631"/>
      <c r="O838" s="3192">
        <f t="shared" si="141"/>
        <v>1</v>
      </c>
      <c r="P838" s="3194" t="s">
        <v>4045</v>
      </c>
      <c r="Q838" s="3192">
        <f t="shared" si="142"/>
        <v>1.04</v>
      </c>
      <c r="R838" s="3192">
        <f t="shared" ca="1" si="143"/>
        <v>14716</v>
      </c>
      <c r="S838" s="898">
        <f t="shared" ca="1" si="144"/>
        <v>66</v>
      </c>
      <c r="T838" s="3190">
        <f>面积表!A833</f>
        <v>0</v>
      </c>
    </row>
    <row r="839" spans="1:20">
      <c r="A839" s="3169" t="str">
        <f>面积表!D834</f>
        <v>1720</v>
      </c>
      <c r="B839" s="52">
        <f>面积表!E834</f>
        <v>46.83</v>
      </c>
      <c r="C839" s="3192">
        <f t="shared" si="135"/>
        <v>1</v>
      </c>
      <c r="D839" s="2559" t="s">
        <v>4016</v>
      </c>
      <c r="E839" s="3192">
        <f t="shared" si="136"/>
        <v>1</v>
      </c>
      <c r="F839" s="2559" t="s">
        <v>21</v>
      </c>
      <c r="G839" s="3192">
        <f t="shared" si="137"/>
        <v>1</v>
      </c>
      <c r="H839" s="631">
        <v>3</v>
      </c>
      <c r="I839" s="3192">
        <f t="shared" si="138"/>
        <v>1</v>
      </c>
      <c r="J839" s="631"/>
      <c r="K839" s="3192">
        <f t="shared" si="139"/>
        <v>1</v>
      </c>
      <c r="L839" s="631"/>
      <c r="M839" s="3192">
        <f t="shared" si="140"/>
        <v>1</v>
      </c>
      <c r="N839" s="631"/>
      <c r="O839" s="3192">
        <f t="shared" si="141"/>
        <v>1</v>
      </c>
      <c r="P839" s="3194" t="s">
        <v>4045</v>
      </c>
      <c r="Q839" s="3192">
        <f t="shared" si="142"/>
        <v>1.04</v>
      </c>
      <c r="R839" s="3192">
        <f t="shared" ca="1" si="143"/>
        <v>14716</v>
      </c>
      <c r="S839" s="898">
        <f t="shared" ca="1" si="144"/>
        <v>69</v>
      </c>
      <c r="T839" s="3190">
        <f>面积表!A834</f>
        <v>0</v>
      </c>
    </row>
    <row r="840" spans="1:20">
      <c r="A840" s="3169" t="str">
        <f>面积表!D835</f>
        <v>1721</v>
      </c>
      <c r="B840" s="52">
        <f>面积表!E835</f>
        <v>48.33</v>
      </c>
      <c r="C840" s="3192">
        <f t="shared" si="135"/>
        <v>1</v>
      </c>
      <c r="D840" s="2559" t="s">
        <v>4016</v>
      </c>
      <c r="E840" s="3192">
        <f t="shared" si="136"/>
        <v>1</v>
      </c>
      <c r="F840" s="2559" t="s">
        <v>21</v>
      </c>
      <c r="G840" s="3192">
        <f t="shared" si="137"/>
        <v>1</v>
      </c>
      <c r="H840" s="631">
        <v>3</v>
      </c>
      <c r="I840" s="3192">
        <f t="shared" si="138"/>
        <v>1</v>
      </c>
      <c r="J840" s="631"/>
      <c r="K840" s="3192">
        <f t="shared" si="139"/>
        <v>1</v>
      </c>
      <c r="L840" s="631"/>
      <c r="M840" s="3192">
        <f t="shared" si="140"/>
        <v>1</v>
      </c>
      <c r="N840" s="631"/>
      <c r="O840" s="3192">
        <f t="shared" si="141"/>
        <v>1</v>
      </c>
      <c r="P840" s="3194" t="s">
        <v>4045</v>
      </c>
      <c r="Q840" s="3192">
        <f t="shared" si="142"/>
        <v>1.04</v>
      </c>
      <c r="R840" s="3192">
        <f t="shared" ca="1" si="143"/>
        <v>14716</v>
      </c>
      <c r="S840" s="898">
        <f t="shared" ca="1" si="144"/>
        <v>71</v>
      </c>
      <c r="T840" s="3190">
        <f>面积表!A835</f>
        <v>0</v>
      </c>
    </row>
    <row r="841" spans="1:20">
      <c r="A841" s="3169" t="str">
        <f>面积表!D836</f>
        <v>1722</v>
      </c>
      <c r="B841" s="52">
        <f>面积表!E836</f>
        <v>49.3</v>
      </c>
      <c r="C841" s="3192">
        <f t="shared" si="135"/>
        <v>1</v>
      </c>
      <c r="D841" s="2559" t="s">
        <v>4016</v>
      </c>
      <c r="E841" s="3192">
        <f t="shared" si="136"/>
        <v>1</v>
      </c>
      <c r="F841" s="2559" t="s">
        <v>21</v>
      </c>
      <c r="G841" s="3192">
        <f t="shared" si="137"/>
        <v>1</v>
      </c>
      <c r="H841" s="631">
        <v>3</v>
      </c>
      <c r="I841" s="3192">
        <f t="shared" si="138"/>
        <v>1</v>
      </c>
      <c r="J841" s="631"/>
      <c r="K841" s="3192">
        <f t="shared" si="139"/>
        <v>1</v>
      </c>
      <c r="L841" s="631"/>
      <c r="M841" s="3192">
        <f t="shared" si="140"/>
        <v>1</v>
      </c>
      <c r="N841" s="631"/>
      <c r="O841" s="3192">
        <f t="shared" si="141"/>
        <v>1</v>
      </c>
      <c r="P841" s="3194" t="s">
        <v>4045</v>
      </c>
      <c r="Q841" s="3192">
        <f t="shared" si="142"/>
        <v>1.04</v>
      </c>
      <c r="R841" s="3192">
        <f t="shared" ca="1" si="143"/>
        <v>14716</v>
      </c>
      <c r="S841" s="898">
        <f t="shared" ca="1" si="144"/>
        <v>73</v>
      </c>
      <c r="T841" s="3190">
        <f>面积表!A836</f>
        <v>0</v>
      </c>
    </row>
    <row r="842" spans="1:20">
      <c r="A842" s="3169" t="str">
        <f>面积表!D837</f>
        <v>1723</v>
      </c>
      <c r="B842" s="52">
        <f>面积表!E837</f>
        <v>49.59</v>
      </c>
      <c r="C842" s="3192">
        <f t="shared" si="135"/>
        <v>1</v>
      </c>
      <c r="D842" s="2559" t="s">
        <v>4016</v>
      </c>
      <c r="E842" s="3192">
        <f t="shared" si="136"/>
        <v>1</v>
      </c>
      <c r="F842" s="2559" t="s">
        <v>21</v>
      </c>
      <c r="G842" s="3192">
        <f t="shared" si="137"/>
        <v>1</v>
      </c>
      <c r="H842" s="631">
        <v>3</v>
      </c>
      <c r="I842" s="3192">
        <f t="shared" si="138"/>
        <v>1</v>
      </c>
      <c r="J842" s="631"/>
      <c r="K842" s="3192">
        <f t="shared" si="139"/>
        <v>1</v>
      </c>
      <c r="L842" s="631"/>
      <c r="M842" s="3192">
        <f t="shared" si="140"/>
        <v>1</v>
      </c>
      <c r="N842" s="631"/>
      <c r="O842" s="3192">
        <f t="shared" si="141"/>
        <v>1</v>
      </c>
      <c r="P842" s="3194" t="s">
        <v>4045</v>
      </c>
      <c r="Q842" s="3192">
        <f t="shared" si="142"/>
        <v>1.04</v>
      </c>
      <c r="R842" s="3192">
        <f t="shared" ca="1" si="143"/>
        <v>14716</v>
      </c>
      <c r="S842" s="898">
        <f t="shared" ca="1" si="144"/>
        <v>73</v>
      </c>
      <c r="T842" s="3190">
        <f>面积表!A837</f>
        <v>0</v>
      </c>
    </row>
    <row r="843" spans="1:20">
      <c r="A843" s="3169" t="str">
        <f>面积表!D838</f>
        <v>1724</v>
      </c>
      <c r="B843" s="52">
        <f>面积表!E838</f>
        <v>49.28</v>
      </c>
      <c r="C843" s="3192">
        <f t="shared" si="135"/>
        <v>1</v>
      </c>
      <c r="D843" s="2559" t="s">
        <v>4016</v>
      </c>
      <c r="E843" s="3192">
        <f t="shared" si="136"/>
        <v>1</v>
      </c>
      <c r="F843" s="2559" t="s">
        <v>21</v>
      </c>
      <c r="G843" s="3192">
        <f t="shared" si="137"/>
        <v>1</v>
      </c>
      <c r="H843" s="631">
        <v>3</v>
      </c>
      <c r="I843" s="3192">
        <f t="shared" si="138"/>
        <v>1</v>
      </c>
      <c r="J843" s="631"/>
      <c r="K843" s="3192">
        <f t="shared" si="139"/>
        <v>1</v>
      </c>
      <c r="L843" s="631"/>
      <c r="M843" s="3192">
        <f t="shared" si="140"/>
        <v>1</v>
      </c>
      <c r="N843" s="631"/>
      <c r="O843" s="3192">
        <f t="shared" si="141"/>
        <v>1</v>
      </c>
      <c r="P843" s="3194" t="s">
        <v>4045</v>
      </c>
      <c r="Q843" s="3192">
        <f t="shared" si="142"/>
        <v>1.04</v>
      </c>
      <c r="R843" s="3192">
        <f t="shared" ca="1" si="143"/>
        <v>14716</v>
      </c>
      <c r="S843" s="898">
        <f t="shared" ca="1" si="144"/>
        <v>73</v>
      </c>
      <c r="T843" s="3190">
        <f>面积表!A838</f>
        <v>0</v>
      </c>
    </row>
    <row r="844" spans="1:20">
      <c r="A844" s="3169" t="str">
        <f>面积表!D839</f>
        <v>1725</v>
      </c>
      <c r="B844" s="52">
        <f>面积表!E839</f>
        <v>48.41</v>
      </c>
      <c r="C844" s="3192">
        <f t="shared" si="135"/>
        <v>1</v>
      </c>
      <c r="D844" s="2559" t="s">
        <v>4016</v>
      </c>
      <c r="E844" s="3192">
        <f t="shared" si="136"/>
        <v>1</v>
      </c>
      <c r="F844" s="2559" t="s">
        <v>21</v>
      </c>
      <c r="G844" s="3192">
        <f t="shared" si="137"/>
        <v>1</v>
      </c>
      <c r="H844" s="631">
        <v>3</v>
      </c>
      <c r="I844" s="3192">
        <f t="shared" si="138"/>
        <v>1</v>
      </c>
      <c r="J844" s="631"/>
      <c r="K844" s="3192">
        <f t="shared" si="139"/>
        <v>1</v>
      </c>
      <c r="L844" s="631"/>
      <c r="M844" s="3192">
        <f t="shared" si="140"/>
        <v>1</v>
      </c>
      <c r="N844" s="631"/>
      <c r="O844" s="3192">
        <f t="shared" si="141"/>
        <v>1</v>
      </c>
      <c r="P844" s="3194" t="s">
        <v>4045</v>
      </c>
      <c r="Q844" s="3192">
        <f t="shared" si="142"/>
        <v>1.04</v>
      </c>
      <c r="R844" s="3192">
        <f t="shared" ca="1" si="143"/>
        <v>14716</v>
      </c>
      <c r="S844" s="898">
        <f t="shared" ca="1" si="144"/>
        <v>71</v>
      </c>
      <c r="T844" s="3190">
        <f>面积表!A839</f>
        <v>0</v>
      </c>
    </row>
    <row r="845" spans="1:20">
      <c r="A845" s="3169" t="str">
        <f>面积表!D840</f>
        <v>1726</v>
      </c>
      <c r="B845" s="52">
        <f>面积表!E840</f>
        <v>47.44</v>
      </c>
      <c r="C845" s="3192">
        <f t="shared" ref="C845:C908" si="145">IF(B845="",1,(LOOKUP(B845,$3:$3,$4:$4)-LOOKUP($B$24,$3:$3,$4:$4)+100)/100)</f>
        <v>1</v>
      </c>
      <c r="D845" s="2559" t="s">
        <v>4016</v>
      </c>
      <c r="E845" s="3192">
        <f t="shared" ref="E845:E908" si="146">(SUMIF($5:$5,D845,$6:$6)-SUMIF($5:$5,$D$24,$6:$6)+100)/100</f>
        <v>1</v>
      </c>
      <c r="F845" s="2559" t="s">
        <v>21</v>
      </c>
      <c r="G845" s="3192">
        <f t="shared" ref="G845:G908" si="147">(SUMIF($7:$7,F845,$8:$8)-SUMIF($7:$7,$F$24,$8:$8)+100)/100</f>
        <v>1</v>
      </c>
      <c r="H845" s="631">
        <v>3</v>
      </c>
      <c r="I845" s="3192">
        <f t="shared" ref="I845:I908" si="148">(SUMIF($9:$9,H845,$10:$10)-SUMIF($9:$9,$H$24,$10:$10)+100)/100</f>
        <v>1</v>
      </c>
      <c r="J845" s="631"/>
      <c r="K845" s="3192">
        <f t="shared" ref="K845:K908" si="149">(SUMIF($11:$11,J845,$12:$12)-SUMIF($11:$11,$J$24,$12:$12)+100)/100</f>
        <v>1</v>
      </c>
      <c r="L845" s="631"/>
      <c r="M845" s="3192">
        <f t="shared" ref="M845:M908" si="150">(SUMIF($13:$13,L845,$14:$14)-SUMIF($13:$13,$L$24,$14:$14)+100)/100</f>
        <v>1</v>
      </c>
      <c r="N845" s="631"/>
      <c r="O845" s="3192">
        <f t="shared" ref="O845:O908" si="151">(SUMIF($15:$15,N845,$16:$16)-SUMIF($15:$15,$N$24,$16:$16)+100)/100</f>
        <v>1</v>
      </c>
      <c r="P845" s="3194" t="s">
        <v>4045</v>
      </c>
      <c r="Q845" s="3192">
        <f t="shared" ref="Q845:Q908" si="152">(SUMIF($17:$17,P845,$18:$18)-SUMIF($17:$17,$P$24,$18:$18)+100)/100</f>
        <v>1.04</v>
      </c>
      <c r="R845" s="3192">
        <f t="shared" ref="R845:R908" ca="1" si="153">IF(B845="",0,ROUND($R$24*C845*E845*G845*I845*K845*M845*O845*Q845,0))</f>
        <v>14716</v>
      </c>
      <c r="S845" s="898">
        <f t="shared" ref="S845:S908" ca="1" si="154">ROUND(R845*B845/10000,0)</f>
        <v>70</v>
      </c>
      <c r="T845" s="3190">
        <f>面积表!A840</f>
        <v>0</v>
      </c>
    </row>
    <row r="846" spans="1:20">
      <c r="A846" s="3169" t="str">
        <f>面积表!D841</f>
        <v>1801</v>
      </c>
      <c r="B846" s="52">
        <f>面积表!E841</f>
        <v>52.2</v>
      </c>
      <c r="C846" s="3192">
        <f t="shared" si="145"/>
        <v>1</v>
      </c>
      <c r="D846" s="2559" t="s">
        <v>4016</v>
      </c>
      <c r="E846" s="3192">
        <f t="shared" si="146"/>
        <v>1</v>
      </c>
      <c r="F846" s="2559" t="s">
        <v>21</v>
      </c>
      <c r="G846" s="3192">
        <f t="shared" si="147"/>
        <v>1</v>
      </c>
      <c r="H846" s="631">
        <v>3</v>
      </c>
      <c r="I846" s="3192">
        <f t="shared" si="148"/>
        <v>1</v>
      </c>
      <c r="J846" s="631"/>
      <c r="K846" s="3192">
        <f t="shared" si="149"/>
        <v>1</v>
      </c>
      <c r="L846" s="631"/>
      <c r="M846" s="3192">
        <f t="shared" si="150"/>
        <v>1</v>
      </c>
      <c r="N846" s="631"/>
      <c r="O846" s="3192">
        <f t="shared" si="151"/>
        <v>1</v>
      </c>
      <c r="P846" s="3194" t="s">
        <v>4045</v>
      </c>
      <c r="Q846" s="3192">
        <f t="shared" si="152"/>
        <v>1.04</v>
      </c>
      <c r="R846" s="3192">
        <f t="shared" ca="1" si="153"/>
        <v>14716</v>
      </c>
      <c r="S846" s="898">
        <f t="shared" ca="1" si="154"/>
        <v>77</v>
      </c>
      <c r="T846" s="3190">
        <f>面积表!A841</f>
        <v>0</v>
      </c>
    </row>
    <row r="847" spans="1:20">
      <c r="A847" s="3169" t="str">
        <f>面积表!D842</f>
        <v>1802</v>
      </c>
      <c r="B847" s="52">
        <f>面积表!E842</f>
        <v>50.33</v>
      </c>
      <c r="C847" s="3192">
        <f t="shared" si="145"/>
        <v>1</v>
      </c>
      <c r="D847" s="2559" t="s">
        <v>4016</v>
      </c>
      <c r="E847" s="3192">
        <f t="shared" si="146"/>
        <v>1</v>
      </c>
      <c r="F847" s="2559" t="s">
        <v>21</v>
      </c>
      <c r="G847" s="3192">
        <f t="shared" si="147"/>
        <v>1</v>
      </c>
      <c r="H847" s="631">
        <v>3</v>
      </c>
      <c r="I847" s="3192">
        <f t="shared" si="148"/>
        <v>1</v>
      </c>
      <c r="J847" s="631"/>
      <c r="K847" s="3192">
        <f t="shared" si="149"/>
        <v>1</v>
      </c>
      <c r="L847" s="631"/>
      <c r="M847" s="3192">
        <f t="shared" si="150"/>
        <v>1</v>
      </c>
      <c r="N847" s="631"/>
      <c r="O847" s="3192">
        <f t="shared" si="151"/>
        <v>1</v>
      </c>
      <c r="P847" s="3194" t="s">
        <v>4045</v>
      </c>
      <c r="Q847" s="3192">
        <f t="shared" si="152"/>
        <v>1.04</v>
      </c>
      <c r="R847" s="3192">
        <f t="shared" ca="1" si="153"/>
        <v>14716</v>
      </c>
      <c r="S847" s="898">
        <f t="shared" ca="1" si="154"/>
        <v>74</v>
      </c>
      <c r="T847" s="3190">
        <f>面积表!A842</f>
        <v>0</v>
      </c>
    </row>
    <row r="848" spans="1:20">
      <c r="A848" s="3169" t="str">
        <f>面积表!D843</f>
        <v>1803</v>
      </c>
      <c r="B848" s="52">
        <f>面积表!E843</f>
        <v>50.33</v>
      </c>
      <c r="C848" s="3192">
        <f t="shared" si="145"/>
        <v>1</v>
      </c>
      <c r="D848" s="2559" t="s">
        <v>4016</v>
      </c>
      <c r="E848" s="3192">
        <f t="shared" si="146"/>
        <v>1</v>
      </c>
      <c r="F848" s="2559" t="s">
        <v>21</v>
      </c>
      <c r="G848" s="3192">
        <f t="shared" si="147"/>
        <v>1</v>
      </c>
      <c r="H848" s="631">
        <v>3</v>
      </c>
      <c r="I848" s="3192">
        <f t="shared" si="148"/>
        <v>1</v>
      </c>
      <c r="J848" s="631"/>
      <c r="K848" s="3192">
        <f t="shared" si="149"/>
        <v>1</v>
      </c>
      <c r="L848" s="631"/>
      <c r="M848" s="3192">
        <f t="shared" si="150"/>
        <v>1</v>
      </c>
      <c r="N848" s="631"/>
      <c r="O848" s="3192">
        <f t="shared" si="151"/>
        <v>1</v>
      </c>
      <c r="P848" s="3194" t="s">
        <v>4045</v>
      </c>
      <c r="Q848" s="3192">
        <f t="shared" si="152"/>
        <v>1.04</v>
      </c>
      <c r="R848" s="3192">
        <f t="shared" ca="1" si="153"/>
        <v>14716</v>
      </c>
      <c r="S848" s="898">
        <f t="shared" ca="1" si="154"/>
        <v>74</v>
      </c>
      <c r="T848" s="3190">
        <f>面积表!A843</f>
        <v>0</v>
      </c>
    </row>
    <row r="849" spans="1:20">
      <c r="A849" s="3169" t="str">
        <f>面积表!D844</f>
        <v>1804</v>
      </c>
      <c r="B849" s="52">
        <f>面积表!E844</f>
        <v>50.33</v>
      </c>
      <c r="C849" s="3192">
        <f t="shared" si="145"/>
        <v>1</v>
      </c>
      <c r="D849" s="2559" t="s">
        <v>4016</v>
      </c>
      <c r="E849" s="3192">
        <f t="shared" si="146"/>
        <v>1</v>
      </c>
      <c r="F849" s="2559" t="s">
        <v>21</v>
      </c>
      <c r="G849" s="3192">
        <f t="shared" si="147"/>
        <v>1</v>
      </c>
      <c r="H849" s="631">
        <v>3</v>
      </c>
      <c r="I849" s="3192">
        <f t="shared" si="148"/>
        <v>1</v>
      </c>
      <c r="J849" s="631"/>
      <c r="K849" s="3192">
        <f t="shared" si="149"/>
        <v>1</v>
      </c>
      <c r="L849" s="631"/>
      <c r="M849" s="3192">
        <f t="shared" si="150"/>
        <v>1</v>
      </c>
      <c r="N849" s="631"/>
      <c r="O849" s="3192">
        <f t="shared" si="151"/>
        <v>1</v>
      </c>
      <c r="P849" s="3194" t="s">
        <v>4045</v>
      </c>
      <c r="Q849" s="3192">
        <f t="shared" si="152"/>
        <v>1.04</v>
      </c>
      <c r="R849" s="3192">
        <f t="shared" ca="1" si="153"/>
        <v>14716</v>
      </c>
      <c r="S849" s="898">
        <f t="shared" ca="1" si="154"/>
        <v>74</v>
      </c>
      <c r="T849" s="3190">
        <f>面积表!A844</f>
        <v>0</v>
      </c>
    </row>
    <row r="850" spans="1:20">
      <c r="A850" s="3169" t="str">
        <f>面积表!D845</f>
        <v>1805</v>
      </c>
      <c r="B850" s="52">
        <f>面积表!E845</f>
        <v>50.33</v>
      </c>
      <c r="C850" s="3192">
        <f t="shared" si="145"/>
        <v>1</v>
      </c>
      <c r="D850" s="2559" t="s">
        <v>4016</v>
      </c>
      <c r="E850" s="3192">
        <f t="shared" si="146"/>
        <v>1</v>
      </c>
      <c r="F850" s="2559" t="s">
        <v>21</v>
      </c>
      <c r="G850" s="3192">
        <f t="shared" si="147"/>
        <v>1</v>
      </c>
      <c r="H850" s="631">
        <v>3</v>
      </c>
      <c r="I850" s="3192">
        <f t="shared" si="148"/>
        <v>1</v>
      </c>
      <c r="J850" s="631"/>
      <c r="K850" s="3192">
        <f t="shared" si="149"/>
        <v>1</v>
      </c>
      <c r="L850" s="631"/>
      <c r="M850" s="3192">
        <f t="shared" si="150"/>
        <v>1</v>
      </c>
      <c r="N850" s="631"/>
      <c r="O850" s="3192">
        <f t="shared" si="151"/>
        <v>1</v>
      </c>
      <c r="P850" s="3194" t="s">
        <v>4045</v>
      </c>
      <c r="Q850" s="3192">
        <f t="shared" si="152"/>
        <v>1.04</v>
      </c>
      <c r="R850" s="3192">
        <f t="shared" ca="1" si="153"/>
        <v>14716</v>
      </c>
      <c r="S850" s="898">
        <f t="shared" ca="1" si="154"/>
        <v>74</v>
      </c>
      <c r="T850" s="3190">
        <f>面积表!A845</f>
        <v>0</v>
      </c>
    </row>
    <row r="851" spans="1:20">
      <c r="A851" s="3169" t="str">
        <f>面积表!D846</f>
        <v>1806</v>
      </c>
      <c r="B851" s="52">
        <f>面积表!E846</f>
        <v>50.33</v>
      </c>
      <c r="C851" s="3192">
        <f t="shared" si="145"/>
        <v>1</v>
      </c>
      <c r="D851" s="2559" t="s">
        <v>4016</v>
      </c>
      <c r="E851" s="3192">
        <f t="shared" si="146"/>
        <v>1</v>
      </c>
      <c r="F851" s="2559" t="s">
        <v>21</v>
      </c>
      <c r="G851" s="3192">
        <f t="shared" si="147"/>
        <v>1</v>
      </c>
      <c r="H851" s="631">
        <v>3</v>
      </c>
      <c r="I851" s="3192">
        <f t="shared" si="148"/>
        <v>1</v>
      </c>
      <c r="J851" s="631"/>
      <c r="K851" s="3192">
        <f t="shared" si="149"/>
        <v>1</v>
      </c>
      <c r="L851" s="631"/>
      <c r="M851" s="3192">
        <f t="shared" si="150"/>
        <v>1</v>
      </c>
      <c r="N851" s="631"/>
      <c r="O851" s="3192">
        <f t="shared" si="151"/>
        <v>1</v>
      </c>
      <c r="P851" s="3194" t="s">
        <v>4045</v>
      </c>
      <c r="Q851" s="3192">
        <f t="shared" si="152"/>
        <v>1.04</v>
      </c>
      <c r="R851" s="3192">
        <f t="shared" ca="1" si="153"/>
        <v>14716</v>
      </c>
      <c r="S851" s="898">
        <f t="shared" ca="1" si="154"/>
        <v>74</v>
      </c>
      <c r="T851" s="3190">
        <f>面积表!A846</f>
        <v>0</v>
      </c>
    </row>
    <row r="852" spans="1:20">
      <c r="A852" s="3169" t="str">
        <f>面积表!D847</f>
        <v>1807</v>
      </c>
      <c r="B852" s="52">
        <f>面积表!E847</f>
        <v>50.33</v>
      </c>
      <c r="C852" s="3192">
        <f t="shared" si="145"/>
        <v>1</v>
      </c>
      <c r="D852" s="2559" t="s">
        <v>4016</v>
      </c>
      <c r="E852" s="3192">
        <f t="shared" si="146"/>
        <v>1</v>
      </c>
      <c r="F852" s="2559" t="s">
        <v>21</v>
      </c>
      <c r="G852" s="3192">
        <f t="shared" si="147"/>
        <v>1</v>
      </c>
      <c r="H852" s="631">
        <v>3</v>
      </c>
      <c r="I852" s="3192">
        <f t="shared" si="148"/>
        <v>1</v>
      </c>
      <c r="J852" s="631"/>
      <c r="K852" s="3192">
        <f t="shared" si="149"/>
        <v>1</v>
      </c>
      <c r="L852" s="631"/>
      <c r="M852" s="3192">
        <f t="shared" si="150"/>
        <v>1</v>
      </c>
      <c r="N852" s="631"/>
      <c r="O852" s="3192">
        <f t="shared" si="151"/>
        <v>1</v>
      </c>
      <c r="P852" s="3194" t="s">
        <v>4045</v>
      </c>
      <c r="Q852" s="3192">
        <f t="shared" si="152"/>
        <v>1.04</v>
      </c>
      <c r="R852" s="3192">
        <f t="shared" ca="1" si="153"/>
        <v>14716</v>
      </c>
      <c r="S852" s="898">
        <f t="shared" ca="1" si="154"/>
        <v>74</v>
      </c>
      <c r="T852" s="3190">
        <f>面积表!A847</f>
        <v>0</v>
      </c>
    </row>
    <row r="853" spans="1:20">
      <c r="A853" s="3169" t="str">
        <f>面积表!D848</f>
        <v>1808</v>
      </c>
      <c r="B853" s="52">
        <f>面积表!E848</f>
        <v>50.33</v>
      </c>
      <c r="C853" s="3192">
        <f t="shared" si="145"/>
        <v>1</v>
      </c>
      <c r="D853" s="2559" t="s">
        <v>4016</v>
      </c>
      <c r="E853" s="3192">
        <f t="shared" si="146"/>
        <v>1</v>
      </c>
      <c r="F853" s="2559" t="s">
        <v>21</v>
      </c>
      <c r="G853" s="3192">
        <f t="shared" si="147"/>
        <v>1</v>
      </c>
      <c r="H853" s="631">
        <v>3</v>
      </c>
      <c r="I853" s="3192">
        <f t="shared" si="148"/>
        <v>1</v>
      </c>
      <c r="J853" s="631"/>
      <c r="K853" s="3192">
        <f t="shared" si="149"/>
        <v>1</v>
      </c>
      <c r="L853" s="631"/>
      <c r="M853" s="3192">
        <f t="shared" si="150"/>
        <v>1</v>
      </c>
      <c r="N853" s="631"/>
      <c r="O853" s="3192">
        <f t="shared" si="151"/>
        <v>1</v>
      </c>
      <c r="P853" s="3194" t="s">
        <v>4045</v>
      </c>
      <c r="Q853" s="3192">
        <f t="shared" si="152"/>
        <v>1.04</v>
      </c>
      <c r="R853" s="3192">
        <f t="shared" ca="1" si="153"/>
        <v>14716</v>
      </c>
      <c r="S853" s="898">
        <f t="shared" ca="1" si="154"/>
        <v>74</v>
      </c>
      <c r="T853" s="3190">
        <f>面积表!A848</f>
        <v>0</v>
      </c>
    </row>
    <row r="854" spans="1:20">
      <c r="A854" s="3169" t="str">
        <f>面积表!D849</f>
        <v>1809</v>
      </c>
      <c r="B854" s="52">
        <f>面积表!E849</f>
        <v>50.33</v>
      </c>
      <c r="C854" s="3192">
        <f t="shared" si="145"/>
        <v>1</v>
      </c>
      <c r="D854" s="2559" t="s">
        <v>4016</v>
      </c>
      <c r="E854" s="3192">
        <f t="shared" si="146"/>
        <v>1</v>
      </c>
      <c r="F854" s="2559" t="s">
        <v>21</v>
      </c>
      <c r="G854" s="3192">
        <f t="shared" si="147"/>
        <v>1</v>
      </c>
      <c r="H854" s="631">
        <v>3</v>
      </c>
      <c r="I854" s="3192">
        <f t="shared" si="148"/>
        <v>1</v>
      </c>
      <c r="J854" s="631"/>
      <c r="K854" s="3192">
        <f t="shared" si="149"/>
        <v>1</v>
      </c>
      <c r="L854" s="631"/>
      <c r="M854" s="3192">
        <f t="shared" si="150"/>
        <v>1</v>
      </c>
      <c r="N854" s="631"/>
      <c r="O854" s="3192">
        <f t="shared" si="151"/>
        <v>1</v>
      </c>
      <c r="P854" s="3194" t="s">
        <v>4045</v>
      </c>
      <c r="Q854" s="3192">
        <f t="shared" si="152"/>
        <v>1.04</v>
      </c>
      <c r="R854" s="3192">
        <f t="shared" ca="1" si="153"/>
        <v>14716</v>
      </c>
      <c r="S854" s="898">
        <f t="shared" ca="1" si="154"/>
        <v>74</v>
      </c>
      <c r="T854" s="3190">
        <f>面积表!A849</f>
        <v>0</v>
      </c>
    </row>
    <row r="855" spans="1:20">
      <c r="A855" s="3169" t="str">
        <f>面积表!D850</f>
        <v>1810</v>
      </c>
      <c r="B855" s="52">
        <f>面积表!E850</f>
        <v>50.33</v>
      </c>
      <c r="C855" s="3192">
        <f t="shared" si="145"/>
        <v>1</v>
      </c>
      <c r="D855" s="2559" t="s">
        <v>4016</v>
      </c>
      <c r="E855" s="3192">
        <f t="shared" si="146"/>
        <v>1</v>
      </c>
      <c r="F855" s="2559" t="s">
        <v>21</v>
      </c>
      <c r="G855" s="3192">
        <f t="shared" si="147"/>
        <v>1</v>
      </c>
      <c r="H855" s="631">
        <v>3</v>
      </c>
      <c r="I855" s="3192">
        <f t="shared" si="148"/>
        <v>1</v>
      </c>
      <c r="J855" s="631"/>
      <c r="K855" s="3192">
        <f t="shared" si="149"/>
        <v>1</v>
      </c>
      <c r="L855" s="631"/>
      <c r="M855" s="3192">
        <f t="shared" si="150"/>
        <v>1</v>
      </c>
      <c r="N855" s="631"/>
      <c r="O855" s="3192">
        <f t="shared" si="151"/>
        <v>1</v>
      </c>
      <c r="P855" s="3194" t="s">
        <v>4045</v>
      </c>
      <c r="Q855" s="3192">
        <f t="shared" si="152"/>
        <v>1.04</v>
      </c>
      <c r="R855" s="3192">
        <f t="shared" ca="1" si="153"/>
        <v>14716</v>
      </c>
      <c r="S855" s="898">
        <f t="shared" ca="1" si="154"/>
        <v>74</v>
      </c>
      <c r="T855" s="3190">
        <f>面积表!A850</f>
        <v>0</v>
      </c>
    </row>
    <row r="856" spans="1:20">
      <c r="A856" s="3169" t="str">
        <f>面积表!D851</f>
        <v>1811</v>
      </c>
      <c r="B856" s="52">
        <f>面积表!E851</f>
        <v>50.33</v>
      </c>
      <c r="C856" s="3192">
        <f t="shared" si="145"/>
        <v>1</v>
      </c>
      <c r="D856" s="2559" t="s">
        <v>4016</v>
      </c>
      <c r="E856" s="3192">
        <f t="shared" si="146"/>
        <v>1</v>
      </c>
      <c r="F856" s="2559" t="s">
        <v>21</v>
      </c>
      <c r="G856" s="3192">
        <f t="shared" si="147"/>
        <v>1</v>
      </c>
      <c r="H856" s="631">
        <v>3</v>
      </c>
      <c r="I856" s="3192">
        <f t="shared" si="148"/>
        <v>1</v>
      </c>
      <c r="J856" s="631"/>
      <c r="K856" s="3192">
        <f t="shared" si="149"/>
        <v>1</v>
      </c>
      <c r="L856" s="631"/>
      <c r="M856" s="3192">
        <f t="shared" si="150"/>
        <v>1</v>
      </c>
      <c r="N856" s="631"/>
      <c r="O856" s="3192">
        <f t="shared" si="151"/>
        <v>1</v>
      </c>
      <c r="P856" s="3194" t="s">
        <v>4045</v>
      </c>
      <c r="Q856" s="3192">
        <f t="shared" si="152"/>
        <v>1.04</v>
      </c>
      <c r="R856" s="3192">
        <f t="shared" ca="1" si="153"/>
        <v>14716</v>
      </c>
      <c r="S856" s="898">
        <f t="shared" ca="1" si="154"/>
        <v>74</v>
      </c>
      <c r="T856" s="3190">
        <f>面积表!A851</f>
        <v>0</v>
      </c>
    </row>
    <row r="857" spans="1:20">
      <c r="A857" s="3169" t="str">
        <f>面积表!D852</f>
        <v>1812</v>
      </c>
      <c r="B857" s="52">
        <f>面积表!E852</f>
        <v>50.33</v>
      </c>
      <c r="C857" s="3192">
        <f t="shared" si="145"/>
        <v>1</v>
      </c>
      <c r="D857" s="2559" t="s">
        <v>4016</v>
      </c>
      <c r="E857" s="3192">
        <f t="shared" si="146"/>
        <v>1</v>
      </c>
      <c r="F857" s="2559" t="s">
        <v>21</v>
      </c>
      <c r="G857" s="3192">
        <f t="shared" si="147"/>
        <v>1</v>
      </c>
      <c r="H857" s="631">
        <v>3</v>
      </c>
      <c r="I857" s="3192">
        <f t="shared" si="148"/>
        <v>1</v>
      </c>
      <c r="J857" s="631"/>
      <c r="K857" s="3192">
        <f t="shared" si="149"/>
        <v>1</v>
      </c>
      <c r="L857" s="631"/>
      <c r="M857" s="3192">
        <f t="shared" si="150"/>
        <v>1</v>
      </c>
      <c r="N857" s="631"/>
      <c r="O857" s="3192">
        <f t="shared" si="151"/>
        <v>1</v>
      </c>
      <c r="P857" s="3194" t="s">
        <v>4045</v>
      </c>
      <c r="Q857" s="3192">
        <f t="shared" si="152"/>
        <v>1.04</v>
      </c>
      <c r="R857" s="3192">
        <f t="shared" ca="1" si="153"/>
        <v>14716</v>
      </c>
      <c r="S857" s="898">
        <f t="shared" ca="1" si="154"/>
        <v>74</v>
      </c>
      <c r="T857" s="3190">
        <f>面积表!A852</f>
        <v>0</v>
      </c>
    </row>
    <row r="858" spans="1:20">
      <c r="A858" s="3169" t="str">
        <f>面积表!D853</f>
        <v>1813</v>
      </c>
      <c r="B858" s="52">
        <f>面积表!E853</f>
        <v>50.33</v>
      </c>
      <c r="C858" s="3192">
        <f t="shared" si="145"/>
        <v>1</v>
      </c>
      <c r="D858" s="2559" t="s">
        <v>4016</v>
      </c>
      <c r="E858" s="3192">
        <f t="shared" si="146"/>
        <v>1</v>
      </c>
      <c r="F858" s="2559" t="s">
        <v>21</v>
      </c>
      <c r="G858" s="3192">
        <f t="shared" si="147"/>
        <v>1</v>
      </c>
      <c r="H858" s="631">
        <v>3</v>
      </c>
      <c r="I858" s="3192">
        <f t="shared" si="148"/>
        <v>1</v>
      </c>
      <c r="J858" s="631"/>
      <c r="K858" s="3192">
        <f t="shared" si="149"/>
        <v>1</v>
      </c>
      <c r="L858" s="631"/>
      <c r="M858" s="3192">
        <f t="shared" si="150"/>
        <v>1</v>
      </c>
      <c r="N858" s="631"/>
      <c r="O858" s="3192">
        <f t="shared" si="151"/>
        <v>1</v>
      </c>
      <c r="P858" s="3194" t="s">
        <v>4045</v>
      </c>
      <c r="Q858" s="3192">
        <f t="shared" si="152"/>
        <v>1.04</v>
      </c>
      <c r="R858" s="3192">
        <f t="shared" ca="1" si="153"/>
        <v>14716</v>
      </c>
      <c r="S858" s="898">
        <f t="shared" ca="1" si="154"/>
        <v>74</v>
      </c>
      <c r="T858" s="3190">
        <f>面积表!A853</f>
        <v>0</v>
      </c>
    </row>
    <row r="859" spans="1:20">
      <c r="A859" s="3169" t="str">
        <f>面积表!D854</f>
        <v>1814</v>
      </c>
      <c r="B859" s="52">
        <f>面积表!E854</f>
        <v>50.33</v>
      </c>
      <c r="C859" s="3192">
        <f t="shared" si="145"/>
        <v>1</v>
      </c>
      <c r="D859" s="2559" t="s">
        <v>4016</v>
      </c>
      <c r="E859" s="3192">
        <f t="shared" si="146"/>
        <v>1</v>
      </c>
      <c r="F859" s="2559" t="s">
        <v>21</v>
      </c>
      <c r="G859" s="3192">
        <f t="shared" si="147"/>
        <v>1</v>
      </c>
      <c r="H859" s="631">
        <v>3</v>
      </c>
      <c r="I859" s="3192">
        <f t="shared" si="148"/>
        <v>1</v>
      </c>
      <c r="J859" s="631"/>
      <c r="K859" s="3192">
        <f t="shared" si="149"/>
        <v>1</v>
      </c>
      <c r="L859" s="631"/>
      <c r="M859" s="3192">
        <f t="shared" si="150"/>
        <v>1</v>
      </c>
      <c r="N859" s="631"/>
      <c r="O859" s="3192">
        <f t="shared" si="151"/>
        <v>1</v>
      </c>
      <c r="P859" s="3194" t="s">
        <v>4045</v>
      </c>
      <c r="Q859" s="3192">
        <f t="shared" si="152"/>
        <v>1.04</v>
      </c>
      <c r="R859" s="3192">
        <f t="shared" ca="1" si="153"/>
        <v>14716</v>
      </c>
      <c r="S859" s="898">
        <f t="shared" ca="1" si="154"/>
        <v>74</v>
      </c>
      <c r="T859" s="3190">
        <f>面积表!A854</f>
        <v>0</v>
      </c>
    </row>
    <row r="860" spans="1:20">
      <c r="A860" s="3169" t="str">
        <f>面积表!D855</f>
        <v>1815</v>
      </c>
      <c r="B860" s="52">
        <f>面积表!E855</f>
        <v>50.33</v>
      </c>
      <c r="C860" s="3192">
        <f t="shared" si="145"/>
        <v>1</v>
      </c>
      <c r="D860" s="2559" t="s">
        <v>4016</v>
      </c>
      <c r="E860" s="3192">
        <f t="shared" si="146"/>
        <v>1</v>
      </c>
      <c r="F860" s="2559" t="s">
        <v>21</v>
      </c>
      <c r="G860" s="3192">
        <f t="shared" si="147"/>
        <v>1</v>
      </c>
      <c r="H860" s="631">
        <v>3</v>
      </c>
      <c r="I860" s="3192">
        <f t="shared" si="148"/>
        <v>1</v>
      </c>
      <c r="J860" s="631"/>
      <c r="K860" s="3192">
        <f t="shared" si="149"/>
        <v>1</v>
      </c>
      <c r="L860" s="631"/>
      <c r="M860" s="3192">
        <f t="shared" si="150"/>
        <v>1</v>
      </c>
      <c r="N860" s="631"/>
      <c r="O860" s="3192">
        <f t="shared" si="151"/>
        <v>1</v>
      </c>
      <c r="P860" s="3194" t="s">
        <v>4045</v>
      </c>
      <c r="Q860" s="3192">
        <f t="shared" si="152"/>
        <v>1.04</v>
      </c>
      <c r="R860" s="3192">
        <f t="shared" ca="1" si="153"/>
        <v>14716</v>
      </c>
      <c r="S860" s="898">
        <f t="shared" ca="1" si="154"/>
        <v>74</v>
      </c>
      <c r="T860" s="3190">
        <f>面积表!A855</f>
        <v>0</v>
      </c>
    </row>
    <row r="861" spans="1:20">
      <c r="A861" s="3169" t="str">
        <f>面积表!D856</f>
        <v>1816</v>
      </c>
      <c r="B861" s="52">
        <f>面积表!E856</f>
        <v>69.77</v>
      </c>
      <c r="C861" s="3192">
        <f t="shared" si="145"/>
        <v>1.01</v>
      </c>
      <c r="D861" s="2559" t="s">
        <v>4016</v>
      </c>
      <c r="E861" s="3192">
        <f t="shared" si="146"/>
        <v>1</v>
      </c>
      <c r="F861" s="2559" t="s">
        <v>21</v>
      </c>
      <c r="G861" s="3192">
        <f t="shared" si="147"/>
        <v>1</v>
      </c>
      <c r="H861" s="631">
        <v>3</v>
      </c>
      <c r="I861" s="3192">
        <f t="shared" si="148"/>
        <v>1</v>
      </c>
      <c r="J861" s="631"/>
      <c r="K861" s="3192">
        <f t="shared" si="149"/>
        <v>1</v>
      </c>
      <c r="L861" s="631"/>
      <c r="M861" s="3192">
        <f t="shared" si="150"/>
        <v>1</v>
      </c>
      <c r="N861" s="631"/>
      <c r="O861" s="3192">
        <f t="shared" si="151"/>
        <v>1</v>
      </c>
      <c r="P861" s="3194" t="s">
        <v>4045</v>
      </c>
      <c r="Q861" s="3192">
        <f t="shared" si="152"/>
        <v>1.04</v>
      </c>
      <c r="R861" s="3192">
        <f t="shared" ca="1" si="153"/>
        <v>14863</v>
      </c>
      <c r="S861" s="898">
        <f t="shared" ca="1" si="154"/>
        <v>104</v>
      </c>
      <c r="T861" s="3190">
        <f>面积表!A856</f>
        <v>0</v>
      </c>
    </row>
    <row r="862" spans="1:20">
      <c r="A862" s="3169" t="str">
        <f>面积表!D857</f>
        <v>1817</v>
      </c>
      <c r="B862" s="52">
        <f>面积表!E857</f>
        <v>38.65</v>
      </c>
      <c r="C862" s="3192">
        <f t="shared" si="145"/>
        <v>1</v>
      </c>
      <c r="D862" s="2559" t="s">
        <v>4016</v>
      </c>
      <c r="E862" s="3192">
        <f t="shared" si="146"/>
        <v>1</v>
      </c>
      <c r="F862" s="2559" t="s">
        <v>21</v>
      </c>
      <c r="G862" s="3192">
        <f t="shared" si="147"/>
        <v>1</v>
      </c>
      <c r="H862" s="631">
        <v>3</v>
      </c>
      <c r="I862" s="3192">
        <f t="shared" si="148"/>
        <v>1</v>
      </c>
      <c r="J862" s="631"/>
      <c r="K862" s="3192">
        <f t="shared" si="149"/>
        <v>1</v>
      </c>
      <c r="L862" s="631"/>
      <c r="M862" s="3192">
        <f t="shared" si="150"/>
        <v>1</v>
      </c>
      <c r="N862" s="631"/>
      <c r="O862" s="3192">
        <f t="shared" si="151"/>
        <v>1</v>
      </c>
      <c r="P862" s="3194" t="s">
        <v>4045</v>
      </c>
      <c r="Q862" s="3192">
        <f t="shared" si="152"/>
        <v>1.04</v>
      </c>
      <c r="R862" s="3192">
        <f t="shared" ca="1" si="153"/>
        <v>14716</v>
      </c>
      <c r="S862" s="898">
        <f t="shared" ca="1" si="154"/>
        <v>57</v>
      </c>
      <c r="T862" s="3190">
        <f>面积表!A857</f>
        <v>0</v>
      </c>
    </row>
    <row r="863" spans="1:20">
      <c r="A863" s="3169" t="str">
        <f>面积表!D858</f>
        <v>1818</v>
      </c>
      <c r="B863" s="52">
        <f>面积表!E858</f>
        <v>41.99</v>
      </c>
      <c r="C863" s="3192">
        <f t="shared" si="145"/>
        <v>1</v>
      </c>
      <c r="D863" s="2559" t="s">
        <v>4016</v>
      </c>
      <c r="E863" s="3192">
        <f t="shared" si="146"/>
        <v>1</v>
      </c>
      <c r="F863" s="2559" t="s">
        <v>21</v>
      </c>
      <c r="G863" s="3192">
        <f t="shared" si="147"/>
        <v>1</v>
      </c>
      <c r="H863" s="631">
        <v>3</v>
      </c>
      <c r="I863" s="3192">
        <f t="shared" si="148"/>
        <v>1</v>
      </c>
      <c r="J863" s="631"/>
      <c r="K863" s="3192">
        <f t="shared" si="149"/>
        <v>1</v>
      </c>
      <c r="L863" s="631"/>
      <c r="M863" s="3192">
        <f t="shared" si="150"/>
        <v>1</v>
      </c>
      <c r="N863" s="631"/>
      <c r="O863" s="3192">
        <f t="shared" si="151"/>
        <v>1</v>
      </c>
      <c r="P863" s="3194" t="s">
        <v>4045</v>
      </c>
      <c r="Q863" s="3192">
        <f t="shared" si="152"/>
        <v>1.04</v>
      </c>
      <c r="R863" s="3192">
        <f t="shared" ca="1" si="153"/>
        <v>14716</v>
      </c>
      <c r="S863" s="898">
        <f t="shared" ca="1" si="154"/>
        <v>62</v>
      </c>
      <c r="T863" s="3190">
        <f>面积表!A858</f>
        <v>0</v>
      </c>
    </row>
    <row r="864" spans="1:20">
      <c r="A864" s="3169" t="str">
        <f>面积表!D859</f>
        <v>1819</v>
      </c>
      <c r="B864" s="52">
        <f>面积表!E859</f>
        <v>44.72</v>
      </c>
      <c r="C864" s="3192">
        <f t="shared" si="145"/>
        <v>1</v>
      </c>
      <c r="D864" s="2559" t="s">
        <v>4016</v>
      </c>
      <c r="E864" s="3192">
        <f t="shared" si="146"/>
        <v>1</v>
      </c>
      <c r="F864" s="2559" t="s">
        <v>21</v>
      </c>
      <c r="G864" s="3192">
        <f t="shared" si="147"/>
        <v>1</v>
      </c>
      <c r="H864" s="631">
        <v>3</v>
      </c>
      <c r="I864" s="3192">
        <f t="shared" si="148"/>
        <v>1</v>
      </c>
      <c r="J864" s="631"/>
      <c r="K864" s="3192">
        <f t="shared" si="149"/>
        <v>1</v>
      </c>
      <c r="L864" s="631"/>
      <c r="M864" s="3192">
        <f t="shared" si="150"/>
        <v>1</v>
      </c>
      <c r="N864" s="631"/>
      <c r="O864" s="3192">
        <f t="shared" si="151"/>
        <v>1</v>
      </c>
      <c r="P864" s="3194" t="s">
        <v>4045</v>
      </c>
      <c r="Q864" s="3192">
        <f t="shared" si="152"/>
        <v>1.04</v>
      </c>
      <c r="R864" s="3192">
        <f t="shared" ca="1" si="153"/>
        <v>14716</v>
      </c>
      <c r="S864" s="898">
        <f t="shared" ca="1" si="154"/>
        <v>66</v>
      </c>
      <c r="T864" s="3190">
        <f>面积表!A859</f>
        <v>0</v>
      </c>
    </row>
    <row r="865" spans="1:20">
      <c r="A865" s="3169" t="str">
        <f>面积表!D860</f>
        <v>1820</v>
      </c>
      <c r="B865" s="52">
        <f>面积表!E860</f>
        <v>46.83</v>
      </c>
      <c r="C865" s="3192">
        <f t="shared" si="145"/>
        <v>1</v>
      </c>
      <c r="D865" s="2559" t="s">
        <v>4016</v>
      </c>
      <c r="E865" s="3192">
        <f t="shared" si="146"/>
        <v>1</v>
      </c>
      <c r="F865" s="2559" t="s">
        <v>21</v>
      </c>
      <c r="G865" s="3192">
        <f t="shared" si="147"/>
        <v>1</v>
      </c>
      <c r="H865" s="631">
        <v>3</v>
      </c>
      <c r="I865" s="3192">
        <f t="shared" si="148"/>
        <v>1</v>
      </c>
      <c r="J865" s="631"/>
      <c r="K865" s="3192">
        <f t="shared" si="149"/>
        <v>1</v>
      </c>
      <c r="L865" s="631"/>
      <c r="M865" s="3192">
        <f t="shared" si="150"/>
        <v>1</v>
      </c>
      <c r="N865" s="631"/>
      <c r="O865" s="3192">
        <f t="shared" si="151"/>
        <v>1</v>
      </c>
      <c r="P865" s="3194" t="s">
        <v>4045</v>
      </c>
      <c r="Q865" s="3192">
        <f t="shared" si="152"/>
        <v>1.04</v>
      </c>
      <c r="R865" s="3192">
        <f t="shared" ca="1" si="153"/>
        <v>14716</v>
      </c>
      <c r="S865" s="898">
        <f t="shared" ca="1" si="154"/>
        <v>69</v>
      </c>
      <c r="T865" s="3190">
        <f>面积表!A860</f>
        <v>0</v>
      </c>
    </row>
    <row r="866" spans="1:20">
      <c r="A866" s="3169" t="str">
        <f>面积表!D861</f>
        <v>1821</v>
      </c>
      <c r="B866" s="52">
        <f>面积表!E861</f>
        <v>48.33</v>
      </c>
      <c r="C866" s="3192">
        <f t="shared" si="145"/>
        <v>1</v>
      </c>
      <c r="D866" s="2559" t="s">
        <v>4016</v>
      </c>
      <c r="E866" s="3192">
        <f t="shared" si="146"/>
        <v>1</v>
      </c>
      <c r="F866" s="2559" t="s">
        <v>21</v>
      </c>
      <c r="G866" s="3192">
        <f t="shared" si="147"/>
        <v>1</v>
      </c>
      <c r="H866" s="631">
        <v>3</v>
      </c>
      <c r="I866" s="3192">
        <f t="shared" si="148"/>
        <v>1</v>
      </c>
      <c r="J866" s="631"/>
      <c r="K866" s="3192">
        <f t="shared" si="149"/>
        <v>1</v>
      </c>
      <c r="L866" s="631"/>
      <c r="M866" s="3192">
        <f t="shared" si="150"/>
        <v>1</v>
      </c>
      <c r="N866" s="631"/>
      <c r="O866" s="3192">
        <f t="shared" si="151"/>
        <v>1</v>
      </c>
      <c r="P866" s="3194" t="s">
        <v>4045</v>
      </c>
      <c r="Q866" s="3192">
        <f t="shared" si="152"/>
        <v>1.04</v>
      </c>
      <c r="R866" s="3192">
        <f t="shared" ca="1" si="153"/>
        <v>14716</v>
      </c>
      <c r="S866" s="898">
        <f t="shared" ca="1" si="154"/>
        <v>71</v>
      </c>
      <c r="T866" s="3190">
        <f>面积表!A861</f>
        <v>0</v>
      </c>
    </row>
    <row r="867" spans="1:20">
      <c r="A867" s="3169" t="str">
        <f>面积表!D862</f>
        <v>1822</v>
      </c>
      <c r="B867" s="52">
        <f>面积表!E862</f>
        <v>49.3</v>
      </c>
      <c r="C867" s="3192">
        <f t="shared" si="145"/>
        <v>1</v>
      </c>
      <c r="D867" s="2559" t="s">
        <v>4016</v>
      </c>
      <c r="E867" s="3192">
        <f t="shared" si="146"/>
        <v>1</v>
      </c>
      <c r="F867" s="2559" t="s">
        <v>21</v>
      </c>
      <c r="G867" s="3192">
        <f t="shared" si="147"/>
        <v>1</v>
      </c>
      <c r="H867" s="631">
        <v>3</v>
      </c>
      <c r="I867" s="3192">
        <f t="shared" si="148"/>
        <v>1</v>
      </c>
      <c r="J867" s="631"/>
      <c r="K867" s="3192">
        <f t="shared" si="149"/>
        <v>1</v>
      </c>
      <c r="L867" s="631"/>
      <c r="M867" s="3192">
        <f t="shared" si="150"/>
        <v>1</v>
      </c>
      <c r="N867" s="631"/>
      <c r="O867" s="3192">
        <f t="shared" si="151"/>
        <v>1</v>
      </c>
      <c r="P867" s="3194" t="s">
        <v>4045</v>
      </c>
      <c r="Q867" s="3192">
        <f t="shared" si="152"/>
        <v>1.04</v>
      </c>
      <c r="R867" s="3192">
        <f t="shared" ca="1" si="153"/>
        <v>14716</v>
      </c>
      <c r="S867" s="898">
        <f t="shared" ca="1" si="154"/>
        <v>73</v>
      </c>
      <c r="T867" s="3190">
        <f>面积表!A862</f>
        <v>0</v>
      </c>
    </row>
    <row r="868" spans="1:20">
      <c r="A868" s="3169" t="str">
        <f>面积表!D863</f>
        <v>1823</v>
      </c>
      <c r="B868" s="52">
        <f>面积表!E863</f>
        <v>49.59</v>
      </c>
      <c r="C868" s="3192">
        <f t="shared" si="145"/>
        <v>1</v>
      </c>
      <c r="D868" s="2559" t="s">
        <v>4016</v>
      </c>
      <c r="E868" s="3192">
        <f t="shared" si="146"/>
        <v>1</v>
      </c>
      <c r="F868" s="2559" t="s">
        <v>21</v>
      </c>
      <c r="G868" s="3192">
        <f t="shared" si="147"/>
        <v>1</v>
      </c>
      <c r="H868" s="631">
        <v>3</v>
      </c>
      <c r="I868" s="3192">
        <f t="shared" si="148"/>
        <v>1</v>
      </c>
      <c r="J868" s="631"/>
      <c r="K868" s="3192">
        <f t="shared" si="149"/>
        <v>1</v>
      </c>
      <c r="L868" s="631"/>
      <c r="M868" s="3192">
        <f t="shared" si="150"/>
        <v>1</v>
      </c>
      <c r="N868" s="631"/>
      <c r="O868" s="3192">
        <f t="shared" si="151"/>
        <v>1</v>
      </c>
      <c r="P868" s="3194" t="s">
        <v>4045</v>
      </c>
      <c r="Q868" s="3192">
        <f t="shared" si="152"/>
        <v>1.04</v>
      </c>
      <c r="R868" s="3192">
        <f t="shared" ca="1" si="153"/>
        <v>14716</v>
      </c>
      <c r="S868" s="898">
        <f t="shared" ca="1" si="154"/>
        <v>73</v>
      </c>
      <c r="T868" s="3190">
        <f>面积表!A863</f>
        <v>0</v>
      </c>
    </row>
    <row r="869" spans="1:20">
      <c r="A869" s="3169" t="str">
        <f>面积表!D864</f>
        <v>1824</v>
      </c>
      <c r="B869" s="52">
        <f>面积表!E864</f>
        <v>49.28</v>
      </c>
      <c r="C869" s="3192">
        <f t="shared" si="145"/>
        <v>1</v>
      </c>
      <c r="D869" s="2559" t="s">
        <v>4016</v>
      </c>
      <c r="E869" s="3192">
        <f t="shared" si="146"/>
        <v>1</v>
      </c>
      <c r="F869" s="2559" t="s">
        <v>21</v>
      </c>
      <c r="G869" s="3192">
        <f t="shared" si="147"/>
        <v>1</v>
      </c>
      <c r="H869" s="631">
        <v>3</v>
      </c>
      <c r="I869" s="3192">
        <f t="shared" si="148"/>
        <v>1</v>
      </c>
      <c r="J869" s="631"/>
      <c r="K869" s="3192">
        <f t="shared" si="149"/>
        <v>1</v>
      </c>
      <c r="L869" s="631"/>
      <c r="M869" s="3192">
        <f t="shared" si="150"/>
        <v>1</v>
      </c>
      <c r="N869" s="631"/>
      <c r="O869" s="3192">
        <f t="shared" si="151"/>
        <v>1</v>
      </c>
      <c r="P869" s="3194" t="s">
        <v>4045</v>
      </c>
      <c r="Q869" s="3192">
        <f t="shared" si="152"/>
        <v>1.04</v>
      </c>
      <c r="R869" s="3192">
        <f t="shared" ca="1" si="153"/>
        <v>14716</v>
      </c>
      <c r="S869" s="898">
        <f t="shared" ca="1" si="154"/>
        <v>73</v>
      </c>
      <c r="T869" s="3190">
        <f>面积表!A864</f>
        <v>0</v>
      </c>
    </row>
    <row r="870" spans="1:20">
      <c r="A870" s="3169" t="str">
        <f>面积表!D865</f>
        <v>1825</v>
      </c>
      <c r="B870" s="52">
        <f>面积表!E865</f>
        <v>48.41</v>
      </c>
      <c r="C870" s="3192">
        <f t="shared" si="145"/>
        <v>1</v>
      </c>
      <c r="D870" s="2559" t="s">
        <v>4016</v>
      </c>
      <c r="E870" s="3192">
        <f t="shared" si="146"/>
        <v>1</v>
      </c>
      <c r="F870" s="2559" t="s">
        <v>21</v>
      </c>
      <c r="G870" s="3192">
        <f t="shared" si="147"/>
        <v>1</v>
      </c>
      <c r="H870" s="631">
        <v>3</v>
      </c>
      <c r="I870" s="3192">
        <f t="shared" si="148"/>
        <v>1</v>
      </c>
      <c r="J870" s="631"/>
      <c r="K870" s="3192">
        <f t="shared" si="149"/>
        <v>1</v>
      </c>
      <c r="L870" s="631"/>
      <c r="M870" s="3192">
        <f t="shared" si="150"/>
        <v>1</v>
      </c>
      <c r="N870" s="631"/>
      <c r="O870" s="3192">
        <f t="shared" si="151"/>
        <v>1</v>
      </c>
      <c r="P870" s="3194" t="s">
        <v>4045</v>
      </c>
      <c r="Q870" s="3192">
        <f t="shared" si="152"/>
        <v>1.04</v>
      </c>
      <c r="R870" s="3192">
        <f t="shared" ca="1" si="153"/>
        <v>14716</v>
      </c>
      <c r="S870" s="898">
        <f t="shared" ca="1" si="154"/>
        <v>71</v>
      </c>
      <c r="T870" s="3190">
        <f>面积表!A865</f>
        <v>0</v>
      </c>
    </row>
    <row r="871" spans="1:20">
      <c r="A871" s="3169" t="str">
        <f>面积表!D866</f>
        <v>1826</v>
      </c>
      <c r="B871" s="52">
        <f>面积表!E866</f>
        <v>47.44</v>
      </c>
      <c r="C871" s="3192">
        <f t="shared" si="145"/>
        <v>1</v>
      </c>
      <c r="D871" s="2559" t="s">
        <v>4016</v>
      </c>
      <c r="E871" s="3192">
        <f t="shared" si="146"/>
        <v>1</v>
      </c>
      <c r="F871" s="2559" t="s">
        <v>21</v>
      </c>
      <c r="G871" s="3192">
        <f t="shared" si="147"/>
        <v>1</v>
      </c>
      <c r="H871" s="631">
        <v>3</v>
      </c>
      <c r="I871" s="3192">
        <f t="shared" si="148"/>
        <v>1</v>
      </c>
      <c r="J871" s="631"/>
      <c r="K871" s="3192">
        <f t="shared" si="149"/>
        <v>1</v>
      </c>
      <c r="L871" s="631"/>
      <c r="M871" s="3192">
        <f t="shared" si="150"/>
        <v>1</v>
      </c>
      <c r="N871" s="631"/>
      <c r="O871" s="3192">
        <f t="shared" si="151"/>
        <v>1</v>
      </c>
      <c r="P871" s="3194" t="s">
        <v>4045</v>
      </c>
      <c r="Q871" s="3192">
        <f t="shared" si="152"/>
        <v>1.04</v>
      </c>
      <c r="R871" s="3192">
        <f t="shared" ca="1" si="153"/>
        <v>14716</v>
      </c>
      <c r="S871" s="898">
        <f t="shared" ca="1" si="154"/>
        <v>70</v>
      </c>
      <c r="T871" s="3190">
        <f>面积表!A866</f>
        <v>0</v>
      </c>
    </row>
    <row r="872" spans="1:20">
      <c r="A872" s="3169" t="str">
        <f>面积表!D867</f>
        <v>1905</v>
      </c>
      <c r="B872" s="52">
        <f>面积表!E867</f>
        <v>50.33</v>
      </c>
      <c r="C872" s="3192">
        <f t="shared" si="145"/>
        <v>1</v>
      </c>
      <c r="D872" s="2559" t="s">
        <v>4016</v>
      </c>
      <c r="E872" s="3192">
        <f t="shared" si="146"/>
        <v>1</v>
      </c>
      <c r="F872" s="2559" t="s">
        <v>21</v>
      </c>
      <c r="G872" s="3192">
        <f t="shared" si="147"/>
        <v>1</v>
      </c>
      <c r="H872" s="631">
        <v>3</v>
      </c>
      <c r="I872" s="3192">
        <f t="shared" si="148"/>
        <v>1</v>
      </c>
      <c r="J872" s="631"/>
      <c r="K872" s="3192">
        <f t="shared" si="149"/>
        <v>1</v>
      </c>
      <c r="L872" s="631"/>
      <c r="M872" s="3192">
        <f t="shared" si="150"/>
        <v>1</v>
      </c>
      <c r="N872" s="631"/>
      <c r="O872" s="3192">
        <f t="shared" si="151"/>
        <v>1</v>
      </c>
      <c r="P872" s="3194" t="s">
        <v>4045</v>
      </c>
      <c r="Q872" s="3192">
        <f t="shared" si="152"/>
        <v>1.04</v>
      </c>
      <c r="R872" s="3192">
        <f t="shared" ca="1" si="153"/>
        <v>14716</v>
      </c>
      <c r="S872" s="898">
        <f t="shared" ca="1" si="154"/>
        <v>74</v>
      </c>
      <c r="T872" s="3190">
        <f>面积表!A867</f>
        <v>0</v>
      </c>
    </row>
    <row r="873" spans="1:20">
      <c r="A873" s="3169" t="str">
        <f>面积表!D868</f>
        <v>1906</v>
      </c>
      <c r="B873" s="52">
        <f>面积表!E868</f>
        <v>50.33</v>
      </c>
      <c r="C873" s="3192">
        <f t="shared" si="145"/>
        <v>1</v>
      </c>
      <c r="D873" s="2559" t="s">
        <v>4016</v>
      </c>
      <c r="E873" s="3192">
        <f t="shared" si="146"/>
        <v>1</v>
      </c>
      <c r="F873" s="2559" t="s">
        <v>21</v>
      </c>
      <c r="G873" s="3192">
        <f t="shared" si="147"/>
        <v>1</v>
      </c>
      <c r="H873" s="631">
        <v>3</v>
      </c>
      <c r="I873" s="3192">
        <f t="shared" si="148"/>
        <v>1</v>
      </c>
      <c r="J873" s="631"/>
      <c r="K873" s="3192">
        <f t="shared" si="149"/>
        <v>1</v>
      </c>
      <c r="L873" s="631"/>
      <c r="M873" s="3192">
        <f t="shared" si="150"/>
        <v>1</v>
      </c>
      <c r="N873" s="631"/>
      <c r="O873" s="3192">
        <f t="shared" si="151"/>
        <v>1</v>
      </c>
      <c r="P873" s="3194" t="s">
        <v>4045</v>
      </c>
      <c r="Q873" s="3192">
        <f t="shared" si="152"/>
        <v>1.04</v>
      </c>
      <c r="R873" s="3192">
        <f t="shared" ca="1" si="153"/>
        <v>14716</v>
      </c>
      <c r="S873" s="898">
        <f t="shared" ca="1" si="154"/>
        <v>74</v>
      </c>
      <c r="T873" s="3190">
        <f>面积表!A868</f>
        <v>0</v>
      </c>
    </row>
    <row r="874" spans="1:20">
      <c r="A874" s="3169" t="str">
        <f>面积表!D869</f>
        <v>1909</v>
      </c>
      <c r="B874" s="52">
        <f>面积表!E869</f>
        <v>50.33</v>
      </c>
      <c r="C874" s="3192">
        <f t="shared" si="145"/>
        <v>1</v>
      </c>
      <c r="D874" s="2559" t="s">
        <v>4016</v>
      </c>
      <c r="E874" s="3192">
        <f t="shared" si="146"/>
        <v>1</v>
      </c>
      <c r="F874" s="2559" t="s">
        <v>21</v>
      </c>
      <c r="G874" s="3192">
        <f t="shared" si="147"/>
        <v>1</v>
      </c>
      <c r="H874" s="631">
        <v>3</v>
      </c>
      <c r="I874" s="3192">
        <f t="shared" si="148"/>
        <v>1</v>
      </c>
      <c r="J874" s="631"/>
      <c r="K874" s="3192">
        <f t="shared" si="149"/>
        <v>1</v>
      </c>
      <c r="L874" s="631"/>
      <c r="M874" s="3192">
        <f t="shared" si="150"/>
        <v>1</v>
      </c>
      <c r="N874" s="631"/>
      <c r="O874" s="3192">
        <f t="shared" si="151"/>
        <v>1</v>
      </c>
      <c r="P874" s="3194" t="s">
        <v>4045</v>
      </c>
      <c r="Q874" s="3192">
        <f t="shared" si="152"/>
        <v>1.04</v>
      </c>
      <c r="R874" s="3192">
        <f t="shared" ca="1" si="153"/>
        <v>14716</v>
      </c>
      <c r="S874" s="898">
        <f t="shared" ca="1" si="154"/>
        <v>74</v>
      </c>
      <c r="T874" s="3190">
        <f>面积表!A869</f>
        <v>0</v>
      </c>
    </row>
    <row r="875" spans="1:20">
      <c r="A875" s="3169" t="str">
        <f>面积表!D870</f>
        <v>1910</v>
      </c>
      <c r="B875" s="52">
        <f>面积表!E870</f>
        <v>50.33</v>
      </c>
      <c r="C875" s="3192">
        <f t="shared" si="145"/>
        <v>1</v>
      </c>
      <c r="D875" s="2559" t="s">
        <v>4016</v>
      </c>
      <c r="E875" s="3192">
        <f t="shared" si="146"/>
        <v>1</v>
      </c>
      <c r="F875" s="2559" t="s">
        <v>21</v>
      </c>
      <c r="G875" s="3192">
        <f t="shared" si="147"/>
        <v>1</v>
      </c>
      <c r="H875" s="631">
        <v>3</v>
      </c>
      <c r="I875" s="3192">
        <f t="shared" si="148"/>
        <v>1</v>
      </c>
      <c r="J875" s="631"/>
      <c r="K875" s="3192">
        <f t="shared" si="149"/>
        <v>1</v>
      </c>
      <c r="L875" s="631"/>
      <c r="M875" s="3192">
        <f t="shared" si="150"/>
        <v>1</v>
      </c>
      <c r="N875" s="631"/>
      <c r="O875" s="3192">
        <f t="shared" si="151"/>
        <v>1</v>
      </c>
      <c r="P875" s="3194" t="s">
        <v>4045</v>
      </c>
      <c r="Q875" s="3192">
        <f t="shared" si="152"/>
        <v>1.04</v>
      </c>
      <c r="R875" s="3192">
        <f t="shared" ca="1" si="153"/>
        <v>14716</v>
      </c>
      <c r="S875" s="898">
        <f t="shared" ca="1" si="154"/>
        <v>74</v>
      </c>
      <c r="T875" s="3190">
        <f>面积表!A870</f>
        <v>0</v>
      </c>
    </row>
    <row r="876" spans="1:20">
      <c r="A876" s="3169" t="str">
        <f>面积表!D871</f>
        <v>1911</v>
      </c>
      <c r="B876" s="52">
        <f>面积表!E871</f>
        <v>50.33</v>
      </c>
      <c r="C876" s="3192">
        <f t="shared" si="145"/>
        <v>1</v>
      </c>
      <c r="D876" s="2559" t="s">
        <v>4016</v>
      </c>
      <c r="E876" s="3192">
        <f t="shared" si="146"/>
        <v>1</v>
      </c>
      <c r="F876" s="2559" t="s">
        <v>21</v>
      </c>
      <c r="G876" s="3192">
        <f t="shared" si="147"/>
        <v>1</v>
      </c>
      <c r="H876" s="631">
        <v>3</v>
      </c>
      <c r="I876" s="3192">
        <f t="shared" si="148"/>
        <v>1</v>
      </c>
      <c r="J876" s="631"/>
      <c r="K876" s="3192">
        <f t="shared" si="149"/>
        <v>1</v>
      </c>
      <c r="L876" s="631"/>
      <c r="M876" s="3192">
        <f t="shared" si="150"/>
        <v>1</v>
      </c>
      <c r="N876" s="631"/>
      <c r="O876" s="3192">
        <f t="shared" si="151"/>
        <v>1</v>
      </c>
      <c r="P876" s="3194" t="s">
        <v>4045</v>
      </c>
      <c r="Q876" s="3192">
        <f t="shared" si="152"/>
        <v>1.04</v>
      </c>
      <c r="R876" s="3192">
        <f t="shared" ca="1" si="153"/>
        <v>14716</v>
      </c>
      <c r="S876" s="898">
        <f t="shared" ca="1" si="154"/>
        <v>74</v>
      </c>
      <c r="T876" s="3190">
        <f>面积表!A871</f>
        <v>0</v>
      </c>
    </row>
    <row r="877" spans="1:20">
      <c r="A877" s="3169" t="str">
        <f>面积表!D872</f>
        <v>1912</v>
      </c>
      <c r="B877" s="52">
        <f>面积表!E872</f>
        <v>50.33</v>
      </c>
      <c r="C877" s="3192">
        <f t="shared" si="145"/>
        <v>1</v>
      </c>
      <c r="D877" s="2559" t="s">
        <v>4016</v>
      </c>
      <c r="E877" s="3192">
        <f t="shared" si="146"/>
        <v>1</v>
      </c>
      <c r="F877" s="2559" t="s">
        <v>21</v>
      </c>
      <c r="G877" s="3192">
        <f t="shared" si="147"/>
        <v>1</v>
      </c>
      <c r="H877" s="631">
        <v>3</v>
      </c>
      <c r="I877" s="3192">
        <f t="shared" si="148"/>
        <v>1</v>
      </c>
      <c r="J877" s="631"/>
      <c r="K877" s="3192">
        <f t="shared" si="149"/>
        <v>1</v>
      </c>
      <c r="L877" s="631"/>
      <c r="M877" s="3192">
        <f t="shared" si="150"/>
        <v>1</v>
      </c>
      <c r="N877" s="631"/>
      <c r="O877" s="3192">
        <f t="shared" si="151"/>
        <v>1</v>
      </c>
      <c r="P877" s="3194" t="s">
        <v>4045</v>
      </c>
      <c r="Q877" s="3192">
        <f t="shared" si="152"/>
        <v>1.04</v>
      </c>
      <c r="R877" s="3192">
        <f t="shared" ca="1" si="153"/>
        <v>14716</v>
      </c>
      <c r="S877" s="898">
        <f t="shared" ca="1" si="154"/>
        <v>74</v>
      </c>
      <c r="T877" s="3190">
        <f>面积表!A872</f>
        <v>0</v>
      </c>
    </row>
    <row r="878" spans="1:20">
      <c r="A878" s="3169" t="str">
        <f>面积表!D873</f>
        <v>1913</v>
      </c>
      <c r="B878" s="52">
        <f>面积表!E873</f>
        <v>50.33</v>
      </c>
      <c r="C878" s="3192">
        <f t="shared" si="145"/>
        <v>1</v>
      </c>
      <c r="D878" s="2559" t="s">
        <v>4016</v>
      </c>
      <c r="E878" s="3192">
        <f t="shared" si="146"/>
        <v>1</v>
      </c>
      <c r="F878" s="2559" t="s">
        <v>21</v>
      </c>
      <c r="G878" s="3192">
        <f t="shared" si="147"/>
        <v>1</v>
      </c>
      <c r="H878" s="631">
        <v>3</v>
      </c>
      <c r="I878" s="3192">
        <f t="shared" si="148"/>
        <v>1</v>
      </c>
      <c r="J878" s="631"/>
      <c r="K878" s="3192">
        <f t="shared" si="149"/>
        <v>1</v>
      </c>
      <c r="L878" s="631"/>
      <c r="M878" s="3192">
        <f t="shared" si="150"/>
        <v>1</v>
      </c>
      <c r="N878" s="631"/>
      <c r="O878" s="3192">
        <f t="shared" si="151"/>
        <v>1</v>
      </c>
      <c r="P878" s="3194" t="s">
        <v>4045</v>
      </c>
      <c r="Q878" s="3192">
        <f t="shared" si="152"/>
        <v>1.04</v>
      </c>
      <c r="R878" s="3192">
        <f t="shared" ca="1" si="153"/>
        <v>14716</v>
      </c>
      <c r="S878" s="898">
        <f t="shared" ca="1" si="154"/>
        <v>74</v>
      </c>
      <c r="T878" s="3190">
        <f>面积表!A873</f>
        <v>0</v>
      </c>
    </row>
    <row r="879" spans="1:20">
      <c r="A879" s="3169" t="str">
        <f>面积表!D874</f>
        <v>1914</v>
      </c>
      <c r="B879" s="52">
        <f>面积表!E874</f>
        <v>50.33</v>
      </c>
      <c r="C879" s="3192">
        <f t="shared" si="145"/>
        <v>1</v>
      </c>
      <c r="D879" s="2559" t="s">
        <v>4016</v>
      </c>
      <c r="E879" s="3192">
        <f t="shared" si="146"/>
        <v>1</v>
      </c>
      <c r="F879" s="2559" t="s">
        <v>21</v>
      </c>
      <c r="G879" s="3192">
        <f t="shared" si="147"/>
        <v>1</v>
      </c>
      <c r="H879" s="631">
        <v>3</v>
      </c>
      <c r="I879" s="3192">
        <f t="shared" si="148"/>
        <v>1</v>
      </c>
      <c r="J879" s="631"/>
      <c r="K879" s="3192">
        <f t="shared" si="149"/>
        <v>1</v>
      </c>
      <c r="L879" s="631"/>
      <c r="M879" s="3192">
        <f t="shared" si="150"/>
        <v>1</v>
      </c>
      <c r="N879" s="631"/>
      <c r="O879" s="3192">
        <f t="shared" si="151"/>
        <v>1</v>
      </c>
      <c r="P879" s="3194" t="s">
        <v>4045</v>
      </c>
      <c r="Q879" s="3192">
        <f t="shared" si="152"/>
        <v>1.04</v>
      </c>
      <c r="R879" s="3192">
        <f t="shared" ca="1" si="153"/>
        <v>14716</v>
      </c>
      <c r="S879" s="898">
        <f t="shared" ca="1" si="154"/>
        <v>74</v>
      </c>
      <c r="T879" s="3190">
        <f>面积表!A874</f>
        <v>0</v>
      </c>
    </row>
    <row r="880" spans="1:20">
      <c r="A880" s="3169" t="str">
        <f>面积表!D875</f>
        <v>1915</v>
      </c>
      <c r="B880" s="52">
        <f>面积表!E875</f>
        <v>50.33</v>
      </c>
      <c r="C880" s="3192">
        <f t="shared" si="145"/>
        <v>1</v>
      </c>
      <c r="D880" s="2559" t="s">
        <v>4016</v>
      </c>
      <c r="E880" s="3192">
        <f t="shared" si="146"/>
        <v>1</v>
      </c>
      <c r="F880" s="2559" t="s">
        <v>21</v>
      </c>
      <c r="G880" s="3192">
        <f t="shared" si="147"/>
        <v>1</v>
      </c>
      <c r="H880" s="631">
        <v>3</v>
      </c>
      <c r="I880" s="3192">
        <f t="shared" si="148"/>
        <v>1</v>
      </c>
      <c r="J880" s="631"/>
      <c r="K880" s="3192">
        <f t="shared" si="149"/>
        <v>1</v>
      </c>
      <c r="L880" s="631"/>
      <c r="M880" s="3192">
        <f t="shared" si="150"/>
        <v>1</v>
      </c>
      <c r="N880" s="631"/>
      <c r="O880" s="3192">
        <f t="shared" si="151"/>
        <v>1</v>
      </c>
      <c r="P880" s="3194" t="s">
        <v>4045</v>
      </c>
      <c r="Q880" s="3192">
        <f t="shared" si="152"/>
        <v>1.04</v>
      </c>
      <c r="R880" s="3192">
        <f t="shared" ca="1" si="153"/>
        <v>14716</v>
      </c>
      <c r="S880" s="898">
        <f t="shared" ca="1" si="154"/>
        <v>74</v>
      </c>
      <c r="T880" s="3190">
        <f>面积表!A875</f>
        <v>0</v>
      </c>
    </row>
    <row r="881" spans="1:20">
      <c r="A881" s="3169" t="str">
        <f>面积表!D876</f>
        <v>1917</v>
      </c>
      <c r="B881" s="52">
        <f>面积表!E876</f>
        <v>38.65</v>
      </c>
      <c r="C881" s="3192">
        <f t="shared" si="145"/>
        <v>1</v>
      </c>
      <c r="D881" s="2559" t="s">
        <v>4016</v>
      </c>
      <c r="E881" s="3192">
        <f t="shared" si="146"/>
        <v>1</v>
      </c>
      <c r="F881" s="2559" t="s">
        <v>21</v>
      </c>
      <c r="G881" s="3192">
        <f t="shared" si="147"/>
        <v>1</v>
      </c>
      <c r="H881" s="631">
        <v>3</v>
      </c>
      <c r="I881" s="3192">
        <f t="shared" si="148"/>
        <v>1</v>
      </c>
      <c r="J881" s="631"/>
      <c r="K881" s="3192">
        <f t="shared" si="149"/>
        <v>1</v>
      </c>
      <c r="L881" s="631"/>
      <c r="M881" s="3192">
        <f t="shared" si="150"/>
        <v>1</v>
      </c>
      <c r="N881" s="631"/>
      <c r="O881" s="3192">
        <f t="shared" si="151"/>
        <v>1</v>
      </c>
      <c r="P881" s="3194" t="s">
        <v>4045</v>
      </c>
      <c r="Q881" s="3192">
        <f t="shared" si="152"/>
        <v>1.04</v>
      </c>
      <c r="R881" s="3192">
        <f t="shared" ca="1" si="153"/>
        <v>14716</v>
      </c>
      <c r="S881" s="898">
        <f t="shared" ca="1" si="154"/>
        <v>57</v>
      </c>
      <c r="T881" s="3190">
        <f>面积表!A876</f>
        <v>0</v>
      </c>
    </row>
    <row r="882" spans="1:20">
      <c r="A882" s="3169" t="str">
        <f>面积表!D877</f>
        <v>1918</v>
      </c>
      <c r="B882" s="52">
        <f>面积表!E877</f>
        <v>41.99</v>
      </c>
      <c r="C882" s="3192">
        <f t="shared" si="145"/>
        <v>1</v>
      </c>
      <c r="D882" s="2559" t="s">
        <v>4016</v>
      </c>
      <c r="E882" s="3192">
        <f t="shared" si="146"/>
        <v>1</v>
      </c>
      <c r="F882" s="2559" t="s">
        <v>21</v>
      </c>
      <c r="G882" s="3192">
        <f t="shared" si="147"/>
        <v>1</v>
      </c>
      <c r="H882" s="631">
        <v>3</v>
      </c>
      <c r="I882" s="3192">
        <f t="shared" si="148"/>
        <v>1</v>
      </c>
      <c r="J882" s="631"/>
      <c r="K882" s="3192">
        <f t="shared" si="149"/>
        <v>1</v>
      </c>
      <c r="L882" s="631"/>
      <c r="M882" s="3192">
        <f t="shared" si="150"/>
        <v>1</v>
      </c>
      <c r="N882" s="631"/>
      <c r="O882" s="3192">
        <f t="shared" si="151"/>
        <v>1</v>
      </c>
      <c r="P882" s="3194" t="s">
        <v>4045</v>
      </c>
      <c r="Q882" s="3192">
        <f t="shared" si="152"/>
        <v>1.04</v>
      </c>
      <c r="R882" s="3192">
        <f t="shared" ca="1" si="153"/>
        <v>14716</v>
      </c>
      <c r="S882" s="898">
        <f t="shared" ca="1" si="154"/>
        <v>62</v>
      </c>
      <c r="T882" s="3190">
        <f>面积表!A877</f>
        <v>0</v>
      </c>
    </row>
    <row r="883" spans="1:20">
      <c r="A883" s="3169" t="str">
        <f>面积表!D878</f>
        <v>1919</v>
      </c>
      <c r="B883" s="52">
        <f>面积表!E878</f>
        <v>44.72</v>
      </c>
      <c r="C883" s="3192">
        <f t="shared" si="145"/>
        <v>1</v>
      </c>
      <c r="D883" s="2559" t="s">
        <v>4016</v>
      </c>
      <c r="E883" s="3192">
        <f t="shared" si="146"/>
        <v>1</v>
      </c>
      <c r="F883" s="2559" t="s">
        <v>21</v>
      </c>
      <c r="G883" s="3192">
        <f t="shared" si="147"/>
        <v>1</v>
      </c>
      <c r="H883" s="631">
        <v>3</v>
      </c>
      <c r="I883" s="3192">
        <f t="shared" si="148"/>
        <v>1</v>
      </c>
      <c r="J883" s="631"/>
      <c r="K883" s="3192">
        <f t="shared" si="149"/>
        <v>1</v>
      </c>
      <c r="L883" s="631"/>
      <c r="M883" s="3192">
        <f t="shared" si="150"/>
        <v>1</v>
      </c>
      <c r="N883" s="631"/>
      <c r="O883" s="3192">
        <f t="shared" si="151"/>
        <v>1</v>
      </c>
      <c r="P883" s="3194" t="s">
        <v>4045</v>
      </c>
      <c r="Q883" s="3192">
        <f t="shared" si="152"/>
        <v>1.04</v>
      </c>
      <c r="R883" s="3192">
        <f t="shared" ca="1" si="153"/>
        <v>14716</v>
      </c>
      <c r="S883" s="898">
        <f t="shared" ca="1" si="154"/>
        <v>66</v>
      </c>
      <c r="T883" s="3190">
        <f>面积表!A878</f>
        <v>0</v>
      </c>
    </row>
    <row r="884" spans="1:20">
      <c r="A884" s="3169" t="str">
        <f>面积表!D879</f>
        <v>1920</v>
      </c>
      <c r="B884" s="52">
        <f>面积表!E879</f>
        <v>46.83</v>
      </c>
      <c r="C884" s="3192">
        <f t="shared" si="145"/>
        <v>1</v>
      </c>
      <c r="D884" s="2559" t="s">
        <v>4016</v>
      </c>
      <c r="E884" s="3192">
        <f t="shared" si="146"/>
        <v>1</v>
      </c>
      <c r="F884" s="2559" t="s">
        <v>21</v>
      </c>
      <c r="G884" s="3192">
        <f t="shared" si="147"/>
        <v>1</v>
      </c>
      <c r="H884" s="631">
        <v>3</v>
      </c>
      <c r="I884" s="3192">
        <f t="shared" si="148"/>
        <v>1</v>
      </c>
      <c r="J884" s="631"/>
      <c r="K884" s="3192">
        <f t="shared" si="149"/>
        <v>1</v>
      </c>
      <c r="L884" s="631"/>
      <c r="M884" s="3192">
        <f t="shared" si="150"/>
        <v>1</v>
      </c>
      <c r="N884" s="631"/>
      <c r="O884" s="3192">
        <f t="shared" si="151"/>
        <v>1</v>
      </c>
      <c r="P884" s="3194" t="s">
        <v>4045</v>
      </c>
      <c r="Q884" s="3192">
        <f t="shared" si="152"/>
        <v>1.04</v>
      </c>
      <c r="R884" s="3192">
        <f t="shared" ca="1" si="153"/>
        <v>14716</v>
      </c>
      <c r="S884" s="898">
        <f t="shared" ca="1" si="154"/>
        <v>69</v>
      </c>
      <c r="T884" s="3190">
        <f>面积表!A879</f>
        <v>0</v>
      </c>
    </row>
    <row r="885" spans="1:20">
      <c r="A885" s="3169" t="str">
        <f>面积表!D880</f>
        <v>1921</v>
      </c>
      <c r="B885" s="52">
        <f>面积表!E880</f>
        <v>48.33</v>
      </c>
      <c r="C885" s="3192">
        <f t="shared" si="145"/>
        <v>1</v>
      </c>
      <c r="D885" s="2559" t="s">
        <v>4016</v>
      </c>
      <c r="E885" s="3192">
        <f t="shared" si="146"/>
        <v>1</v>
      </c>
      <c r="F885" s="2559" t="s">
        <v>21</v>
      </c>
      <c r="G885" s="3192">
        <f t="shared" si="147"/>
        <v>1</v>
      </c>
      <c r="H885" s="631">
        <v>3</v>
      </c>
      <c r="I885" s="3192">
        <f t="shared" si="148"/>
        <v>1</v>
      </c>
      <c r="J885" s="631"/>
      <c r="K885" s="3192">
        <f t="shared" si="149"/>
        <v>1</v>
      </c>
      <c r="L885" s="631"/>
      <c r="M885" s="3192">
        <f t="shared" si="150"/>
        <v>1</v>
      </c>
      <c r="N885" s="631"/>
      <c r="O885" s="3192">
        <f t="shared" si="151"/>
        <v>1</v>
      </c>
      <c r="P885" s="3194" t="s">
        <v>4045</v>
      </c>
      <c r="Q885" s="3192">
        <f t="shared" si="152"/>
        <v>1.04</v>
      </c>
      <c r="R885" s="3192">
        <f t="shared" ca="1" si="153"/>
        <v>14716</v>
      </c>
      <c r="S885" s="898">
        <f t="shared" ca="1" si="154"/>
        <v>71</v>
      </c>
      <c r="T885" s="3190">
        <f>面积表!A880</f>
        <v>0</v>
      </c>
    </row>
    <row r="886" spans="1:20">
      <c r="A886" s="3169" t="str">
        <f>面积表!D881</f>
        <v>1922</v>
      </c>
      <c r="B886" s="52">
        <f>面积表!E881</f>
        <v>49.3</v>
      </c>
      <c r="C886" s="3192">
        <f t="shared" si="145"/>
        <v>1</v>
      </c>
      <c r="D886" s="2559" t="s">
        <v>4016</v>
      </c>
      <c r="E886" s="3192">
        <f t="shared" si="146"/>
        <v>1</v>
      </c>
      <c r="F886" s="2559" t="s">
        <v>21</v>
      </c>
      <c r="G886" s="3192">
        <f t="shared" si="147"/>
        <v>1</v>
      </c>
      <c r="H886" s="631">
        <v>3</v>
      </c>
      <c r="I886" s="3192">
        <f t="shared" si="148"/>
        <v>1</v>
      </c>
      <c r="J886" s="631"/>
      <c r="K886" s="3192">
        <f t="shared" si="149"/>
        <v>1</v>
      </c>
      <c r="L886" s="631"/>
      <c r="M886" s="3192">
        <f t="shared" si="150"/>
        <v>1</v>
      </c>
      <c r="N886" s="631"/>
      <c r="O886" s="3192">
        <f t="shared" si="151"/>
        <v>1</v>
      </c>
      <c r="P886" s="3194" t="s">
        <v>4045</v>
      </c>
      <c r="Q886" s="3192">
        <f t="shared" si="152"/>
        <v>1.04</v>
      </c>
      <c r="R886" s="3192">
        <f t="shared" ca="1" si="153"/>
        <v>14716</v>
      </c>
      <c r="S886" s="898">
        <f t="shared" ca="1" si="154"/>
        <v>73</v>
      </c>
      <c r="T886" s="3190">
        <f>面积表!A881</f>
        <v>0</v>
      </c>
    </row>
    <row r="887" spans="1:20">
      <c r="A887" s="3169" t="str">
        <f>面积表!D882</f>
        <v>1923</v>
      </c>
      <c r="B887" s="52">
        <f>面积表!E882</f>
        <v>49.59</v>
      </c>
      <c r="C887" s="3192">
        <f t="shared" si="145"/>
        <v>1</v>
      </c>
      <c r="D887" s="2559" t="s">
        <v>4016</v>
      </c>
      <c r="E887" s="3192">
        <f t="shared" si="146"/>
        <v>1</v>
      </c>
      <c r="F887" s="2559" t="s">
        <v>21</v>
      </c>
      <c r="G887" s="3192">
        <f t="shared" si="147"/>
        <v>1</v>
      </c>
      <c r="H887" s="631">
        <v>3</v>
      </c>
      <c r="I887" s="3192">
        <f t="shared" si="148"/>
        <v>1</v>
      </c>
      <c r="J887" s="631"/>
      <c r="K887" s="3192">
        <f t="shared" si="149"/>
        <v>1</v>
      </c>
      <c r="L887" s="631"/>
      <c r="M887" s="3192">
        <f t="shared" si="150"/>
        <v>1</v>
      </c>
      <c r="N887" s="631"/>
      <c r="O887" s="3192">
        <f t="shared" si="151"/>
        <v>1</v>
      </c>
      <c r="P887" s="3194" t="s">
        <v>4045</v>
      </c>
      <c r="Q887" s="3192">
        <f t="shared" si="152"/>
        <v>1.04</v>
      </c>
      <c r="R887" s="3192">
        <f t="shared" ca="1" si="153"/>
        <v>14716</v>
      </c>
      <c r="S887" s="898">
        <f t="shared" ca="1" si="154"/>
        <v>73</v>
      </c>
      <c r="T887" s="3190">
        <f>面积表!A882</f>
        <v>0</v>
      </c>
    </row>
    <row r="888" spans="1:20">
      <c r="A888" s="3169" t="str">
        <f>面积表!D883</f>
        <v>1924</v>
      </c>
      <c r="B888" s="52">
        <f>面积表!E883</f>
        <v>49.28</v>
      </c>
      <c r="C888" s="3192">
        <f t="shared" si="145"/>
        <v>1</v>
      </c>
      <c r="D888" s="2559" t="s">
        <v>4016</v>
      </c>
      <c r="E888" s="3192">
        <f t="shared" si="146"/>
        <v>1</v>
      </c>
      <c r="F888" s="2559" t="s">
        <v>21</v>
      </c>
      <c r="G888" s="3192">
        <f t="shared" si="147"/>
        <v>1</v>
      </c>
      <c r="H888" s="631">
        <v>3</v>
      </c>
      <c r="I888" s="3192">
        <f t="shared" si="148"/>
        <v>1</v>
      </c>
      <c r="J888" s="631"/>
      <c r="K888" s="3192">
        <f t="shared" si="149"/>
        <v>1</v>
      </c>
      <c r="L888" s="631"/>
      <c r="M888" s="3192">
        <f t="shared" si="150"/>
        <v>1</v>
      </c>
      <c r="N888" s="631"/>
      <c r="O888" s="3192">
        <f t="shared" si="151"/>
        <v>1</v>
      </c>
      <c r="P888" s="3194" t="s">
        <v>4045</v>
      </c>
      <c r="Q888" s="3192">
        <f t="shared" si="152"/>
        <v>1.04</v>
      </c>
      <c r="R888" s="3192">
        <f t="shared" ca="1" si="153"/>
        <v>14716</v>
      </c>
      <c r="S888" s="898">
        <f t="shared" ca="1" si="154"/>
        <v>73</v>
      </c>
      <c r="T888" s="3190">
        <f>面积表!A883</f>
        <v>0</v>
      </c>
    </row>
    <row r="889" spans="1:20">
      <c r="A889" s="3169" t="str">
        <f>面积表!D884</f>
        <v>1925</v>
      </c>
      <c r="B889" s="52">
        <f>面积表!E884</f>
        <v>48.41</v>
      </c>
      <c r="C889" s="3192">
        <f t="shared" si="145"/>
        <v>1</v>
      </c>
      <c r="D889" s="2559" t="s">
        <v>4016</v>
      </c>
      <c r="E889" s="3192">
        <f t="shared" si="146"/>
        <v>1</v>
      </c>
      <c r="F889" s="2559" t="s">
        <v>21</v>
      </c>
      <c r="G889" s="3192">
        <f t="shared" si="147"/>
        <v>1</v>
      </c>
      <c r="H889" s="631">
        <v>3</v>
      </c>
      <c r="I889" s="3192">
        <f t="shared" si="148"/>
        <v>1</v>
      </c>
      <c r="J889" s="631"/>
      <c r="K889" s="3192">
        <f t="shared" si="149"/>
        <v>1</v>
      </c>
      <c r="L889" s="631"/>
      <c r="M889" s="3192">
        <f t="shared" si="150"/>
        <v>1</v>
      </c>
      <c r="N889" s="631"/>
      <c r="O889" s="3192">
        <f t="shared" si="151"/>
        <v>1</v>
      </c>
      <c r="P889" s="3194" t="s">
        <v>4045</v>
      </c>
      <c r="Q889" s="3192">
        <f t="shared" si="152"/>
        <v>1.04</v>
      </c>
      <c r="R889" s="3192">
        <f t="shared" ca="1" si="153"/>
        <v>14716</v>
      </c>
      <c r="S889" s="898">
        <f t="shared" ca="1" si="154"/>
        <v>71</v>
      </c>
      <c r="T889" s="3190">
        <f>面积表!A884</f>
        <v>0</v>
      </c>
    </row>
    <row r="890" spans="1:20">
      <c r="A890" s="3169" t="str">
        <f>面积表!D885</f>
        <v>1926</v>
      </c>
      <c r="B890" s="52">
        <f>面积表!E885</f>
        <v>47.44</v>
      </c>
      <c r="C890" s="3192">
        <f t="shared" si="145"/>
        <v>1</v>
      </c>
      <c r="D890" s="2559" t="s">
        <v>4016</v>
      </c>
      <c r="E890" s="3192">
        <f t="shared" si="146"/>
        <v>1</v>
      </c>
      <c r="F890" s="2559" t="s">
        <v>21</v>
      </c>
      <c r="G890" s="3192">
        <f t="shared" si="147"/>
        <v>1</v>
      </c>
      <c r="H890" s="631">
        <v>3</v>
      </c>
      <c r="I890" s="3192">
        <f t="shared" si="148"/>
        <v>1</v>
      </c>
      <c r="J890" s="631"/>
      <c r="K890" s="3192">
        <f t="shared" si="149"/>
        <v>1</v>
      </c>
      <c r="L890" s="631"/>
      <c r="M890" s="3192">
        <f t="shared" si="150"/>
        <v>1</v>
      </c>
      <c r="N890" s="631"/>
      <c r="O890" s="3192">
        <f t="shared" si="151"/>
        <v>1</v>
      </c>
      <c r="P890" s="3194" t="s">
        <v>4045</v>
      </c>
      <c r="Q890" s="3192">
        <f t="shared" si="152"/>
        <v>1.04</v>
      </c>
      <c r="R890" s="3192">
        <f t="shared" ca="1" si="153"/>
        <v>14716</v>
      </c>
      <c r="S890" s="898">
        <f t="shared" ca="1" si="154"/>
        <v>70</v>
      </c>
      <c r="T890" s="3190">
        <f>面积表!A885</f>
        <v>0</v>
      </c>
    </row>
    <row r="891" spans="1:20">
      <c r="A891" s="3169" t="str">
        <f>面积表!D886</f>
        <v>2001</v>
      </c>
      <c r="B891" s="52">
        <f>面积表!E886</f>
        <v>52.2</v>
      </c>
      <c r="C891" s="3192">
        <f t="shared" si="145"/>
        <v>1</v>
      </c>
      <c r="D891" s="2559" t="s">
        <v>4016</v>
      </c>
      <c r="E891" s="3192">
        <f t="shared" si="146"/>
        <v>1</v>
      </c>
      <c r="F891" s="2559" t="s">
        <v>21</v>
      </c>
      <c r="G891" s="3192">
        <f t="shared" si="147"/>
        <v>1</v>
      </c>
      <c r="H891" s="631">
        <v>3</v>
      </c>
      <c r="I891" s="3192">
        <f t="shared" si="148"/>
        <v>1</v>
      </c>
      <c r="J891" s="631"/>
      <c r="K891" s="3192">
        <f t="shared" si="149"/>
        <v>1</v>
      </c>
      <c r="L891" s="631"/>
      <c r="M891" s="3192">
        <f t="shared" si="150"/>
        <v>1</v>
      </c>
      <c r="N891" s="631"/>
      <c r="O891" s="3192">
        <f t="shared" si="151"/>
        <v>1</v>
      </c>
      <c r="P891" s="3194" t="s">
        <v>4045</v>
      </c>
      <c r="Q891" s="3192">
        <f t="shared" si="152"/>
        <v>1.04</v>
      </c>
      <c r="R891" s="3192">
        <f t="shared" ca="1" si="153"/>
        <v>14716</v>
      </c>
      <c r="S891" s="898">
        <f t="shared" ca="1" si="154"/>
        <v>77</v>
      </c>
      <c r="T891" s="3190">
        <f>面积表!A886</f>
        <v>0</v>
      </c>
    </row>
    <row r="892" spans="1:20">
      <c r="A892" s="3169" t="str">
        <f>面积表!D887</f>
        <v>2002</v>
      </c>
      <c r="B892" s="52">
        <f>面积表!E887</f>
        <v>50.33</v>
      </c>
      <c r="C892" s="3192">
        <f t="shared" si="145"/>
        <v>1</v>
      </c>
      <c r="D892" s="2559" t="s">
        <v>4016</v>
      </c>
      <c r="E892" s="3192">
        <f t="shared" si="146"/>
        <v>1</v>
      </c>
      <c r="F892" s="2559" t="s">
        <v>21</v>
      </c>
      <c r="G892" s="3192">
        <f t="shared" si="147"/>
        <v>1</v>
      </c>
      <c r="H892" s="631">
        <v>3</v>
      </c>
      <c r="I892" s="3192">
        <f t="shared" si="148"/>
        <v>1</v>
      </c>
      <c r="J892" s="631"/>
      <c r="K892" s="3192">
        <f t="shared" si="149"/>
        <v>1</v>
      </c>
      <c r="L892" s="631"/>
      <c r="M892" s="3192">
        <f t="shared" si="150"/>
        <v>1</v>
      </c>
      <c r="N892" s="631"/>
      <c r="O892" s="3192">
        <f t="shared" si="151"/>
        <v>1</v>
      </c>
      <c r="P892" s="3194" t="s">
        <v>4045</v>
      </c>
      <c r="Q892" s="3192">
        <f t="shared" si="152"/>
        <v>1.04</v>
      </c>
      <c r="R892" s="3192">
        <f t="shared" ca="1" si="153"/>
        <v>14716</v>
      </c>
      <c r="S892" s="898">
        <f t="shared" ca="1" si="154"/>
        <v>74</v>
      </c>
      <c r="T892" s="3190">
        <f>面积表!A887</f>
        <v>0</v>
      </c>
    </row>
    <row r="893" spans="1:20">
      <c r="A893" s="3169" t="str">
        <f>面积表!D888</f>
        <v>2003</v>
      </c>
      <c r="B893" s="52">
        <f>面积表!E888</f>
        <v>50.33</v>
      </c>
      <c r="C893" s="3192">
        <f t="shared" si="145"/>
        <v>1</v>
      </c>
      <c r="D893" s="2559" t="s">
        <v>4016</v>
      </c>
      <c r="E893" s="3192">
        <f t="shared" si="146"/>
        <v>1</v>
      </c>
      <c r="F893" s="2559" t="s">
        <v>21</v>
      </c>
      <c r="G893" s="3192">
        <f t="shared" si="147"/>
        <v>1</v>
      </c>
      <c r="H893" s="631">
        <v>3</v>
      </c>
      <c r="I893" s="3192">
        <f t="shared" si="148"/>
        <v>1</v>
      </c>
      <c r="J893" s="631"/>
      <c r="K893" s="3192">
        <f t="shared" si="149"/>
        <v>1</v>
      </c>
      <c r="L893" s="631"/>
      <c r="M893" s="3192">
        <f t="shared" si="150"/>
        <v>1</v>
      </c>
      <c r="N893" s="631"/>
      <c r="O893" s="3192">
        <f t="shared" si="151"/>
        <v>1</v>
      </c>
      <c r="P893" s="3194" t="s">
        <v>4045</v>
      </c>
      <c r="Q893" s="3192">
        <f t="shared" si="152"/>
        <v>1.04</v>
      </c>
      <c r="R893" s="3192">
        <f t="shared" ca="1" si="153"/>
        <v>14716</v>
      </c>
      <c r="S893" s="898">
        <f t="shared" ca="1" si="154"/>
        <v>74</v>
      </c>
      <c r="T893" s="3190">
        <f>面积表!A888</f>
        <v>0</v>
      </c>
    </row>
    <row r="894" spans="1:20">
      <c r="A894" s="3169" t="str">
        <f>面积表!D889</f>
        <v>2004</v>
      </c>
      <c r="B894" s="52">
        <f>面积表!E889</f>
        <v>50.33</v>
      </c>
      <c r="C894" s="3192">
        <f t="shared" si="145"/>
        <v>1</v>
      </c>
      <c r="D894" s="2559" t="s">
        <v>4016</v>
      </c>
      <c r="E894" s="3192">
        <f t="shared" si="146"/>
        <v>1</v>
      </c>
      <c r="F894" s="2559" t="s">
        <v>21</v>
      </c>
      <c r="G894" s="3192">
        <f t="shared" si="147"/>
        <v>1</v>
      </c>
      <c r="H894" s="631">
        <v>3</v>
      </c>
      <c r="I894" s="3192">
        <f t="shared" si="148"/>
        <v>1</v>
      </c>
      <c r="J894" s="631"/>
      <c r="K894" s="3192">
        <f t="shared" si="149"/>
        <v>1</v>
      </c>
      <c r="L894" s="631"/>
      <c r="M894" s="3192">
        <f t="shared" si="150"/>
        <v>1</v>
      </c>
      <c r="N894" s="631"/>
      <c r="O894" s="3192">
        <f t="shared" si="151"/>
        <v>1</v>
      </c>
      <c r="P894" s="3194" t="s">
        <v>4045</v>
      </c>
      <c r="Q894" s="3192">
        <f t="shared" si="152"/>
        <v>1.04</v>
      </c>
      <c r="R894" s="3192">
        <f t="shared" ca="1" si="153"/>
        <v>14716</v>
      </c>
      <c r="S894" s="898">
        <f t="shared" ca="1" si="154"/>
        <v>74</v>
      </c>
      <c r="T894" s="3190">
        <f>面积表!A889</f>
        <v>0</v>
      </c>
    </row>
    <row r="895" spans="1:20">
      <c r="A895" s="3169" t="str">
        <f>面积表!D890</f>
        <v>2005</v>
      </c>
      <c r="B895" s="52">
        <f>面积表!E890</f>
        <v>50.33</v>
      </c>
      <c r="C895" s="3192">
        <f t="shared" si="145"/>
        <v>1</v>
      </c>
      <c r="D895" s="2559" t="s">
        <v>4016</v>
      </c>
      <c r="E895" s="3192">
        <f t="shared" si="146"/>
        <v>1</v>
      </c>
      <c r="F895" s="2559" t="s">
        <v>21</v>
      </c>
      <c r="G895" s="3192">
        <f t="shared" si="147"/>
        <v>1</v>
      </c>
      <c r="H895" s="631">
        <v>3</v>
      </c>
      <c r="I895" s="3192">
        <f t="shared" si="148"/>
        <v>1</v>
      </c>
      <c r="J895" s="631"/>
      <c r="K895" s="3192">
        <f t="shared" si="149"/>
        <v>1</v>
      </c>
      <c r="L895" s="631"/>
      <c r="M895" s="3192">
        <f t="shared" si="150"/>
        <v>1</v>
      </c>
      <c r="N895" s="631"/>
      <c r="O895" s="3192">
        <f t="shared" si="151"/>
        <v>1</v>
      </c>
      <c r="P895" s="3194" t="s">
        <v>4045</v>
      </c>
      <c r="Q895" s="3192">
        <f t="shared" si="152"/>
        <v>1.04</v>
      </c>
      <c r="R895" s="3192">
        <f t="shared" ca="1" si="153"/>
        <v>14716</v>
      </c>
      <c r="S895" s="898">
        <f t="shared" ca="1" si="154"/>
        <v>74</v>
      </c>
      <c r="T895" s="3190">
        <f>面积表!A890</f>
        <v>0</v>
      </c>
    </row>
    <row r="896" spans="1:20">
      <c r="A896" s="3169" t="str">
        <f>面积表!D891</f>
        <v>2006</v>
      </c>
      <c r="B896" s="52">
        <f>面积表!E891</f>
        <v>50.33</v>
      </c>
      <c r="C896" s="3192">
        <f t="shared" si="145"/>
        <v>1</v>
      </c>
      <c r="D896" s="2559" t="s">
        <v>4016</v>
      </c>
      <c r="E896" s="3192">
        <f t="shared" si="146"/>
        <v>1</v>
      </c>
      <c r="F896" s="2559" t="s">
        <v>21</v>
      </c>
      <c r="G896" s="3192">
        <f t="shared" si="147"/>
        <v>1</v>
      </c>
      <c r="H896" s="631">
        <v>3</v>
      </c>
      <c r="I896" s="3192">
        <f t="shared" si="148"/>
        <v>1</v>
      </c>
      <c r="J896" s="631"/>
      <c r="K896" s="3192">
        <f t="shared" si="149"/>
        <v>1</v>
      </c>
      <c r="L896" s="631"/>
      <c r="M896" s="3192">
        <f t="shared" si="150"/>
        <v>1</v>
      </c>
      <c r="N896" s="631"/>
      <c r="O896" s="3192">
        <f t="shared" si="151"/>
        <v>1</v>
      </c>
      <c r="P896" s="3194" t="s">
        <v>4045</v>
      </c>
      <c r="Q896" s="3192">
        <f t="shared" si="152"/>
        <v>1.04</v>
      </c>
      <c r="R896" s="3192">
        <f t="shared" ca="1" si="153"/>
        <v>14716</v>
      </c>
      <c r="S896" s="898">
        <f t="shared" ca="1" si="154"/>
        <v>74</v>
      </c>
      <c r="T896" s="3190">
        <f>面积表!A891</f>
        <v>0</v>
      </c>
    </row>
    <row r="897" spans="1:20">
      <c r="A897" s="3169" t="str">
        <f>面积表!D892</f>
        <v>2007</v>
      </c>
      <c r="B897" s="52">
        <f>面积表!E892</f>
        <v>50.33</v>
      </c>
      <c r="C897" s="3192">
        <f t="shared" si="145"/>
        <v>1</v>
      </c>
      <c r="D897" s="2559" t="s">
        <v>4016</v>
      </c>
      <c r="E897" s="3192">
        <f t="shared" si="146"/>
        <v>1</v>
      </c>
      <c r="F897" s="2559" t="s">
        <v>21</v>
      </c>
      <c r="G897" s="3192">
        <f t="shared" si="147"/>
        <v>1</v>
      </c>
      <c r="H897" s="631">
        <v>3</v>
      </c>
      <c r="I897" s="3192">
        <f t="shared" si="148"/>
        <v>1</v>
      </c>
      <c r="J897" s="631"/>
      <c r="K897" s="3192">
        <f t="shared" si="149"/>
        <v>1</v>
      </c>
      <c r="L897" s="631"/>
      <c r="M897" s="3192">
        <f t="shared" si="150"/>
        <v>1</v>
      </c>
      <c r="N897" s="631"/>
      <c r="O897" s="3192">
        <f t="shared" si="151"/>
        <v>1</v>
      </c>
      <c r="P897" s="3194" t="s">
        <v>4045</v>
      </c>
      <c r="Q897" s="3192">
        <f t="shared" si="152"/>
        <v>1.04</v>
      </c>
      <c r="R897" s="3192">
        <f t="shared" ca="1" si="153"/>
        <v>14716</v>
      </c>
      <c r="S897" s="898">
        <f t="shared" ca="1" si="154"/>
        <v>74</v>
      </c>
      <c r="T897" s="3190">
        <f>面积表!A892</f>
        <v>0</v>
      </c>
    </row>
    <row r="898" spans="1:20">
      <c r="A898" s="3169" t="str">
        <f>面积表!D893</f>
        <v>2008</v>
      </c>
      <c r="B898" s="52">
        <f>面积表!E893</f>
        <v>50.33</v>
      </c>
      <c r="C898" s="3192">
        <f t="shared" si="145"/>
        <v>1</v>
      </c>
      <c r="D898" s="2559" t="s">
        <v>4016</v>
      </c>
      <c r="E898" s="3192">
        <f t="shared" si="146"/>
        <v>1</v>
      </c>
      <c r="F898" s="2559" t="s">
        <v>21</v>
      </c>
      <c r="G898" s="3192">
        <f t="shared" si="147"/>
        <v>1</v>
      </c>
      <c r="H898" s="631">
        <v>3</v>
      </c>
      <c r="I898" s="3192">
        <f t="shared" si="148"/>
        <v>1</v>
      </c>
      <c r="J898" s="631"/>
      <c r="K898" s="3192">
        <f t="shared" si="149"/>
        <v>1</v>
      </c>
      <c r="L898" s="631"/>
      <c r="M898" s="3192">
        <f t="shared" si="150"/>
        <v>1</v>
      </c>
      <c r="N898" s="631"/>
      <c r="O898" s="3192">
        <f t="shared" si="151"/>
        <v>1</v>
      </c>
      <c r="P898" s="3194" t="s">
        <v>4045</v>
      </c>
      <c r="Q898" s="3192">
        <f t="shared" si="152"/>
        <v>1.04</v>
      </c>
      <c r="R898" s="3192">
        <f t="shared" ca="1" si="153"/>
        <v>14716</v>
      </c>
      <c r="S898" s="898">
        <f t="shared" ca="1" si="154"/>
        <v>74</v>
      </c>
      <c r="T898" s="3190">
        <f>面积表!A893</f>
        <v>0</v>
      </c>
    </row>
    <row r="899" spans="1:20">
      <c r="A899" s="3169" t="str">
        <f>面积表!D894</f>
        <v>2009</v>
      </c>
      <c r="B899" s="52">
        <f>面积表!E894</f>
        <v>50.33</v>
      </c>
      <c r="C899" s="3192">
        <f t="shared" si="145"/>
        <v>1</v>
      </c>
      <c r="D899" s="2559" t="s">
        <v>4016</v>
      </c>
      <c r="E899" s="3192">
        <f t="shared" si="146"/>
        <v>1</v>
      </c>
      <c r="F899" s="2559" t="s">
        <v>21</v>
      </c>
      <c r="G899" s="3192">
        <f t="shared" si="147"/>
        <v>1</v>
      </c>
      <c r="H899" s="631">
        <v>3</v>
      </c>
      <c r="I899" s="3192">
        <f t="shared" si="148"/>
        <v>1</v>
      </c>
      <c r="J899" s="631"/>
      <c r="K899" s="3192">
        <f t="shared" si="149"/>
        <v>1</v>
      </c>
      <c r="L899" s="631"/>
      <c r="M899" s="3192">
        <f t="shared" si="150"/>
        <v>1</v>
      </c>
      <c r="N899" s="631"/>
      <c r="O899" s="3192">
        <f t="shared" si="151"/>
        <v>1</v>
      </c>
      <c r="P899" s="3194" t="s">
        <v>4045</v>
      </c>
      <c r="Q899" s="3192">
        <f t="shared" si="152"/>
        <v>1.04</v>
      </c>
      <c r="R899" s="3192">
        <f t="shared" ca="1" si="153"/>
        <v>14716</v>
      </c>
      <c r="S899" s="898">
        <f t="shared" ca="1" si="154"/>
        <v>74</v>
      </c>
      <c r="T899" s="3190">
        <f>面积表!A894</f>
        <v>0</v>
      </c>
    </row>
    <row r="900" spans="1:20">
      <c r="A900" s="3169" t="str">
        <f>面积表!D895</f>
        <v>2010</v>
      </c>
      <c r="B900" s="52">
        <f>面积表!E895</f>
        <v>50.33</v>
      </c>
      <c r="C900" s="3192">
        <f t="shared" si="145"/>
        <v>1</v>
      </c>
      <c r="D900" s="2559" t="s">
        <v>4016</v>
      </c>
      <c r="E900" s="3192">
        <f t="shared" si="146"/>
        <v>1</v>
      </c>
      <c r="F900" s="2559" t="s">
        <v>21</v>
      </c>
      <c r="G900" s="3192">
        <f t="shared" si="147"/>
        <v>1</v>
      </c>
      <c r="H900" s="631">
        <v>3</v>
      </c>
      <c r="I900" s="3192">
        <f t="shared" si="148"/>
        <v>1</v>
      </c>
      <c r="J900" s="631"/>
      <c r="K900" s="3192">
        <f t="shared" si="149"/>
        <v>1</v>
      </c>
      <c r="L900" s="631"/>
      <c r="M900" s="3192">
        <f t="shared" si="150"/>
        <v>1</v>
      </c>
      <c r="N900" s="631"/>
      <c r="O900" s="3192">
        <f t="shared" si="151"/>
        <v>1</v>
      </c>
      <c r="P900" s="3194" t="s">
        <v>4045</v>
      </c>
      <c r="Q900" s="3192">
        <f t="shared" si="152"/>
        <v>1.04</v>
      </c>
      <c r="R900" s="3192">
        <f t="shared" ca="1" si="153"/>
        <v>14716</v>
      </c>
      <c r="S900" s="898">
        <f t="shared" ca="1" si="154"/>
        <v>74</v>
      </c>
      <c r="T900" s="3190">
        <f>面积表!A895</f>
        <v>0</v>
      </c>
    </row>
    <row r="901" spans="1:20">
      <c r="A901" s="3169" t="str">
        <f>面积表!D896</f>
        <v>2011</v>
      </c>
      <c r="B901" s="52">
        <f>面积表!E896</f>
        <v>50.33</v>
      </c>
      <c r="C901" s="3192">
        <f t="shared" si="145"/>
        <v>1</v>
      </c>
      <c r="D901" s="2559" t="s">
        <v>4016</v>
      </c>
      <c r="E901" s="3192">
        <f t="shared" si="146"/>
        <v>1</v>
      </c>
      <c r="F901" s="2559" t="s">
        <v>21</v>
      </c>
      <c r="G901" s="3192">
        <f t="shared" si="147"/>
        <v>1</v>
      </c>
      <c r="H901" s="631">
        <v>3</v>
      </c>
      <c r="I901" s="3192">
        <f t="shared" si="148"/>
        <v>1</v>
      </c>
      <c r="J901" s="631"/>
      <c r="K901" s="3192">
        <f t="shared" si="149"/>
        <v>1</v>
      </c>
      <c r="L901" s="631"/>
      <c r="M901" s="3192">
        <f t="shared" si="150"/>
        <v>1</v>
      </c>
      <c r="N901" s="631"/>
      <c r="O901" s="3192">
        <f t="shared" si="151"/>
        <v>1</v>
      </c>
      <c r="P901" s="3194" t="s">
        <v>4045</v>
      </c>
      <c r="Q901" s="3192">
        <f t="shared" si="152"/>
        <v>1.04</v>
      </c>
      <c r="R901" s="3192">
        <f t="shared" ca="1" si="153"/>
        <v>14716</v>
      </c>
      <c r="S901" s="898">
        <f t="shared" ca="1" si="154"/>
        <v>74</v>
      </c>
      <c r="T901" s="3190">
        <f>面积表!A896</f>
        <v>0</v>
      </c>
    </row>
    <row r="902" spans="1:20">
      <c r="A902" s="3169" t="str">
        <f>面积表!D897</f>
        <v>2012</v>
      </c>
      <c r="B902" s="52">
        <f>面积表!E897</f>
        <v>50.33</v>
      </c>
      <c r="C902" s="3192">
        <f t="shared" si="145"/>
        <v>1</v>
      </c>
      <c r="D902" s="2559" t="s">
        <v>4016</v>
      </c>
      <c r="E902" s="3192">
        <f t="shared" si="146"/>
        <v>1</v>
      </c>
      <c r="F902" s="2559" t="s">
        <v>21</v>
      </c>
      <c r="G902" s="3192">
        <f t="shared" si="147"/>
        <v>1</v>
      </c>
      <c r="H902" s="631">
        <v>3</v>
      </c>
      <c r="I902" s="3192">
        <f t="shared" si="148"/>
        <v>1</v>
      </c>
      <c r="J902" s="631"/>
      <c r="K902" s="3192">
        <f t="shared" si="149"/>
        <v>1</v>
      </c>
      <c r="L902" s="631"/>
      <c r="M902" s="3192">
        <f t="shared" si="150"/>
        <v>1</v>
      </c>
      <c r="N902" s="631"/>
      <c r="O902" s="3192">
        <f t="shared" si="151"/>
        <v>1</v>
      </c>
      <c r="P902" s="3194" t="s">
        <v>4045</v>
      </c>
      <c r="Q902" s="3192">
        <f t="shared" si="152"/>
        <v>1.04</v>
      </c>
      <c r="R902" s="3192">
        <f t="shared" ca="1" si="153"/>
        <v>14716</v>
      </c>
      <c r="S902" s="898">
        <f t="shared" ca="1" si="154"/>
        <v>74</v>
      </c>
      <c r="T902" s="3190">
        <f>面积表!A897</f>
        <v>0</v>
      </c>
    </row>
    <row r="903" spans="1:20">
      <c r="A903" s="3169" t="str">
        <f>面积表!D898</f>
        <v>2013</v>
      </c>
      <c r="B903" s="52">
        <f>面积表!E898</f>
        <v>50.33</v>
      </c>
      <c r="C903" s="3192">
        <f t="shared" si="145"/>
        <v>1</v>
      </c>
      <c r="D903" s="2559" t="s">
        <v>4016</v>
      </c>
      <c r="E903" s="3192">
        <f t="shared" si="146"/>
        <v>1</v>
      </c>
      <c r="F903" s="2559" t="s">
        <v>21</v>
      </c>
      <c r="G903" s="3192">
        <f t="shared" si="147"/>
        <v>1</v>
      </c>
      <c r="H903" s="631">
        <v>3</v>
      </c>
      <c r="I903" s="3192">
        <f t="shared" si="148"/>
        <v>1</v>
      </c>
      <c r="J903" s="631"/>
      <c r="K903" s="3192">
        <f t="shared" si="149"/>
        <v>1</v>
      </c>
      <c r="L903" s="631"/>
      <c r="M903" s="3192">
        <f t="shared" si="150"/>
        <v>1</v>
      </c>
      <c r="N903" s="631"/>
      <c r="O903" s="3192">
        <f t="shared" si="151"/>
        <v>1</v>
      </c>
      <c r="P903" s="3194" t="s">
        <v>4045</v>
      </c>
      <c r="Q903" s="3192">
        <f t="shared" si="152"/>
        <v>1.04</v>
      </c>
      <c r="R903" s="3192">
        <f t="shared" ca="1" si="153"/>
        <v>14716</v>
      </c>
      <c r="S903" s="898">
        <f t="shared" ca="1" si="154"/>
        <v>74</v>
      </c>
      <c r="T903" s="3190">
        <f>面积表!A898</f>
        <v>0</v>
      </c>
    </row>
    <row r="904" spans="1:20">
      <c r="A904" s="3169" t="str">
        <f>面积表!D899</f>
        <v>2014</v>
      </c>
      <c r="B904" s="52">
        <f>面积表!E899</f>
        <v>50.33</v>
      </c>
      <c r="C904" s="3192">
        <f t="shared" si="145"/>
        <v>1</v>
      </c>
      <c r="D904" s="2559" t="s">
        <v>4016</v>
      </c>
      <c r="E904" s="3192">
        <f t="shared" si="146"/>
        <v>1</v>
      </c>
      <c r="F904" s="2559" t="s">
        <v>21</v>
      </c>
      <c r="G904" s="3192">
        <f t="shared" si="147"/>
        <v>1</v>
      </c>
      <c r="H904" s="631">
        <v>3</v>
      </c>
      <c r="I904" s="3192">
        <f t="shared" si="148"/>
        <v>1</v>
      </c>
      <c r="J904" s="631"/>
      <c r="K904" s="3192">
        <f t="shared" si="149"/>
        <v>1</v>
      </c>
      <c r="L904" s="631"/>
      <c r="M904" s="3192">
        <f t="shared" si="150"/>
        <v>1</v>
      </c>
      <c r="N904" s="631"/>
      <c r="O904" s="3192">
        <f t="shared" si="151"/>
        <v>1</v>
      </c>
      <c r="P904" s="3194" t="s">
        <v>4045</v>
      </c>
      <c r="Q904" s="3192">
        <f t="shared" si="152"/>
        <v>1.04</v>
      </c>
      <c r="R904" s="3192">
        <f t="shared" ca="1" si="153"/>
        <v>14716</v>
      </c>
      <c r="S904" s="898">
        <f t="shared" ca="1" si="154"/>
        <v>74</v>
      </c>
      <c r="T904" s="3190">
        <f>面积表!A899</f>
        <v>0</v>
      </c>
    </row>
    <row r="905" spans="1:20">
      <c r="A905" s="3169" t="str">
        <f>面积表!D900</f>
        <v>2015</v>
      </c>
      <c r="B905" s="52">
        <f>面积表!E900</f>
        <v>50.33</v>
      </c>
      <c r="C905" s="3192">
        <f t="shared" si="145"/>
        <v>1</v>
      </c>
      <c r="D905" s="2559" t="s">
        <v>4016</v>
      </c>
      <c r="E905" s="3192">
        <f t="shared" si="146"/>
        <v>1</v>
      </c>
      <c r="F905" s="2559" t="s">
        <v>21</v>
      </c>
      <c r="G905" s="3192">
        <f t="shared" si="147"/>
        <v>1</v>
      </c>
      <c r="H905" s="631">
        <v>3</v>
      </c>
      <c r="I905" s="3192">
        <f t="shared" si="148"/>
        <v>1</v>
      </c>
      <c r="J905" s="631"/>
      <c r="K905" s="3192">
        <f t="shared" si="149"/>
        <v>1</v>
      </c>
      <c r="L905" s="631"/>
      <c r="M905" s="3192">
        <f t="shared" si="150"/>
        <v>1</v>
      </c>
      <c r="N905" s="631"/>
      <c r="O905" s="3192">
        <f t="shared" si="151"/>
        <v>1</v>
      </c>
      <c r="P905" s="3194" t="s">
        <v>4045</v>
      </c>
      <c r="Q905" s="3192">
        <f t="shared" si="152"/>
        <v>1.04</v>
      </c>
      <c r="R905" s="3192">
        <f t="shared" ca="1" si="153"/>
        <v>14716</v>
      </c>
      <c r="S905" s="898">
        <f t="shared" ca="1" si="154"/>
        <v>74</v>
      </c>
      <c r="T905" s="3190">
        <f>面积表!A900</f>
        <v>0</v>
      </c>
    </row>
    <row r="906" spans="1:20">
      <c r="A906" s="3169" t="str">
        <f>面积表!D901</f>
        <v>2016</v>
      </c>
      <c r="B906" s="52">
        <f>面积表!E901</f>
        <v>69.77</v>
      </c>
      <c r="C906" s="3192">
        <f t="shared" si="145"/>
        <v>1.01</v>
      </c>
      <c r="D906" s="2559" t="s">
        <v>4016</v>
      </c>
      <c r="E906" s="3192">
        <f t="shared" si="146"/>
        <v>1</v>
      </c>
      <c r="F906" s="2559" t="s">
        <v>21</v>
      </c>
      <c r="G906" s="3192">
        <f t="shared" si="147"/>
        <v>1</v>
      </c>
      <c r="H906" s="631">
        <v>3</v>
      </c>
      <c r="I906" s="3192">
        <f t="shared" si="148"/>
        <v>1</v>
      </c>
      <c r="J906" s="631"/>
      <c r="K906" s="3192">
        <f t="shared" si="149"/>
        <v>1</v>
      </c>
      <c r="L906" s="631"/>
      <c r="M906" s="3192">
        <f t="shared" si="150"/>
        <v>1</v>
      </c>
      <c r="N906" s="631"/>
      <c r="O906" s="3192">
        <f t="shared" si="151"/>
        <v>1</v>
      </c>
      <c r="P906" s="3194" t="s">
        <v>4045</v>
      </c>
      <c r="Q906" s="3192">
        <f t="shared" si="152"/>
        <v>1.04</v>
      </c>
      <c r="R906" s="3192">
        <f t="shared" ca="1" si="153"/>
        <v>14863</v>
      </c>
      <c r="S906" s="898">
        <f t="shared" ca="1" si="154"/>
        <v>104</v>
      </c>
      <c r="T906" s="3190">
        <f>面积表!A901</f>
        <v>0</v>
      </c>
    </row>
    <row r="907" spans="1:20">
      <c r="A907" s="3169" t="str">
        <f>面积表!D902</f>
        <v>2017</v>
      </c>
      <c r="B907" s="52">
        <f>面积表!E902</f>
        <v>38.65</v>
      </c>
      <c r="C907" s="3192">
        <f t="shared" si="145"/>
        <v>1</v>
      </c>
      <c r="D907" s="2559" t="s">
        <v>4016</v>
      </c>
      <c r="E907" s="3192">
        <f t="shared" si="146"/>
        <v>1</v>
      </c>
      <c r="F907" s="2559" t="s">
        <v>21</v>
      </c>
      <c r="G907" s="3192">
        <f t="shared" si="147"/>
        <v>1</v>
      </c>
      <c r="H907" s="631">
        <v>3</v>
      </c>
      <c r="I907" s="3192">
        <f t="shared" si="148"/>
        <v>1</v>
      </c>
      <c r="J907" s="631"/>
      <c r="K907" s="3192">
        <f t="shared" si="149"/>
        <v>1</v>
      </c>
      <c r="L907" s="631"/>
      <c r="M907" s="3192">
        <f t="shared" si="150"/>
        <v>1</v>
      </c>
      <c r="N907" s="631"/>
      <c r="O907" s="3192">
        <f t="shared" si="151"/>
        <v>1</v>
      </c>
      <c r="P907" s="3194" t="s">
        <v>4045</v>
      </c>
      <c r="Q907" s="3192">
        <f t="shared" si="152"/>
        <v>1.04</v>
      </c>
      <c r="R907" s="3192">
        <f t="shared" ca="1" si="153"/>
        <v>14716</v>
      </c>
      <c r="S907" s="898">
        <f t="shared" ca="1" si="154"/>
        <v>57</v>
      </c>
      <c r="T907" s="3190">
        <f>面积表!A902</f>
        <v>0</v>
      </c>
    </row>
    <row r="908" spans="1:20">
      <c r="A908" s="3169" t="str">
        <f>面积表!D903</f>
        <v>2018</v>
      </c>
      <c r="B908" s="52">
        <f>面积表!E903</f>
        <v>41.99</v>
      </c>
      <c r="C908" s="3192">
        <f t="shared" si="145"/>
        <v>1</v>
      </c>
      <c r="D908" s="2559" t="s">
        <v>4016</v>
      </c>
      <c r="E908" s="3192">
        <f t="shared" si="146"/>
        <v>1</v>
      </c>
      <c r="F908" s="2559" t="s">
        <v>21</v>
      </c>
      <c r="G908" s="3192">
        <f t="shared" si="147"/>
        <v>1</v>
      </c>
      <c r="H908" s="631">
        <v>3</v>
      </c>
      <c r="I908" s="3192">
        <f t="shared" si="148"/>
        <v>1</v>
      </c>
      <c r="J908" s="631"/>
      <c r="K908" s="3192">
        <f t="shared" si="149"/>
        <v>1</v>
      </c>
      <c r="L908" s="631"/>
      <c r="M908" s="3192">
        <f t="shared" si="150"/>
        <v>1</v>
      </c>
      <c r="N908" s="631"/>
      <c r="O908" s="3192">
        <f t="shared" si="151"/>
        <v>1</v>
      </c>
      <c r="P908" s="3194" t="s">
        <v>4045</v>
      </c>
      <c r="Q908" s="3192">
        <f t="shared" si="152"/>
        <v>1.04</v>
      </c>
      <c r="R908" s="3192">
        <f t="shared" ca="1" si="153"/>
        <v>14716</v>
      </c>
      <c r="S908" s="898">
        <f t="shared" ca="1" si="154"/>
        <v>62</v>
      </c>
      <c r="T908" s="3190">
        <f>面积表!A903</f>
        <v>0</v>
      </c>
    </row>
    <row r="909" spans="1:20">
      <c r="A909" s="3169" t="str">
        <f>面积表!D904</f>
        <v>2019</v>
      </c>
      <c r="B909" s="52">
        <f>面积表!E904</f>
        <v>44.72</v>
      </c>
      <c r="C909" s="3192">
        <f t="shared" ref="C909:C972" si="155">IF(B909="",1,(LOOKUP(B909,$3:$3,$4:$4)-LOOKUP($B$24,$3:$3,$4:$4)+100)/100)</f>
        <v>1</v>
      </c>
      <c r="D909" s="2559" t="s">
        <v>4016</v>
      </c>
      <c r="E909" s="3192">
        <f t="shared" ref="E909:E972" si="156">(SUMIF($5:$5,D909,$6:$6)-SUMIF($5:$5,$D$24,$6:$6)+100)/100</f>
        <v>1</v>
      </c>
      <c r="F909" s="2559" t="s">
        <v>21</v>
      </c>
      <c r="G909" s="3192">
        <f t="shared" ref="G909:G972" si="157">(SUMIF($7:$7,F909,$8:$8)-SUMIF($7:$7,$F$24,$8:$8)+100)/100</f>
        <v>1</v>
      </c>
      <c r="H909" s="631">
        <v>3</v>
      </c>
      <c r="I909" s="3192">
        <f t="shared" ref="I909:I972" si="158">(SUMIF($9:$9,H909,$10:$10)-SUMIF($9:$9,$H$24,$10:$10)+100)/100</f>
        <v>1</v>
      </c>
      <c r="J909" s="631"/>
      <c r="K909" s="3192">
        <f t="shared" ref="K909:K972" si="159">(SUMIF($11:$11,J909,$12:$12)-SUMIF($11:$11,$J$24,$12:$12)+100)/100</f>
        <v>1</v>
      </c>
      <c r="L909" s="631"/>
      <c r="M909" s="3192">
        <f t="shared" ref="M909:M972" si="160">(SUMIF($13:$13,L909,$14:$14)-SUMIF($13:$13,$L$24,$14:$14)+100)/100</f>
        <v>1</v>
      </c>
      <c r="N909" s="631"/>
      <c r="O909" s="3192">
        <f t="shared" ref="O909:O972" si="161">(SUMIF($15:$15,N909,$16:$16)-SUMIF($15:$15,$N$24,$16:$16)+100)/100</f>
        <v>1</v>
      </c>
      <c r="P909" s="3194" t="s">
        <v>4045</v>
      </c>
      <c r="Q909" s="3192">
        <f t="shared" ref="Q909:Q972" si="162">(SUMIF($17:$17,P909,$18:$18)-SUMIF($17:$17,$P$24,$18:$18)+100)/100</f>
        <v>1.04</v>
      </c>
      <c r="R909" s="3192">
        <f t="shared" ref="R909:R972" ca="1" si="163">IF(B909="",0,ROUND($R$24*C909*E909*G909*I909*K909*M909*O909*Q909,0))</f>
        <v>14716</v>
      </c>
      <c r="S909" s="898">
        <f t="shared" ref="S909:S972" ca="1" si="164">ROUND(R909*B909/10000,0)</f>
        <v>66</v>
      </c>
      <c r="T909" s="3190">
        <f>面积表!A904</f>
        <v>0</v>
      </c>
    </row>
    <row r="910" spans="1:20">
      <c r="A910" s="3169" t="str">
        <f>面积表!D905</f>
        <v>2020</v>
      </c>
      <c r="B910" s="52">
        <f>面积表!E905</f>
        <v>46.83</v>
      </c>
      <c r="C910" s="3192">
        <f t="shared" si="155"/>
        <v>1</v>
      </c>
      <c r="D910" s="2559" t="s">
        <v>4016</v>
      </c>
      <c r="E910" s="3192">
        <f t="shared" si="156"/>
        <v>1</v>
      </c>
      <c r="F910" s="2559" t="s">
        <v>21</v>
      </c>
      <c r="G910" s="3192">
        <f t="shared" si="157"/>
        <v>1</v>
      </c>
      <c r="H910" s="631">
        <v>3</v>
      </c>
      <c r="I910" s="3192">
        <f t="shared" si="158"/>
        <v>1</v>
      </c>
      <c r="J910" s="631"/>
      <c r="K910" s="3192">
        <f t="shared" si="159"/>
        <v>1</v>
      </c>
      <c r="L910" s="631"/>
      <c r="M910" s="3192">
        <f t="shared" si="160"/>
        <v>1</v>
      </c>
      <c r="N910" s="631"/>
      <c r="O910" s="3192">
        <f t="shared" si="161"/>
        <v>1</v>
      </c>
      <c r="P910" s="3194" t="s">
        <v>4045</v>
      </c>
      <c r="Q910" s="3192">
        <f t="shared" si="162"/>
        <v>1.04</v>
      </c>
      <c r="R910" s="3192">
        <f t="shared" ca="1" si="163"/>
        <v>14716</v>
      </c>
      <c r="S910" s="898">
        <f t="shared" ca="1" si="164"/>
        <v>69</v>
      </c>
      <c r="T910" s="3190">
        <f>面积表!A905</f>
        <v>0</v>
      </c>
    </row>
    <row r="911" spans="1:20">
      <c r="A911" s="3169" t="str">
        <f>面积表!D906</f>
        <v>2021</v>
      </c>
      <c r="B911" s="52">
        <f>面积表!E906</f>
        <v>48.33</v>
      </c>
      <c r="C911" s="3192">
        <f t="shared" si="155"/>
        <v>1</v>
      </c>
      <c r="D911" s="2559" t="s">
        <v>4016</v>
      </c>
      <c r="E911" s="3192">
        <f t="shared" si="156"/>
        <v>1</v>
      </c>
      <c r="F911" s="2559" t="s">
        <v>21</v>
      </c>
      <c r="G911" s="3192">
        <f t="shared" si="157"/>
        <v>1</v>
      </c>
      <c r="H911" s="631">
        <v>3</v>
      </c>
      <c r="I911" s="3192">
        <f t="shared" si="158"/>
        <v>1</v>
      </c>
      <c r="J911" s="631"/>
      <c r="K911" s="3192">
        <f t="shared" si="159"/>
        <v>1</v>
      </c>
      <c r="L911" s="631"/>
      <c r="M911" s="3192">
        <f t="shared" si="160"/>
        <v>1</v>
      </c>
      <c r="N911" s="631"/>
      <c r="O911" s="3192">
        <f t="shared" si="161"/>
        <v>1</v>
      </c>
      <c r="P911" s="3194" t="s">
        <v>4045</v>
      </c>
      <c r="Q911" s="3192">
        <f t="shared" si="162"/>
        <v>1.04</v>
      </c>
      <c r="R911" s="3192">
        <f t="shared" ca="1" si="163"/>
        <v>14716</v>
      </c>
      <c r="S911" s="898">
        <f t="shared" ca="1" si="164"/>
        <v>71</v>
      </c>
      <c r="T911" s="3190">
        <f>面积表!A906</f>
        <v>0</v>
      </c>
    </row>
    <row r="912" spans="1:20">
      <c r="A912" s="3169" t="str">
        <f>面积表!D907</f>
        <v>2022</v>
      </c>
      <c r="B912" s="52">
        <f>面积表!E907</f>
        <v>49.3</v>
      </c>
      <c r="C912" s="3192">
        <f t="shared" si="155"/>
        <v>1</v>
      </c>
      <c r="D912" s="2559" t="s">
        <v>4016</v>
      </c>
      <c r="E912" s="3192">
        <f t="shared" si="156"/>
        <v>1</v>
      </c>
      <c r="F912" s="2559" t="s">
        <v>21</v>
      </c>
      <c r="G912" s="3192">
        <f t="shared" si="157"/>
        <v>1</v>
      </c>
      <c r="H912" s="631">
        <v>3</v>
      </c>
      <c r="I912" s="3192">
        <f t="shared" si="158"/>
        <v>1</v>
      </c>
      <c r="J912" s="631"/>
      <c r="K912" s="3192">
        <f t="shared" si="159"/>
        <v>1</v>
      </c>
      <c r="L912" s="631"/>
      <c r="M912" s="3192">
        <f t="shared" si="160"/>
        <v>1</v>
      </c>
      <c r="N912" s="631"/>
      <c r="O912" s="3192">
        <f t="shared" si="161"/>
        <v>1</v>
      </c>
      <c r="P912" s="3194" t="s">
        <v>4045</v>
      </c>
      <c r="Q912" s="3192">
        <f t="shared" si="162"/>
        <v>1.04</v>
      </c>
      <c r="R912" s="3192">
        <f t="shared" ca="1" si="163"/>
        <v>14716</v>
      </c>
      <c r="S912" s="898">
        <f t="shared" ca="1" si="164"/>
        <v>73</v>
      </c>
      <c r="T912" s="3190">
        <f>面积表!A907</f>
        <v>0</v>
      </c>
    </row>
    <row r="913" spans="1:20">
      <c r="A913" s="3169" t="str">
        <f>面积表!D908</f>
        <v>2023</v>
      </c>
      <c r="B913" s="52">
        <f>面积表!E908</f>
        <v>49.59</v>
      </c>
      <c r="C913" s="3192">
        <f t="shared" si="155"/>
        <v>1</v>
      </c>
      <c r="D913" s="2559" t="s">
        <v>4016</v>
      </c>
      <c r="E913" s="3192">
        <f t="shared" si="156"/>
        <v>1</v>
      </c>
      <c r="F913" s="2559" t="s">
        <v>21</v>
      </c>
      <c r="G913" s="3192">
        <f t="shared" si="157"/>
        <v>1</v>
      </c>
      <c r="H913" s="631">
        <v>3</v>
      </c>
      <c r="I913" s="3192">
        <f t="shared" si="158"/>
        <v>1</v>
      </c>
      <c r="J913" s="631"/>
      <c r="K913" s="3192">
        <f t="shared" si="159"/>
        <v>1</v>
      </c>
      <c r="L913" s="631"/>
      <c r="M913" s="3192">
        <f t="shared" si="160"/>
        <v>1</v>
      </c>
      <c r="N913" s="631"/>
      <c r="O913" s="3192">
        <f t="shared" si="161"/>
        <v>1</v>
      </c>
      <c r="P913" s="3194" t="s">
        <v>4045</v>
      </c>
      <c r="Q913" s="3192">
        <f t="shared" si="162"/>
        <v>1.04</v>
      </c>
      <c r="R913" s="3192">
        <f t="shared" ca="1" si="163"/>
        <v>14716</v>
      </c>
      <c r="S913" s="898">
        <f t="shared" ca="1" si="164"/>
        <v>73</v>
      </c>
      <c r="T913" s="3190">
        <f>面积表!A908</f>
        <v>0</v>
      </c>
    </row>
    <row r="914" spans="1:20">
      <c r="A914" s="3169" t="str">
        <f>面积表!D909</f>
        <v>2024</v>
      </c>
      <c r="B914" s="52">
        <f>面积表!E909</f>
        <v>49.28</v>
      </c>
      <c r="C914" s="3192">
        <f t="shared" si="155"/>
        <v>1</v>
      </c>
      <c r="D914" s="2559" t="s">
        <v>4016</v>
      </c>
      <c r="E914" s="3192">
        <f t="shared" si="156"/>
        <v>1</v>
      </c>
      <c r="F914" s="2559" t="s">
        <v>21</v>
      </c>
      <c r="G914" s="3192">
        <f t="shared" si="157"/>
        <v>1</v>
      </c>
      <c r="H914" s="631">
        <v>3</v>
      </c>
      <c r="I914" s="3192">
        <f t="shared" si="158"/>
        <v>1</v>
      </c>
      <c r="J914" s="631"/>
      <c r="K914" s="3192">
        <f t="shared" si="159"/>
        <v>1</v>
      </c>
      <c r="L914" s="631"/>
      <c r="M914" s="3192">
        <f t="shared" si="160"/>
        <v>1</v>
      </c>
      <c r="N914" s="631"/>
      <c r="O914" s="3192">
        <f t="shared" si="161"/>
        <v>1</v>
      </c>
      <c r="P914" s="3194" t="s">
        <v>4045</v>
      </c>
      <c r="Q914" s="3192">
        <f t="shared" si="162"/>
        <v>1.04</v>
      </c>
      <c r="R914" s="3192">
        <f t="shared" ca="1" si="163"/>
        <v>14716</v>
      </c>
      <c r="S914" s="898">
        <f t="shared" ca="1" si="164"/>
        <v>73</v>
      </c>
      <c r="T914" s="3190">
        <f>面积表!A909</f>
        <v>0</v>
      </c>
    </row>
    <row r="915" spans="1:20">
      <c r="A915" s="3169" t="str">
        <f>面积表!D910</f>
        <v>2025</v>
      </c>
      <c r="B915" s="52">
        <f>面积表!E910</f>
        <v>48.41</v>
      </c>
      <c r="C915" s="3192">
        <f t="shared" si="155"/>
        <v>1</v>
      </c>
      <c r="D915" s="2559" t="s">
        <v>4016</v>
      </c>
      <c r="E915" s="3192">
        <f t="shared" si="156"/>
        <v>1</v>
      </c>
      <c r="F915" s="2559" t="s">
        <v>21</v>
      </c>
      <c r="G915" s="3192">
        <f t="shared" si="157"/>
        <v>1</v>
      </c>
      <c r="H915" s="631">
        <v>3</v>
      </c>
      <c r="I915" s="3192">
        <f t="shared" si="158"/>
        <v>1</v>
      </c>
      <c r="J915" s="631"/>
      <c r="K915" s="3192">
        <f t="shared" si="159"/>
        <v>1</v>
      </c>
      <c r="L915" s="631"/>
      <c r="M915" s="3192">
        <f t="shared" si="160"/>
        <v>1</v>
      </c>
      <c r="N915" s="631"/>
      <c r="O915" s="3192">
        <f t="shared" si="161"/>
        <v>1</v>
      </c>
      <c r="P915" s="3194" t="s">
        <v>4045</v>
      </c>
      <c r="Q915" s="3192">
        <f t="shared" si="162"/>
        <v>1.04</v>
      </c>
      <c r="R915" s="3192">
        <f t="shared" ca="1" si="163"/>
        <v>14716</v>
      </c>
      <c r="S915" s="898">
        <f t="shared" ca="1" si="164"/>
        <v>71</v>
      </c>
      <c r="T915" s="3190">
        <f>面积表!A910</f>
        <v>0</v>
      </c>
    </row>
    <row r="916" spans="1:20">
      <c r="A916" s="3169" t="str">
        <f>面积表!D911</f>
        <v>2026</v>
      </c>
      <c r="B916" s="52">
        <f>面积表!E911</f>
        <v>47.44</v>
      </c>
      <c r="C916" s="3192">
        <f t="shared" si="155"/>
        <v>1</v>
      </c>
      <c r="D916" s="2559" t="s">
        <v>4016</v>
      </c>
      <c r="E916" s="3192">
        <f t="shared" si="156"/>
        <v>1</v>
      </c>
      <c r="F916" s="2559" t="s">
        <v>21</v>
      </c>
      <c r="G916" s="3192">
        <f t="shared" si="157"/>
        <v>1</v>
      </c>
      <c r="H916" s="631">
        <v>3</v>
      </c>
      <c r="I916" s="3192">
        <f t="shared" si="158"/>
        <v>1</v>
      </c>
      <c r="J916" s="631"/>
      <c r="K916" s="3192">
        <f t="shared" si="159"/>
        <v>1</v>
      </c>
      <c r="L916" s="631"/>
      <c r="M916" s="3192">
        <f t="shared" si="160"/>
        <v>1</v>
      </c>
      <c r="N916" s="631"/>
      <c r="O916" s="3192">
        <f t="shared" si="161"/>
        <v>1</v>
      </c>
      <c r="P916" s="3194" t="s">
        <v>4045</v>
      </c>
      <c r="Q916" s="3192">
        <f t="shared" si="162"/>
        <v>1.04</v>
      </c>
      <c r="R916" s="3192">
        <f t="shared" ca="1" si="163"/>
        <v>14716</v>
      </c>
      <c r="S916" s="898">
        <f t="shared" ca="1" si="164"/>
        <v>70</v>
      </c>
      <c r="T916" s="3190">
        <f>面积表!A911</f>
        <v>0</v>
      </c>
    </row>
    <row r="917" spans="1:20">
      <c r="A917" s="3169" t="str">
        <f>面积表!D912</f>
        <v>2101</v>
      </c>
      <c r="B917" s="52">
        <f>面积表!E912</f>
        <v>52.2</v>
      </c>
      <c r="C917" s="3192">
        <f t="shared" si="155"/>
        <v>1</v>
      </c>
      <c r="D917" s="2559" t="s">
        <v>4016</v>
      </c>
      <c r="E917" s="3192">
        <f t="shared" si="156"/>
        <v>1</v>
      </c>
      <c r="F917" s="2559" t="s">
        <v>21</v>
      </c>
      <c r="G917" s="3192">
        <f t="shared" si="157"/>
        <v>1</v>
      </c>
      <c r="H917" s="631">
        <v>3</v>
      </c>
      <c r="I917" s="3192">
        <f t="shared" si="158"/>
        <v>1</v>
      </c>
      <c r="J917" s="631"/>
      <c r="K917" s="3192">
        <f t="shared" si="159"/>
        <v>1</v>
      </c>
      <c r="L917" s="631"/>
      <c r="M917" s="3192">
        <f t="shared" si="160"/>
        <v>1</v>
      </c>
      <c r="N917" s="631"/>
      <c r="O917" s="3192">
        <f t="shared" si="161"/>
        <v>1</v>
      </c>
      <c r="P917" s="3194" t="s">
        <v>4045</v>
      </c>
      <c r="Q917" s="3192">
        <f t="shared" si="162"/>
        <v>1.04</v>
      </c>
      <c r="R917" s="3192">
        <f t="shared" ca="1" si="163"/>
        <v>14716</v>
      </c>
      <c r="S917" s="898">
        <f t="shared" ca="1" si="164"/>
        <v>77</v>
      </c>
      <c r="T917" s="3190">
        <f>面积表!A912</f>
        <v>0</v>
      </c>
    </row>
    <row r="918" spans="1:20">
      <c r="A918" s="3169" t="str">
        <f>面积表!D913</f>
        <v>2102</v>
      </c>
      <c r="B918" s="52">
        <f>面积表!E913</f>
        <v>50.33</v>
      </c>
      <c r="C918" s="3192">
        <f t="shared" si="155"/>
        <v>1</v>
      </c>
      <c r="D918" s="2559" t="s">
        <v>4016</v>
      </c>
      <c r="E918" s="3192">
        <f t="shared" si="156"/>
        <v>1</v>
      </c>
      <c r="F918" s="2559" t="s">
        <v>21</v>
      </c>
      <c r="G918" s="3192">
        <f t="shared" si="157"/>
        <v>1</v>
      </c>
      <c r="H918" s="631">
        <v>3</v>
      </c>
      <c r="I918" s="3192">
        <f t="shared" si="158"/>
        <v>1</v>
      </c>
      <c r="J918" s="631"/>
      <c r="K918" s="3192">
        <f t="shared" si="159"/>
        <v>1</v>
      </c>
      <c r="L918" s="631"/>
      <c r="M918" s="3192">
        <f t="shared" si="160"/>
        <v>1</v>
      </c>
      <c r="N918" s="631"/>
      <c r="O918" s="3192">
        <f t="shared" si="161"/>
        <v>1</v>
      </c>
      <c r="P918" s="3194" t="s">
        <v>4045</v>
      </c>
      <c r="Q918" s="3192">
        <f t="shared" si="162"/>
        <v>1.04</v>
      </c>
      <c r="R918" s="3192">
        <f t="shared" ca="1" si="163"/>
        <v>14716</v>
      </c>
      <c r="S918" s="898">
        <f t="shared" ca="1" si="164"/>
        <v>74</v>
      </c>
      <c r="T918" s="3190">
        <f>面积表!A913</f>
        <v>0</v>
      </c>
    </row>
    <row r="919" spans="1:20">
      <c r="A919" s="3169" t="str">
        <f>面积表!D914</f>
        <v>2103</v>
      </c>
      <c r="B919" s="52">
        <f>面积表!E914</f>
        <v>50.33</v>
      </c>
      <c r="C919" s="3192">
        <f t="shared" si="155"/>
        <v>1</v>
      </c>
      <c r="D919" s="2559" t="s">
        <v>4016</v>
      </c>
      <c r="E919" s="3192">
        <f t="shared" si="156"/>
        <v>1</v>
      </c>
      <c r="F919" s="2559" t="s">
        <v>21</v>
      </c>
      <c r="G919" s="3192">
        <f t="shared" si="157"/>
        <v>1</v>
      </c>
      <c r="H919" s="631">
        <v>3</v>
      </c>
      <c r="I919" s="3192">
        <f t="shared" si="158"/>
        <v>1</v>
      </c>
      <c r="J919" s="631"/>
      <c r="K919" s="3192">
        <f t="shared" si="159"/>
        <v>1</v>
      </c>
      <c r="L919" s="631"/>
      <c r="M919" s="3192">
        <f t="shared" si="160"/>
        <v>1</v>
      </c>
      <c r="N919" s="631"/>
      <c r="O919" s="3192">
        <f t="shared" si="161"/>
        <v>1</v>
      </c>
      <c r="P919" s="3194" t="s">
        <v>4045</v>
      </c>
      <c r="Q919" s="3192">
        <f t="shared" si="162"/>
        <v>1.04</v>
      </c>
      <c r="R919" s="3192">
        <f t="shared" ca="1" si="163"/>
        <v>14716</v>
      </c>
      <c r="S919" s="898">
        <f t="shared" ca="1" si="164"/>
        <v>74</v>
      </c>
      <c r="T919" s="3190">
        <f>面积表!A914</f>
        <v>0</v>
      </c>
    </row>
    <row r="920" spans="1:20">
      <c r="A920" s="3169" t="str">
        <f>面积表!D915</f>
        <v>2104</v>
      </c>
      <c r="B920" s="52">
        <f>面积表!E915</f>
        <v>50.33</v>
      </c>
      <c r="C920" s="3192">
        <f t="shared" si="155"/>
        <v>1</v>
      </c>
      <c r="D920" s="2559" t="s">
        <v>4016</v>
      </c>
      <c r="E920" s="3192">
        <f t="shared" si="156"/>
        <v>1</v>
      </c>
      <c r="F920" s="2559" t="s">
        <v>21</v>
      </c>
      <c r="G920" s="3192">
        <f t="shared" si="157"/>
        <v>1</v>
      </c>
      <c r="H920" s="631">
        <v>3</v>
      </c>
      <c r="I920" s="3192">
        <f t="shared" si="158"/>
        <v>1</v>
      </c>
      <c r="J920" s="631"/>
      <c r="K920" s="3192">
        <f t="shared" si="159"/>
        <v>1</v>
      </c>
      <c r="L920" s="631"/>
      <c r="M920" s="3192">
        <f t="shared" si="160"/>
        <v>1</v>
      </c>
      <c r="N920" s="631"/>
      <c r="O920" s="3192">
        <f t="shared" si="161"/>
        <v>1</v>
      </c>
      <c r="P920" s="3194" t="s">
        <v>4045</v>
      </c>
      <c r="Q920" s="3192">
        <f t="shared" si="162"/>
        <v>1.04</v>
      </c>
      <c r="R920" s="3192">
        <f t="shared" ca="1" si="163"/>
        <v>14716</v>
      </c>
      <c r="S920" s="898">
        <f t="shared" ca="1" si="164"/>
        <v>74</v>
      </c>
      <c r="T920" s="3190">
        <f>面积表!A915</f>
        <v>0</v>
      </c>
    </row>
    <row r="921" spans="1:20">
      <c r="A921" s="3169" t="str">
        <f>面积表!D916</f>
        <v>2105</v>
      </c>
      <c r="B921" s="52">
        <f>面积表!E916</f>
        <v>50.33</v>
      </c>
      <c r="C921" s="3192">
        <f t="shared" si="155"/>
        <v>1</v>
      </c>
      <c r="D921" s="2559" t="s">
        <v>4016</v>
      </c>
      <c r="E921" s="3192">
        <f t="shared" si="156"/>
        <v>1</v>
      </c>
      <c r="F921" s="2559" t="s">
        <v>21</v>
      </c>
      <c r="G921" s="3192">
        <f t="shared" si="157"/>
        <v>1</v>
      </c>
      <c r="H921" s="631">
        <v>3</v>
      </c>
      <c r="I921" s="3192">
        <f t="shared" si="158"/>
        <v>1</v>
      </c>
      <c r="J921" s="631"/>
      <c r="K921" s="3192">
        <f t="shared" si="159"/>
        <v>1</v>
      </c>
      <c r="L921" s="631"/>
      <c r="M921" s="3192">
        <f t="shared" si="160"/>
        <v>1</v>
      </c>
      <c r="N921" s="631"/>
      <c r="O921" s="3192">
        <f t="shared" si="161"/>
        <v>1</v>
      </c>
      <c r="P921" s="3194" t="s">
        <v>4045</v>
      </c>
      <c r="Q921" s="3192">
        <f t="shared" si="162"/>
        <v>1.04</v>
      </c>
      <c r="R921" s="3192">
        <f t="shared" ca="1" si="163"/>
        <v>14716</v>
      </c>
      <c r="S921" s="898">
        <f t="shared" ca="1" si="164"/>
        <v>74</v>
      </c>
      <c r="T921" s="3190">
        <f>面积表!A916</f>
        <v>0</v>
      </c>
    </row>
    <row r="922" spans="1:20">
      <c r="A922" s="3169" t="str">
        <f>面积表!D917</f>
        <v>2106</v>
      </c>
      <c r="B922" s="52">
        <f>面积表!E917</f>
        <v>50.33</v>
      </c>
      <c r="C922" s="3192">
        <f t="shared" si="155"/>
        <v>1</v>
      </c>
      <c r="D922" s="2559" t="s">
        <v>4016</v>
      </c>
      <c r="E922" s="3192">
        <f t="shared" si="156"/>
        <v>1</v>
      </c>
      <c r="F922" s="2559" t="s">
        <v>21</v>
      </c>
      <c r="G922" s="3192">
        <f t="shared" si="157"/>
        <v>1</v>
      </c>
      <c r="H922" s="631">
        <v>3</v>
      </c>
      <c r="I922" s="3192">
        <f t="shared" si="158"/>
        <v>1</v>
      </c>
      <c r="J922" s="631"/>
      <c r="K922" s="3192">
        <f t="shared" si="159"/>
        <v>1</v>
      </c>
      <c r="L922" s="631"/>
      <c r="M922" s="3192">
        <f t="shared" si="160"/>
        <v>1</v>
      </c>
      <c r="N922" s="631"/>
      <c r="O922" s="3192">
        <f t="shared" si="161"/>
        <v>1</v>
      </c>
      <c r="P922" s="3194" t="s">
        <v>4045</v>
      </c>
      <c r="Q922" s="3192">
        <f t="shared" si="162"/>
        <v>1.04</v>
      </c>
      <c r="R922" s="3192">
        <f t="shared" ca="1" si="163"/>
        <v>14716</v>
      </c>
      <c r="S922" s="898">
        <f t="shared" ca="1" si="164"/>
        <v>74</v>
      </c>
      <c r="T922" s="3190">
        <f>面积表!A917</f>
        <v>0</v>
      </c>
    </row>
    <row r="923" spans="1:20">
      <c r="A923" s="3169" t="str">
        <f>面积表!D918</f>
        <v>2107</v>
      </c>
      <c r="B923" s="52">
        <f>面积表!E918</f>
        <v>50.33</v>
      </c>
      <c r="C923" s="3192">
        <f t="shared" si="155"/>
        <v>1</v>
      </c>
      <c r="D923" s="2559" t="s">
        <v>4016</v>
      </c>
      <c r="E923" s="3192">
        <f t="shared" si="156"/>
        <v>1</v>
      </c>
      <c r="F923" s="2559" t="s">
        <v>21</v>
      </c>
      <c r="G923" s="3192">
        <f t="shared" si="157"/>
        <v>1</v>
      </c>
      <c r="H923" s="631">
        <v>3</v>
      </c>
      <c r="I923" s="3192">
        <f t="shared" si="158"/>
        <v>1</v>
      </c>
      <c r="J923" s="631"/>
      <c r="K923" s="3192">
        <f t="shared" si="159"/>
        <v>1</v>
      </c>
      <c r="L923" s="631"/>
      <c r="M923" s="3192">
        <f t="shared" si="160"/>
        <v>1</v>
      </c>
      <c r="N923" s="631"/>
      <c r="O923" s="3192">
        <f t="shared" si="161"/>
        <v>1</v>
      </c>
      <c r="P923" s="3194" t="s">
        <v>4045</v>
      </c>
      <c r="Q923" s="3192">
        <f t="shared" si="162"/>
        <v>1.04</v>
      </c>
      <c r="R923" s="3192">
        <f t="shared" ca="1" si="163"/>
        <v>14716</v>
      </c>
      <c r="S923" s="898">
        <f t="shared" ca="1" si="164"/>
        <v>74</v>
      </c>
      <c r="T923" s="3190">
        <f>面积表!A918</f>
        <v>0</v>
      </c>
    </row>
    <row r="924" spans="1:20">
      <c r="A924" s="3169" t="str">
        <f>面积表!D919</f>
        <v>2108</v>
      </c>
      <c r="B924" s="52">
        <f>面积表!E919</f>
        <v>50.33</v>
      </c>
      <c r="C924" s="3192">
        <f t="shared" si="155"/>
        <v>1</v>
      </c>
      <c r="D924" s="2559" t="s">
        <v>4016</v>
      </c>
      <c r="E924" s="3192">
        <f t="shared" si="156"/>
        <v>1</v>
      </c>
      <c r="F924" s="2559" t="s">
        <v>21</v>
      </c>
      <c r="G924" s="3192">
        <f t="shared" si="157"/>
        <v>1</v>
      </c>
      <c r="H924" s="631">
        <v>3</v>
      </c>
      <c r="I924" s="3192">
        <f t="shared" si="158"/>
        <v>1</v>
      </c>
      <c r="J924" s="631"/>
      <c r="K924" s="3192">
        <f t="shared" si="159"/>
        <v>1</v>
      </c>
      <c r="L924" s="631"/>
      <c r="M924" s="3192">
        <f t="shared" si="160"/>
        <v>1</v>
      </c>
      <c r="N924" s="631"/>
      <c r="O924" s="3192">
        <f t="shared" si="161"/>
        <v>1</v>
      </c>
      <c r="P924" s="3194" t="s">
        <v>4045</v>
      </c>
      <c r="Q924" s="3192">
        <f t="shared" si="162"/>
        <v>1.04</v>
      </c>
      <c r="R924" s="3192">
        <f t="shared" ca="1" si="163"/>
        <v>14716</v>
      </c>
      <c r="S924" s="898">
        <f t="shared" ca="1" si="164"/>
        <v>74</v>
      </c>
      <c r="T924" s="3190">
        <f>面积表!A919</f>
        <v>0</v>
      </c>
    </row>
    <row r="925" spans="1:20">
      <c r="A925" s="3169" t="str">
        <f>面积表!D920</f>
        <v>2109</v>
      </c>
      <c r="B925" s="52">
        <f>面积表!E920</f>
        <v>50.33</v>
      </c>
      <c r="C925" s="3192">
        <f t="shared" si="155"/>
        <v>1</v>
      </c>
      <c r="D925" s="2559" t="s">
        <v>4016</v>
      </c>
      <c r="E925" s="3192">
        <f t="shared" si="156"/>
        <v>1</v>
      </c>
      <c r="F925" s="2559" t="s">
        <v>21</v>
      </c>
      <c r="G925" s="3192">
        <f t="shared" si="157"/>
        <v>1</v>
      </c>
      <c r="H925" s="631">
        <v>3</v>
      </c>
      <c r="I925" s="3192">
        <f t="shared" si="158"/>
        <v>1</v>
      </c>
      <c r="J925" s="631"/>
      <c r="K925" s="3192">
        <f t="shared" si="159"/>
        <v>1</v>
      </c>
      <c r="L925" s="631"/>
      <c r="M925" s="3192">
        <f t="shared" si="160"/>
        <v>1</v>
      </c>
      <c r="N925" s="631"/>
      <c r="O925" s="3192">
        <f t="shared" si="161"/>
        <v>1</v>
      </c>
      <c r="P925" s="3194" t="s">
        <v>4045</v>
      </c>
      <c r="Q925" s="3192">
        <f t="shared" si="162"/>
        <v>1.04</v>
      </c>
      <c r="R925" s="3192">
        <f t="shared" ca="1" si="163"/>
        <v>14716</v>
      </c>
      <c r="S925" s="898">
        <f t="shared" ca="1" si="164"/>
        <v>74</v>
      </c>
      <c r="T925" s="3190">
        <f>面积表!A920</f>
        <v>0</v>
      </c>
    </row>
    <row r="926" spans="1:20">
      <c r="A926" s="3169" t="str">
        <f>面积表!D921</f>
        <v>2110</v>
      </c>
      <c r="B926" s="52">
        <f>面积表!E921</f>
        <v>50.33</v>
      </c>
      <c r="C926" s="3192">
        <f t="shared" si="155"/>
        <v>1</v>
      </c>
      <c r="D926" s="2559" t="s">
        <v>4016</v>
      </c>
      <c r="E926" s="3192">
        <f t="shared" si="156"/>
        <v>1</v>
      </c>
      <c r="F926" s="2559" t="s">
        <v>21</v>
      </c>
      <c r="G926" s="3192">
        <f t="shared" si="157"/>
        <v>1</v>
      </c>
      <c r="H926" s="631">
        <v>3</v>
      </c>
      <c r="I926" s="3192">
        <f t="shared" si="158"/>
        <v>1</v>
      </c>
      <c r="J926" s="631"/>
      <c r="K926" s="3192">
        <f t="shared" si="159"/>
        <v>1</v>
      </c>
      <c r="L926" s="631"/>
      <c r="M926" s="3192">
        <f t="shared" si="160"/>
        <v>1</v>
      </c>
      <c r="N926" s="631"/>
      <c r="O926" s="3192">
        <f t="shared" si="161"/>
        <v>1</v>
      </c>
      <c r="P926" s="3194" t="s">
        <v>4045</v>
      </c>
      <c r="Q926" s="3192">
        <f t="shared" si="162"/>
        <v>1.04</v>
      </c>
      <c r="R926" s="3192">
        <f t="shared" ca="1" si="163"/>
        <v>14716</v>
      </c>
      <c r="S926" s="898">
        <f t="shared" ca="1" si="164"/>
        <v>74</v>
      </c>
      <c r="T926" s="3190">
        <f>面积表!A921</f>
        <v>0</v>
      </c>
    </row>
    <row r="927" spans="1:20">
      <c r="A927" s="3169" t="str">
        <f>面积表!D922</f>
        <v>2111</v>
      </c>
      <c r="B927" s="52">
        <f>面积表!E922</f>
        <v>50.33</v>
      </c>
      <c r="C927" s="3192">
        <f t="shared" si="155"/>
        <v>1</v>
      </c>
      <c r="D927" s="2559" t="s">
        <v>4016</v>
      </c>
      <c r="E927" s="3192">
        <f t="shared" si="156"/>
        <v>1</v>
      </c>
      <c r="F927" s="2559" t="s">
        <v>21</v>
      </c>
      <c r="G927" s="3192">
        <f t="shared" si="157"/>
        <v>1</v>
      </c>
      <c r="H927" s="631">
        <v>3</v>
      </c>
      <c r="I927" s="3192">
        <f t="shared" si="158"/>
        <v>1</v>
      </c>
      <c r="J927" s="631"/>
      <c r="K927" s="3192">
        <f t="shared" si="159"/>
        <v>1</v>
      </c>
      <c r="L927" s="631"/>
      <c r="M927" s="3192">
        <f t="shared" si="160"/>
        <v>1</v>
      </c>
      <c r="N927" s="631"/>
      <c r="O927" s="3192">
        <f t="shared" si="161"/>
        <v>1</v>
      </c>
      <c r="P927" s="3194" t="s">
        <v>4045</v>
      </c>
      <c r="Q927" s="3192">
        <f t="shared" si="162"/>
        <v>1.04</v>
      </c>
      <c r="R927" s="3192">
        <f t="shared" ca="1" si="163"/>
        <v>14716</v>
      </c>
      <c r="S927" s="898">
        <f t="shared" ca="1" si="164"/>
        <v>74</v>
      </c>
      <c r="T927" s="3190">
        <f>面积表!A922</f>
        <v>0</v>
      </c>
    </row>
    <row r="928" spans="1:20">
      <c r="A928" s="3169" t="str">
        <f>面积表!D923</f>
        <v>2112</v>
      </c>
      <c r="B928" s="52">
        <f>面积表!E923</f>
        <v>50.33</v>
      </c>
      <c r="C928" s="3192">
        <f t="shared" si="155"/>
        <v>1</v>
      </c>
      <c r="D928" s="2559" t="s">
        <v>4016</v>
      </c>
      <c r="E928" s="3192">
        <f t="shared" si="156"/>
        <v>1</v>
      </c>
      <c r="F928" s="2559" t="s">
        <v>21</v>
      </c>
      <c r="G928" s="3192">
        <f t="shared" si="157"/>
        <v>1</v>
      </c>
      <c r="H928" s="631">
        <v>3</v>
      </c>
      <c r="I928" s="3192">
        <f t="shared" si="158"/>
        <v>1</v>
      </c>
      <c r="J928" s="631"/>
      <c r="K928" s="3192">
        <f t="shared" si="159"/>
        <v>1</v>
      </c>
      <c r="L928" s="631"/>
      <c r="M928" s="3192">
        <f t="shared" si="160"/>
        <v>1</v>
      </c>
      <c r="N928" s="631"/>
      <c r="O928" s="3192">
        <f t="shared" si="161"/>
        <v>1</v>
      </c>
      <c r="P928" s="3194" t="s">
        <v>4045</v>
      </c>
      <c r="Q928" s="3192">
        <f t="shared" si="162"/>
        <v>1.04</v>
      </c>
      <c r="R928" s="3192">
        <f t="shared" ca="1" si="163"/>
        <v>14716</v>
      </c>
      <c r="S928" s="898">
        <f t="shared" ca="1" si="164"/>
        <v>74</v>
      </c>
      <c r="T928" s="3190">
        <f>面积表!A923</f>
        <v>0</v>
      </c>
    </row>
    <row r="929" spans="1:20">
      <c r="A929" s="3169" t="str">
        <f>面积表!D924</f>
        <v>2113</v>
      </c>
      <c r="B929" s="52">
        <f>面积表!E924</f>
        <v>50.33</v>
      </c>
      <c r="C929" s="3192">
        <f t="shared" si="155"/>
        <v>1</v>
      </c>
      <c r="D929" s="2559" t="s">
        <v>4016</v>
      </c>
      <c r="E929" s="3192">
        <f t="shared" si="156"/>
        <v>1</v>
      </c>
      <c r="F929" s="2559" t="s">
        <v>21</v>
      </c>
      <c r="G929" s="3192">
        <f t="shared" si="157"/>
        <v>1</v>
      </c>
      <c r="H929" s="631">
        <v>3</v>
      </c>
      <c r="I929" s="3192">
        <f t="shared" si="158"/>
        <v>1</v>
      </c>
      <c r="J929" s="631"/>
      <c r="K929" s="3192">
        <f t="shared" si="159"/>
        <v>1</v>
      </c>
      <c r="L929" s="631"/>
      <c r="M929" s="3192">
        <f t="shared" si="160"/>
        <v>1</v>
      </c>
      <c r="N929" s="631"/>
      <c r="O929" s="3192">
        <f t="shared" si="161"/>
        <v>1</v>
      </c>
      <c r="P929" s="3194" t="s">
        <v>4045</v>
      </c>
      <c r="Q929" s="3192">
        <f t="shared" si="162"/>
        <v>1.04</v>
      </c>
      <c r="R929" s="3192">
        <f t="shared" ca="1" si="163"/>
        <v>14716</v>
      </c>
      <c r="S929" s="898">
        <f t="shared" ca="1" si="164"/>
        <v>74</v>
      </c>
      <c r="T929" s="3190">
        <f>面积表!A924</f>
        <v>0</v>
      </c>
    </row>
    <row r="930" spans="1:20">
      <c r="A930" s="3169" t="str">
        <f>面积表!D925</f>
        <v>2114</v>
      </c>
      <c r="B930" s="52">
        <f>面积表!E925</f>
        <v>50.33</v>
      </c>
      <c r="C930" s="3192">
        <f t="shared" si="155"/>
        <v>1</v>
      </c>
      <c r="D930" s="2559" t="s">
        <v>4016</v>
      </c>
      <c r="E930" s="3192">
        <f t="shared" si="156"/>
        <v>1</v>
      </c>
      <c r="F930" s="2559" t="s">
        <v>21</v>
      </c>
      <c r="G930" s="3192">
        <f t="shared" si="157"/>
        <v>1</v>
      </c>
      <c r="H930" s="631">
        <v>3</v>
      </c>
      <c r="I930" s="3192">
        <f t="shared" si="158"/>
        <v>1</v>
      </c>
      <c r="J930" s="631"/>
      <c r="K930" s="3192">
        <f t="shared" si="159"/>
        <v>1</v>
      </c>
      <c r="L930" s="631"/>
      <c r="M930" s="3192">
        <f t="shared" si="160"/>
        <v>1</v>
      </c>
      <c r="N930" s="631"/>
      <c r="O930" s="3192">
        <f t="shared" si="161"/>
        <v>1</v>
      </c>
      <c r="P930" s="3194" t="s">
        <v>4045</v>
      </c>
      <c r="Q930" s="3192">
        <f t="shared" si="162"/>
        <v>1.04</v>
      </c>
      <c r="R930" s="3192">
        <f t="shared" ca="1" si="163"/>
        <v>14716</v>
      </c>
      <c r="S930" s="898">
        <f t="shared" ca="1" si="164"/>
        <v>74</v>
      </c>
      <c r="T930" s="3190">
        <f>面积表!A925</f>
        <v>0</v>
      </c>
    </row>
    <row r="931" spans="1:20">
      <c r="A931" s="3169" t="str">
        <f>面积表!D926</f>
        <v>2115</v>
      </c>
      <c r="B931" s="52">
        <f>面积表!E926</f>
        <v>50.33</v>
      </c>
      <c r="C931" s="3192">
        <f t="shared" si="155"/>
        <v>1</v>
      </c>
      <c r="D931" s="2559" t="s">
        <v>4016</v>
      </c>
      <c r="E931" s="3192">
        <f t="shared" si="156"/>
        <v>1</v>
      </c>
      <c r="F931" s="2559" t="s">
        <v>21</v>
      </c>
      <c r="G931" s="3192">
        <f t="shared" si="157"/>
        <v>1</v>
      </c>
      <c r="H931" s="631">
        <v>3</v>
      </c>
      <c r="I931" s="3192">
        <f t="shared" si="158"/>
        <v>1</v>
      </c>
      <c r="J931" s="631"/>
      <c r="K931" s="3192">
        <f t="shared" si="159"/>
        <v>1</v>
      </c>
      <c r="L931" s="631"/>
      <c r="M931" s="3192">
        <f t="shared" si="160"/>
        <v>1</v>
      </c>
      <c r="N931" s="631"/>
      <c r="O931" s="3192">
        <f t="shared" si="161"/>
        <v>1</v>
      </c>
      <c r="P931" s="3194" t="s">
        <v>4045</v>
      </c>
      <c r="Q931" s="3192">
        <f t="shared" si="162"/>
        <v>1.04</v>
      </c>
      <c r="R931" s="3192">
        <f t="shared" ca="1" si="163"/>
        <v>14716</v>
      </c>
      <c r="S931" s="898">
        <f t="shared" ca="1" si="164"/>
        <v>74</v>
      </c>
      <c r="T931" s="3190">
        <f>面积表!A926</f>
        <v>0</v>
      </c>
    </row>
    <row r="932" spans="1:20">
      <c r="A932" s="3169" t="str">
        <f>面积表!D927</f>
        <v>2116</v>
      </c>
      <c r="B932" s="52">
        <f>面积表!E927</f>
        <v>69.77</v>
      </c>
      <c r="C932" s="3192">
        <f t="shared" si="155"/>
        <v>1.01</v>
      </c>
      <c r="D932" s="2559" t="s">
        <v>4016</v>
      </c>
      <c r="E932" s="3192">
        <f t="shared" si="156"/>
        <v>1</v>
      </c>
      <c r="F932" s="2559" t="s">
        <v>21</v>
      </c>
      <c r="G932" s="3192">
        <f t="shared" si="157"/>
        <v>1</v>
      </c>
      <c r="H932" s="631">
        <v>3</v>
      </c>
      <c r="I932" s="3192">
        <f t="shared" si="158"/>
        <v>1</v>
      </c>
      <c r="J932" s="631"/>
      <c r="K932" s="3192">
        <f t="shared" si="159"/>
        <v>1</v>
      </c>
      <c r="L932" s="631"/>
      <c r="M932" s="3192">
        <f t="shared" si="160"/>
        <v>1</v>
      </c>
      <c r="N932" s="631"/>
      <c r="O932" s="3192">
        <f t="shared" si="161"/>
        <v>1</v>
      </c>
      <c r="P932" s="3194" t="s">
        <v>4045</v>
      </c>
      <c r="Q932" s="3192">
        <f t="shared" si="162"/>
        <v>1.04</v>
      </c>
      <c r="R932" s="3192">
        <f t="shared" ca="1" si="163"/>
        <v>14863</v>
      </c>
      <c r="S932" s="898">
        <f t="shared" ca="1" si="164"/>
        <v>104</v>
      </c>
      <c r="T932" s="3190">
        <f>面积表!A927</f>
        <v>0</v>
      </c>
    </row>
    <row r="933" spans="1:20">
      <c r="A933" s="3169" t="str">
        <f>面积表!D928</f>
        <v>2117</v>
      </c>
      <c r="B933" s="52">
        <f>面积表!E928</f>
        <v>38.65</v>
      </c>
      <c r="C933" s="3192">
        <f t="shared" si="155"/>
        <v>1</v>
      </c>
      <c r="D933" s="2559" t="s">
        <v>4016</v>
      </c>
      <c r="E933" s="3192">
        <f t="shared" si="156"/>
        <v>1</v>
      </c>
      <c r="F933" s="2559" t="s">
        <v>21</v>
      </c>
      <c r="G933" s="3192">
        <f t="shared" si="157"/>
        <v>1</v>
      </c>
      <c r="H933" s="631">
        <v>3</v>
      </c>
      <c r="I933" s="3192">
        <f t="shared" si="158"/>
        <v>1</v>
      </c>
      <c r="J933" s="631"/>
      <c r="K933" s="3192">
        <f t="shared" si="159"/>
        <v>1</v>
      </c>
      <c r="L933" s="631"/>
      <c r="M933" s="3192">
        <f t="shared" si="160"/>
        <v>1</v>
      </c>
      <c r="N933" s="631"/>
      <c r="O933" s="3192">
        <f t="shared" si="161"/>
        <v>1</v>
      </c>
      <c r="P933" s="3194" t="s">
        <v>4045</v>
      </c>
      <c r="Q933" s="3192">
        <f t="shared" si="162"/>
        <v>1.04</v>
      </c>
      <c r="R933" s="3192">
        <f t="shared" ca="1" si="163"/>
        <v>14716</v>
      </c>
      <c r="S933" s="898">
        <f t="shared" ca="1" si="164"/>
        <v>57</v>
      </c>
      <c r="T933" s="3190">
        <f>面积表!A928</f>
        <v>0</v>
      </c>
    </row>
    <row r="934" spans="1:20">
      <c r="A934" s="3169" t="str">
        <f>面积表!D929</f>
        <v>2118</v>
      </c>
      <c r="B934" s="52">
        <f>面积表!E929</f>
        <v>41.99</v>
      </c>
      <c r="C934" s="3192">
        <f t="shared" si="155"/>
        <v>1</v>
      </c>
      <c r="D934" s="2559" t="s">
        <v>4016</v>
      </c>
      <c r="E934" s="3192">
        <f t="shared" si="156"/>
        <v>1</v>
      </c>
      <c r="F934" s="2559" t="s">
        <v>21</v>
      </c>
      <c r="G934" s="3192">
        <f t="shared" si="157"/>
        <v>1</v>
      </c>
      <c r="H934" s="631">
        <v>3</v>
      </c>
      <c r="I934" s="3192">
        <f t="shared" si="158"/>
        <v>1</v>
      </c>
      <c r="J934" s="631"/>
      <c r="K934" s="3192">
        <f t="shared" si="159"/>
        <v>1</v>
      </c>
      <c r="L934" s="631"/>
      <c r="M934" s="3192">
        <f t="shared" si="160"/>
        <v>1</v>
      </c>
      <c r="N934" s="631"/>
      <c r="O934" s="3192">
        <f t="shared" si="161"/>
        <v>1</v>
      </c>
      <c r="P934" s="3194" t="s">
        <v>4045</v>
      </c>
      <c r="Q934" s="3192">
        <f t="shared" si="162"/>
        <v>1.04</v>
      </c>
      <c r="R934" s="3192">
        <f t="shared" ca="1" si="163"/>
        <v>14716</v>
      </c>
      <c r="S934" s="898">
        <f t="shared" ca="1" si="164"/>
        <v>62</v>
      </c>
      <c r="T934" s="3190">
        <f>面积表!A929</f>
        <v>0</v>
      </c>
    </row>
    <row r="935" spans="1:20">
      <c r="A935" s="3169" t="str">
        <f>面积表!D930</f>
        <v>2119</v>
      </c>
      <c r="B935" s="52">
        <f>面积表!E930</f>
        <v>44.72</v>
      </c>
      <c r="C935" s="3192">
        <f t="shared" si="155"/>
        <v>1</v>
      </c>
      <c r="D935" s="2559" t="s">
        <v>4016</v>
      </c>
      <c r="E935" s="3192">
        <f t="shared" si="156"/>
        <v>1</v>
      </c>
      <c r="F935" s="2559" t="s">
        <v>21</v>
      </c>
      <c r="G935" s="3192">
        <f t="shared" si="157"/>
        <v>1</v>
      </c>
      <c r="H935" s="631">
        <v>3</v>
      </c>
      <c r="I935" s="3192">
        <f t="shared" si="158"/>
        <v>1</v>
      </c>
      <c r="J935" s="631"/>
      <c r="K935" s="3192">
        <f t="shared" si="159"/>
        <v>1</v>
      </c>
      <c r="L935" s="631"/>
      <c r="M935" s="3192">
        <f t="shared" si="160"/>
        <v>1</v>
      </c>
      <c r="N935" s="631"/>
      <c r="O935" s="3192">
        <f t="shared" si="161"/>
        <v>1</v>
      </c>
      <c r="P935" s="3194" t="s">
        <v>4045</v>
      </c>
      <c r="Q935" s="3192">
        <f t="shared" si="162"/>
        <v>1.04</v>
      </c>
      <c r="R935" s="3192">
        <f t="shared" ca="1" si="163"/>
        <v>14716</v>
      </c>
      <c r="S935" s="898">
        <f t="shared" ca="1" si="164"/>
        <v>66</v>
      </c>
      <c r="T935" s="3190">
        <f>面积表!A930</f>
        <v>0</v>
      </c>
    </row>
    <row r="936" spans="1:20">
      <c r="A936" s="3169" t="str">
        <f>面积表!D931</f>
        <v>2120</v>
      </c>
      <c r="B936" s="52">
        <f>面积表!E931</f>
        <v>46.83</v>
      </c>
      <c r="C936" s="3192">
        <f t="shared" si="155"/>
        <v>1</v>
      </c>
      <c r="D936" s="2559" t="s">
        <v>4016</v>
      </c>
      <c r="E936" s="3192">
        <f t="shared" si="156"/>
        <v>1</v>
      </c>
      <c r="F936" s="2559" t="s">
        <v>21</v>
      </c>
      <c r="G936" s="3192">
        <f t="shared" si="157"/>
        <v>1</v>
      </c>
      <c r="H936" s="631">
        <v>3</v>
      </c>
      <c r="I936" s="3192">
        <f t="shared" si="158"/>
        <v>1</v>
      </c>
      <c r="J936" s="631"/>
      <c r="K936" s="3192">
        <f t="shared" si="159"/>
        <v>1</v>
      </c>
      <c r="L936" s="631"/>
      <c r="M936" s="3192">
        <f t="shared" si="160"/>
        <v>1</v>
      </c>
      <c r="N936" s="631"/>
      <c r="O936" s="3192">
        <f t="shared" si="161"/>
        <v>1</v>
      </c>
      <c r="P936" s="3194" t="s">
        <v>4045</v>
      </c>
      <c r="Q936" s="3192">
        <f t="shared" si="162"/>
        <v>1.04</v>
      </c>
      <c r="R936" s="3192">
        <f t="shared" ca="1" si="163"/>
        <v>14716</v>
      </c>
      <c r="S936" s="898">
        <f t="shared" ca="1" si="164"/>
        <v>69</v>
      </c>
      <c r="T936" s="3190">
        <f>面积表!A931</f>
        <v>0</v>
      </c>
    </row>
    <row r="937" spans="1:20">
      <c r="A937" s="3169" t="str">
        <f>面积表!D932</f>
        <v>2121</v>
      </c>
      <c r="B937" s="52">
        <f>面积表!E932</f>
        <v>48.33</v>
      </c>
      <c r="C937" s="3192">
        <f t="shared" si="155"/>
        <v>1</v>
      </c>
      <c r="D937" s="2559" t="s">
        <v>4016</v>
      </c>
      <c r="E937" s="3192">
        <f t="shared" si="156"/>
        <v>1</v>
      </c>
      <c r="F937" s="2559" t="s">
        <v>21</v>
      </c>
      <c r="G937" s="3192">
        <f t="shared" si="157"/>
        <v>1</v>
      </c>
      <c r="H937" s="631">
        <v>3</v>
      </c>
      <c r="I937" s="3192">
        <f t="shared" si="158"/>
        <v>1</v>
      </c>
      <c r="J937" s="631"/>
      <c r="K937" s="3192">
        <f t="shared" si="159"/>
        <v>1</v>
      </c>
      <c r="L937" s="631"/>
      <c r="M937" s="3192">
        <f t="shared" si="160"/>
        <v>1</v>
      </c>
      <c r="N937" s="631"/>
      <c r="O937" s="3192">
        <f t="shared" si="161"/>
        <v>1</v>
      </c>
      <c r="P937" s="3194" t="s">
        <v>4045</v>
      </c>
      <c r="Q937" s="3192">
        <f t="shared" si="162"/>
        <v>1.04</v>
      </c>
      <c r="R937" s="3192">
        <f t="shared" ca="1" si="163"/>
        <v>14716</v>
      </c>
      <c r="S937" s="898">
        <f t="shared" ca="1" si="164"/>
        <v>71</v>
      </c>
      <c r="T937" s="3190">
        <f>面积表!A932</f>
        <v>0</v>
      </c>
    </row>
    <row r="938" spans="1:20">
      <c r="A938" s="3169" t="str">
        <f>面积表!D933</f>
        <v>2122</v>
      </c>
      <c r="B938" s="52">
        <f>面积表!E933</f>
        <v>49.3</v>
      </c>
      <c r="C938" s="3192">
        <f t="shared" si="155"/>
        <v>1</v>
      </c>
      <c r="D938" s="2559" t="s">
        <v>4016</v>
      </c>
      <c r="E938" s="3192">
        <f t="shared" si="156"/>
        <v>1</v>
      </c>
      <c r="F938" s="2559" t="s">
        <v>21</v>
      </c>
      <c r="G938" s="3192">
        <f t="shared" si="157"/>
        <v>1</v>
      </c>
      <c r="H938" s="631">
        <v>3</v>
      </c>
      <c r="I938" s="3192">
        <f t="shared" si="158"/>
        <v>1</v>
      </c>
      <c r="J938" s="631"/>
      <c r="K938" s="3192">
        <f t="shared" si="159"/>
        <v>1</v>
      </c>
      <c r="L938" s="631"/>
      <c r="M938" s="3192">
        <f t="shared" si="160"/>
        <v>1</v>
      </c>
      <c r="N938" s="631"/>
      <c r="O938" s="3192">
        <f t="shared" si="161"/>
        <v>1</v>
      </c>
      <c r="P938" s="3194" t="s">
        <v>4045</v>
      </c>
      <c r="Q938" s="3192">
        <f t="shared" si="162"/>
        <v>1.04</v>
      </c>
      <c r="R938" s="3192">
        <f t="shared" ca="1" si="163"/>
        <v>14716</v>
      </c>
      <c r="S938" s="898">
        <f t="shared" ca="1" si="164"/>
        <v>73</v>
      </c>
      <c r="T938" s="3190">
        <f>面积表!A933</f>
        <v>0</v>
      </c>
    </row>
    <row r="939" spans="1:20">
      <c r="A939" s="3169" t="str">
        <f>面积表!D934</f>
        <v>2123</v>
      </c>
      <c r="B939" s="52">
        <f>面积表!E934</f>
        <v>49.59</v>
      </c>
      <c r="C939" s="3192">
        <f t="shared" si="155"/>
        <v>1</v>
      </c>
      <c r="D939" s="2559" t="s">
        <v>4016</v>
      </c>
      <c r="E939" s="3192">
        <f t="shared" si="156"/>
        <v>1</v>
      </c>
      <c r="F939" s="2559" t="s">
        <v>21</v>
      </c>
      <c r="G939" s="3192">
        <f t="shared" si="157"/>
        <v>1</v>
      </c>
      <c r="H939" s="631">
        <v>3</v>
      </c>
      <c r="I939" s="3192">
        <f t="shared" si="158"/>
        <v>1</v>
      </c>
      <c r="J939" s="631"/>
      <c r="K939" s="3192">
        <f t="shared" si="159"/>
        <v>1</v>
      </c>
      <c r="L939" s="631"/>
      <c r="M939" s="3192">
        <f t="shared" si="160"/>
        <v>1</v>
      </c>
      <c r="N939" s="631"/>
      <c r="O939" s="3192">
        <f t="shared" si="161"/>
        <v>1</v>
      </c>
      <c r="P939" s="3194" t="s">
        <v>4045</v>
      </c>
      <c r="Q939" s="3192">
        <f t="shared" si="162"/>
        <v>1.04</v>
      </c>
      <c r="R939" s="3192">
        <f t="shared" ca="1" si="163"/>
        <v>14716</v>
      </c>
      <c r="S939" s="898">
        <f t="shared" ca="1" si="164"/>
        <v>73</v>
      </c>
      <c r="T939" s="3190">
        <f>面积表!A934</f>
        <v>0</v>
      </c>
    </row>
    <row r="940" spans="1:20">
      <c r="A940" s="3169" t="str">
        <f>面积表!D935</f>
        <v>2124</v>
      </c>
      <c r="B940" s="52">
        <f>面积表!E935</f>
        <v>49.28</v>
      </c>
      <c r="C940" s="3192">
        <f t="shared" si="155"/>
        <v>1</v>
      </c>
      <c r="D940" s="2559" t="s">
        <v>4016</v>
      </c>
      <c r="E940" s="3192">
        <f t="shared" si="156"/>
        <v>1</v>
      </c>
      <c r="F940" s="2559" t="s">
        <v>21</v>
      </c>
      <c r="G940" s="3192">
        <f t="shared" si="157"/>
        <v>1</v>
      </c>
      <c r="H940" s="631">
        <v>3</v>
      </c>
      <c r="I940" s="3192">
        <f t="shared" si="158"/>
        <v>1</v>
      </c>
      <c r="J940" s="631"/>
      <c r="K940" s="3192">
        <f t="shared" si="159"/>
        <v>1</v>
      </c>
      <c r="L940" s="631"/>
      <c r="M940" s="3192">
        <f t="shared" si="160"/>
        <v>1</v>
      </c>
      <c r="N940" s="631"/>
      <c r="O940" s="3192">
        <f t="shared" si="161"/>
        <v>1</v>
      </c>
      <c r="P940" s="3194" t="s">
        <v>4045</v>
      </c>
      <c r="Q940" s="3192">
        <f t="shared" si="162"/>
        <v>1.04</v>
      </c>
      <c r="R940" s="3192">
        <f t="shared" ca="1" si="163"/>
        <v>14716</v>
      </c>
      <c r="S940" s="898">
        <f t="shared" ca="1" si="164"/>
        <v>73</v>
      </c>
      <c r="T940" s="3190">
        <f>面积表!A935</f>
        <v>0</v>
      </c>
    </row>
    <row r="941" spans="1:20">
      <c r="A941" s="3169" t="str">
        <f>面积表!D936</f>
        <v>2125</v>
      </c>
      <c r="B941" s="52">
        <f>面积表!E936</f>
        <v>48.41</v>
      </c>
      <c r="C941" s="3192">
        <f t="shared" si="155"/>
        <v>1</v>
      </c>
      <c r="D941" s="2559" t="s">
        <v>4016</v>
      </c>
      <c r="E941" s="3192">
        <f t="shared" si="156"/>
        <v>1</v>
      </c>
      <c r="F941" s="2559" t="s">
        <v>21</v>
      </c>
      <c r="G941" s="3192">
        <f t="shared" si="157"/>
        <v>1</v>
      </c>
      <c r="H941" s="631">
        <v>3</v>
      </c>
      <c r="I941" s="3192">
        <f t="shared" si="158"/>
        <v>1</v>
      </c>
      <c r="J941" s="631"/>
      <c r="K941" s="3192">
        <f t="shared" si="159"/>
        <v>1</v>
      </c>
      <c r="L941" s="631"/>
      <c r="M941" s="3192">
        <f t="shared" si="160"/>
        <v>1</v>
      </c>
      <c r="N941" s="631"/>
      <c r="O941" s="3192">
        <f t="shared" si="161"/>
        <v>1</v>
      </c>
      <c r="P941" s="3194" t="s">
        <v>4045</v>
      </c>
      <c r="Q941" s="3192">
        <f t="shared" si="162"/>
        <v>1.04</v>
      </c>
      <c r="R941" s="3192">
        <f t="shared" ca="1" si="163"/>
        <v>14716</v>
      </c>
      <c r="S941" s="898">
        <f t="shared" ca="1" si="164"/>
        <v>71</v>
      </c>
      <c r="T941" s="3190">
        <f>面积表!A936</f>
        <v>0</v>
      </c>
    </row>
    <row r="942" spans="1:20">
      <c r="A942" s="3169" t="str">
        <f>面积表!D937</f>
        <v>2126</v>
      </c>
      <c r="B942" s="52">
        <f>面积表!E937</f>
        <v>47.44</v>
      </c>
      <c r="C942" s="3192">
        <f t="shared" si="155"/>
        <v>1</v>
      </c>
      <c r="D942" s="2559" t="s">
        <v>4016</v>
      </c>
      <c r="E942" s="3192">
        <f t="shared" si="156"/>
        <v>1</v>
      </c>
      <c r="F942" s="2559" t="s">
        <v>21</v>
      </c>
      <c r="G942" s="3192">
        <f t="shared" si="157"/>
        <v>1</v>
      </c>
      <c r="H942" s="631">
        <v>3</v>
      </c>
      <c r="I942" s="3192">
        <f t="shared" si="158"/>
        <v>1</v>
      </c>
      <c r="J942" s="631"/>
      <c r="K942" s="3192">
        <f t="shared" si="159"/>
        <v>1</v>
      </c>
      <c r="L942" s="631"/>
      <c r="M942" s="3192">
        <f t="shared" si="160"/>
        <v>1</v>
      </c>
      <c r="N942" s="631"/>
      <c r="O942" s="3192">
        <f t="shared" si="161"/>
        <v>1</v>
      </c>
      <c r="P942" s="3194" t="s">
        <v>4045</v>
      </c>
      <c r="Q942" s="3192">
        <f t="shared" si="162"/>
        <v>1.04</v>
      </c>
      <c r="R942" s="3192">
        <f t="shared" ca="1" si="163"/>
        <v>14716</v>
      </c>
      <c r="S942" s="898">
        <f t="shared" ca="1" si="164"/>
        <v>70</v>
      </c>
      <c r="T942" s="3190">
        <f>面积表!A937</f>
        <v>0</v>
      </c>
    </row>
    <row r="943" spans="1:20">
      <c r="A943" s="3169" t="str">
        <f>面积表!D938</f>
        <v>2201</v>
      </c>
      <c r="B943" s="52">
        <f>面积表!E938</f>
        <v>52.2</v>
      </c>
      <c r="C943" s="3192">
        <f t="shared" si="155"/>
        <v>1</v>
      </c>
      <c r="D943" s="2559" t="s">
        <v>4016</v>
      </c>
      <c r="E943" s="3192">
        <f t="shared" si="156"/>
        <v>1</v>
      </c>
      <c r="F943" s="2559" t="s">
        <v>21</v>
      </c>
      <c r="G943" s="3192">
        <f t="shared" si="157"/>
        <v>1</v>
      </c>
      <c r="H943" s="631">
        <v>3</v>
      </c>
      <c r="I943" s="3192">
        <f t="shared" si="158"/>
        <v>1</v>
      </c>
      <c r="J943" s="631"/>
      <c r="K943" s="3192">
        <f t="shared" si="159"/>
        <v>1</v>
      </c>
      <c r="L943" s="631"/>
      <c r="M943" s="3192">
        <f t="shared" si="160"/>
        <v>1</v>
      </c>
      <c r="N943" s="631"/>
      <c r="O943" s="3192">
        <f t="shared" si="161"/>
        <v>1</v>
      </c>
      <c r="P943" s="3194" t="s">
        <v>4045</v>
      </c>
      <c r="Q943" s="3192">
        <f t="shared" si="162"/>
        <v>1.04</v>
      </c>
      <c r="R943" s="3192">
        <f t="shared" ca="1" si="163"/>
        <v>14716</v>
      </c>
      <c r="S943" s="898">
        <f t="shared" ca="1" si="164"/>
        <v>77</v>
      </c>
      <c r="T943" s="3190">
        <f>面积表!A938</f>
        <v>0</v>
      </c>
    </row>
    <row r="944" spans="1:20">
      <c r="A944" s="3169" t="str">
        <f>面积表!D939</f>
        <v>2202</v>
      </c>
      <c r="B944" s="52">
        <f>面积表!E939</f>
        <v>50.33</v>
      </c>
      <c r="C944" s="3192">
        <f t="shared" si="155"/>
        <v>1</v>
      </c>
      <c r="D944" s="2559" t="s">
        <v>4016</v>
      </c>
      <c r="E944" s="3192">
        <f t="shared" si="156"/>
        <v>1</v>
      </c>
      <c r="F944" s="2559" t="s">
        <v>21</v>
      </c>
      <c r="G944" s="3192">
        <f t="shared" si="157"/>
        <v>1</v>
      </c>
      <c r="H944" s="631">
        <v>3</v>
      </c>
      <c r="I944" s="3192">
        <f t="shared" si="158"/>
        <v>1</v>
      </c>
      <c r="J944" s="631"/>
      <c r="K944" s="3192">
        <f t="shared" si="159"/>
        <v>1</v>
      </c>
      <c r="L944" s="631"/>
      <c r="M944" s="3192">
        <f t="shared" si="160"/>
        <v>1</v>
      </c>
      <c r="N944" s="631"/>
      <c r="O944" s="3192">
        <f t="shared" si="161"/>
        <v>1</v>
      </c>
      <c r="P944" s="3194" t="s">
        <v>4045</v>
      </c>
      <c r="Q944" s="3192">
        <f t="shared" si="162"/>
        <v>1.04</v>
      </c>
      <c r="R944" s="3192">
        <f t="shared" ca="1" si="163"/>
        <v>14716</v>
      </c>
      <c r="S944" s="898">
        <f t="shared" ca="1" si="164"/>
        <v>74</v>
      </c>
      <c r="T944" s="3190">
        <f>面积表!A939</f>
        <v>0</v>
      </c>
    </row>
    <row r="945" spans="1:20">
      <c r="A945" s="3169" t="str">
        <f>面积表!D940</f>
        <v>2203</v>
      </c>
      <c r="B945" s="52">
        <f>面积表!E940</f>
        <v>50.33</v>
      </c>
      <c r="C945" s="3192">
        <f t="shared" si="155"/>
        <v>1</v>
      </c>
      <c r="D945" s="2559" t="s">
        <v>4016</v>
      </c>
      <c r="E945" s="3192">
        <f t="shared" si="156"/>
        <v>1</v>
      </c>
      <c r="F945" s="2559" t="s">
        <v>21</v>
      </c>
      <c r="G945" s="3192">
        <f t="shared" si="157"/>
        <v>1</v>
      </c>
      <c r="H945" s="631">
        <v>3</v>
      </c>
      <c r="I945" s="3192">
        <f t="shared" si="158"/>
        <v>1</v>
      </c>
      <c r="J945" s="631"/>
      <c r="K945" s="3192">
        <f t="shared" si="159"/>
        <v>1</v>
      </c>
      <c r="L945" s="631"/>
      <c r="M945" s="3192">
        <f t="shared" si="160"/>
        <v>1</v>
      </c>
      <c r="N945" s="631"/>
      <c r="O945" s="3192">
        <f t="shared" si="161"/>
        <v>1</v>
      </c>
      <c r="P945" s="3194" t="s">
        <v>4045</v>
      </c>
      <c r="Q945" s="3192">
        <f t="shared" si="162"/>
        <v>1.04</v>
      </c>
      <c r="R945" s="3192">
        <f t="shared" ca="1" si="163"/>
        <v>14716</v>
      </c>
      <c r="S945" s="898">
        <f t="shared" ca="1" si="164"/>
        <v>74</v>
      </c>
      <c r="T945" s="3190">
        <f>面积表!A940</f>
        <v>0</v>
      </c>
    </row>
    <row r="946" spans="1:20">
      <c r="A946" s="3169" t="str">
        <f>面积表!D941</f>
        <v>2204</v>
      </c>
      <c r="B946" s="52">
        <f>面积表!E941</f>
        <v>50.33</v>
      </c>
      <c r="C946" s="3192">
        <f t="shared" si="155"/>
        <v>1</v>
      </c>
      <c r="D946" s="2559" t="s">
        <v>4016</v>
      </c>
      <c r="E946" s="3192">
        <f t="shared" si="156"/>
        <v>1</v>
      </c>
      <c r="F946" s="2559" t="s">
        <v>21</v>
      </c>
      <c r="G946" s="3192">
        <f t="shared" si="157"/>
        <v>1</v>
      </c>
      <c r="H946" s="631">
        <v>3</v>
      </c>
      <c r="I946" s="3192">
        <f t="shared" si="158"/>
        <v>1</v>
      </c>
      <c r="J946" s="631"/>
      <c r="K946" s="3192">
        <f t="shared" si="159"/>
        <v>1</v>
      </c>
      <c r="L946" s="631"/>
      <c r="M946" s="3192">
        <f t="shared" si="160"/>
        <v>1</v>
      </c>
      <c r="N946" s="631"/>
      <c r="O946" s="3192">
        <f t="shared" si="161"/>
        <v>1</v>
      </c>
      <c r="P946" s="3194" t="s">
        <v>4045</v>
      </c>
      <c r="Q946" s="3192">
        <f t="shared" si="162"/>
        <v>1.04</v>
      </c>
      <c r="R946" s="3192">
        <f t="shared" ca="1" si="163"/>
        <v>14716</v>
      </c>
      <c r="S946" s="898">
        <f t="shared" ca="1" si="164"/>
        <v>74</v>
      </c>
      <c r="T946" s="3190">
        <f>面积表!A941</f>
        <v>0</v>
      </c>
    </row>
    <row r="947" spans="1:20">
      <c r="A947" s="3169" t="str">
        <f>面积表!D942</f>
        <v>2205</v>
      </c>
      <c r="B947" s="52">
        <f>面积表!E942</f>
        <v>50.33</v>
      </c>
      <c r="C947" s="3192">
        <f t="shared" si="155"/>
        <v>1</v>
      </c>
      <c r="D947" s="2559" t="s">
        <v>4016</v>
      </c>
      <c r="E947" s="3192">
        <f t="shared" si="156"/>
        <v>1</v>
      </c>
      <c r="F947" s="2559" t="s">
        <v>21</v>
      </c>
      <c r="G947" s="3192">
        <f t="shared" si="157"/>
        <v>1</v>
      </c>
      <c r="H947" s="631">
        <v>3</v>
      </c>
      <c r="I947" s="3192">
        <f t="shared" si="158"/>
        <v>1</v>
      </c>
      <c r="J947" s="631"/>
      <c r="K947" s="3192">
        <f t="shared" si="159"/>
        <v>1</v>
      </c>
      <c r="L947" s="631"/>
      <c r="M947" s="3192">
        <f t="shared" si="160"/>
        <v>1</v>
      </c>
      <c r="N947" s="631"/>
      <c r="O947" s="3192">
        <f t="shared" si="161"/>
        <v>1</v>
      </c>
      <c r="P947" s="3194" t="s">
        <v>4045</v>
      </c>
      <c r="Q947" s="3192">
        <f t="shared" si="162"/>
        <v>1.04</v>
      </c>
      <c r="R947" s="3192">
        <f t="shared" ca="1" si="163"/>
        <v>14716</v>
      </c>
      <c r="S947" s="898">
        <f t="shared" ca="1" si="164"/>
        <v>74</v>
      </c>
      <c r="T947" s="3190">
        <f>面积表!A942</f>
        <v>0</v>
      </c>
    </row>
    <row r="948" spans="1:20">
      <c r="A948" s="3169" t="str">
        <f>面积表!D943</f>
        <v>2206</v>
      </c>
      <c r="B948" s="52">
        <f>面积表!E943</f>
        <v>50.33</v>
      </c>
      <c r="C948" s="3192">
        <f t="shared" si="155"/>
        <v>1</v>
      </c>
      <c r="D948" s="2559" t="s">
        <v>4016</v>
      </c>
      <c r="E948" s="3192">
        <f t="shared" si="156"/>
        <v>1</v>
      </c>
      <c r="F948" s="2559" t="s">
        <v>21</v>
      </c>
      <c r="G948" s="3192">
        <f t="shared" si="157"/>
        <v>1</v>
      </c>
      <c r="H948" s="631">
        <v>3</v>
      </c>
      <c r="I948" s="3192">
        <f t="shared" si="158"/>
        <v>1</v>
      </c>
      <c r="J948" s="631"/>
      <c r="K948" s="3192">
        <f t="shared" si="159"/>
        <v>1</v>
      </c>
      <c r="L948" s="631"/>
      <c r="M948" s="3192">
        <f t="shared" si="160"/>
        <v>1</v>
      </c>
      <c r="N948" s="631"/>
      <c r="O948" s="3192">
        <f t="shared" si="161"/>
        <v>1</v>
      </c>
      <c r="P948" s="3194" t="s">
        <v>4045</v>
      </c>
      <c r="Q948" s="3192">
        <f t="shared" si="162"/>
        <v>1.04</v>
      </c>
      <c r="R948" s="3192">
        <f t="shared" ca="1" si="163"/>
        <v>14716</v>
      </c>
      <c r="S948" s="898">
        <f t="shared" ca="1" si="164"/>
        <v>74</v>
      </c>
      <c r="T948" s="3190">
        <f>面积表!A943</f>
        <v>0</v>
      </c>
    </row>
    <row r="949" spans="1:20">
      <c r="A949" s="3169" t="str">
        <f>面积表!D944</f>
        <v>2207</v>
      </c>
      <c r="B949" s="52">
        <f>面积表!E944</f>
        <v>50.33</v>
      </c>
      <c r="C949" s="3192">
        <f t="shared" si="155"/>
        <v>1</v>
      </c>
      <c r="D949" s="2559" t="s">
        <v>4016</v>
      </c>
      <c r="E949" s="3192">
        <f t="shared" si="156"/>
        <v>1</v>
      </c>
      <c r="F949" s="2559" t="s">
        <v>21</v>
      </c>
      <c r="G949" s="3192">
        <f t="shared" si="157"/>
        <v>1</v>
      </c>
      <c r="H949" s="631">
        <v>3</v>
      </c>
      <c r="I949" s="3192">
        <f t="shared" si="158"/>
        <v>1</v>
      </c>
      <c r="J949" s="631"/>
      <c r="K949" s="3192">
        <f t="shared" si="159"/>
        <v>1</v>
      </c>
      <c r="L949" s="631"/>
      <c r="M949" s="3192">
        <f t="shared" si="160"/>
        <v>1</v>
      </c>
      <c r="N949" s="631"/>
      <c r="O949" s="3192">
        <f t="shared" si="161"/>
        <v>1</v>
      </c>
      <c r="P949" s="3194" t="s">
        <v>4045</v>
      </c>
      <c r="Q949" s="3192">
        <f t="shared" si="162"/>
        <v>1.04</v>
      </c>
      <c r="R949" s="3192">
        <f t="shared" ca="1" si="163"/>
        <v>14716</v>
      </c>
      <c r="S949" s="898">
        <f t="shared" ca="1" si="164"/>
        <v>74</v>
      </c>
      <c r="T949" s="3190">
        <f>面积表!A944</f>
        <v>0</v>
      </c>
    </row>
    <row r="950" spans="1:20">
      <c r="A950" s="3169" t="str">
        <f>面积表!D945</f>
        <v>2208</v>
      </c>
      <c r="B950" s="52">
        <f>面积表!E945</f>
        <v>50.33</v>
      </c>
      <c r="C950" s="3192">
        <f t="shared" si="155"/>
        <v>1</v>
      </c>
      <c r="D950" s="2559" t="s">
        <v>4016</v>
      </c>
      <c r="E950" s="3192">
        <f t="shared" si="156"/>
        <v>1</v>
      </c>
      <c r="F950" s="2559" t="s">
        <v>21</v>
      </c>
      <c r="G950" s="3192">
        <f t="shared" si="157"/>
        <v>1</v>
      </c>
      <c r="H950" s="631">
        <v>3</v>
      </c>
      <c r="I950" s="3192">
        <f t="shared" si="158"/>
        <v>1</v>
      </c>
      <c r="J950" s="631"/>
      <c r="K950" s="3192">
        <f t="shared" si="159"/>
        <v>1</v>
      </c>
      <c r="L950" s="631"/>
      <c r="M950" s="3192">
        <f t="shared" si="160"/>
        <v>1</v>
      </c>
      <c r="N950" s="631"/>
      <c r="O950" s="3192">
        <f t="shared" si="161"/>
        <v>1</v>
      </c>
      <c r="P950" s="3194" t="s">
        <v>4045</v>
      </c>
      <c r="Q950" s="3192">
        <f t="shared" si="162"/>
        <v>1.04</v>
      </c>
      <c r="R950" s="3192">
        <f t="shared" ca="1" si="163"/>
        <v>14716</v>
      </c>
      <c r="S950" s="898">
        <f t="shared" ca="1" si="164"/>
        <v>74</v>
      </c>
      <c r="T950" s="3190">
        <f>面积表!A945</f>
        <v>0</v>
      </c>
    </row>
    <row r="951" spans="1:20">
      <c r="A951" s="3169" t="str">
        <f>面积表!D946</f>
        <v>2209</v>
      </c>
      <c r="B951" s="52">
        <f>面积表!E946</f>
        <v>50.33</v>
      </c>
      <c r="C951" s="3192">
        <f t="shared" si="155"/>
        <v>1</v>
      </c>
      <c r="D951" s="2559" t="s">
        <v>4016</v>
      </c>
      <c r="E951" s="3192">
        <f t="shared" si="156"/>
        <v>1</v>
      </c>
      <c r="F951" s="2559" t="s">
        <v>21</v>
      </c>
      <c r="G951" s="3192">
        <f t="shared" si="157"/>
        <v>1</v>
      </c>
      <c r="H951" s="631">
        <v>3</v>
      </c>
      <c r="I951" s="3192">
        <f t="shared" si="158"/>
        <v>1</v>
      </c>
      <c r="J951" s="631"/>
      <c r="K951" s="3192">
        <f t="shared" si="159"/>
        <v>1</v>
      </c>
      <c r="L951" s="631"/>
      <c r="M951" s="3192">
        <f t="shared" si="160"/>
        <v>1</v>
      </c>
      <c r="N951" s="631"/>
      <c r="O951" s="3192">
        <f t="shared" si="161"/>
        <v>1</v>
      </c>
      <c r="P951" s="3194" t="s">
        <v>4045</v>
      </c>
      <c r="Q951" s="3192">
        <f t="shared" si="162"/>
        <v>1.04</v>
      </c>
      <c r="R951" s="3192">
        <f t="shared" ca="1" si="163"/>
        <v>14716</v>
      </c>
      <c r="S951" s="898">
        <f t="shared" ca="1" si="164"/>
        <v>74</v>
      </c>
      <c r="T951" s="3190">
        <f>面积表!A946</f>
        <v>0</v>
      </c>
    </row>
    <row r="952" spans="1:20">
      <c r="A952" s="3169" t="str">
        <f>面积表!D947</f>
        <v>2210</v>
      </c>
      <c r="B952" s="52">
        <f>面积表!E947</f>
        <v>50.33</v>
      </c>
      <c r="C952" s="3192">
        <f t="shared" si="155"/>
        <v>1</v>
      </c>
      <c r="D952" s="2559" t="s">
        <v>4016</v>
      </c>
      <c r="E952" s="3192">
        <f t="shared" si="156"/>
        <v>1</v>
      </c>
      <c r="F952" s="2559" t="s">
        <v>21</v>
      </c>
      <c r="G952" s="3192">
        <f t="shared" si="157"/>
        <v>1</v>
      </c>
      <c r="H952" s="631">
        <v>3</v>
      </c>
      <c r="I952" s="3192">
        <f t="shared" si="158"/>
        <v>1</v>
      </c>
      <c r="J952" s="631"/>
      <c r="K952" s="3192">
        <f t="shared" si="159"/>
        <v>1</v>
      </c>
      <c r="L952" s="631"/>
      <c r="M952" s="3192">
        <f t="shared" si="160"/>
        <v>1</v>
      </c>
      <c r="N952" s="631"/>
      <c r="O952" s="3192">
        <f t="shared" si="161"/>
        <v>1</v>
      </c>
      <c r="P952" s="3194" t="s">
        <v>4045</v>
      </c>
      <c r="Q952" s="3192">
        <f t="shared" si="162"/>
        <v>1.04</v>
      </c>
      <c r="R952" s="3192">
        <f t="shared" ca="1" si="163"/>
        <v>14716</v>
      </c>
      <c r="S952" s="898">
        <f t="shared" ca="1" si="164"/>
        <v>74</v>
      </c>
      <c r="T952" s="3190">
        <f>面积表!A947</f>
        <v>0</v>
      </c>
    </row>
    <row r="953" spans="1:20">
      <c r="A953" s="3169" t="str">
        <f>面积表!D948</f>
        <v>2211</v>
      </c>
      <c r="B953" s="52">
        <f>面积表!E948</f>
        <v>50.33</v>
      </c>
      <c r="C953" s="3192">
        <f t="shared" si="155"/>
        <v>1</v>
      </c>
      <c r="D953" s="2559" t="s">
        <v>4016</v>
      </c>
      <c r="E953" s="3192">
        <f t="shared" si="156"/>
        <v>1</v>
      </c>
      <c r="F953" s="2559" t="s">
        <v>21</v>
      </c>
      <c r="G953" s="3192">
        <f t="shared" si="157"/>
        <v>1</v>
      </c>
      <c r="H953" s="631">
        <v>3</v>
      </c>
      <c r="I953" s="3192">
        <f t="shared" si="158"/>
        <v>1</v>
      </c>
      <c r="J953" s="631"/>
      <c r="K953" s="3192">
        <f t="shared" si="159"/>
        <v>1</v>
      </c>
      <c r="L953" s="631"/>
      <c r="M953" s="3192">
        <f t="shared" si="160"/>
        <v>1</v>
      </c>
      <c r="N953" s="631"/>
      <c r="O953" s="3192">
        <f t="shared" si="161"/>
        <v>1</v>
      </c>
      <c r="P953" s="3194" t="s">
        <v>4045</v>
      </c>
      <c r="Q953" s="3192">
        <f t="shared" si="162"/>
        <v>1.04</v>
      </c>
      <c r="R953" s="3192">
        <f t="shared" ca="1" si="163"/>
        <v>14716</v>
      </c>
      <c r="S953" s="898">
        <f t="shared" ca="1" si="164"/>
        <v>74</v>
      </c>
      <c r="T953" s="3190">
        <f>面积表!A948</f>
        <v>0</v>
      </c>
    </row>
    <row r="954" spans="1:20">
      <c r="A954" s="3169" t="str">
        <f>面积表!D949</f>
        <v>2212</v>
      </c>
      <c r="B954" s="52">
        <f>面积表!E949</f>
        <v>50.33</v>
      </c>
      <c r="C954" s="3192">
        <f t="shared" si="155"/>
        <v>1</v>
      </c>
      <c r="D954" s="2559" t="s">
        <v>4016</v>
      </c>
      <c r="E954" s="3192">
        <f t="shared" si="156"/>
        <v>1</v>
      </c>
      <c r="F954" s="2559" t="s">
        <v>21</v>
      </c>
      <c r="G954" s="3192">
        <f t="shared" si="157"/>
        <v>1</v>
      </c>
      <c r="H954" s="631">
        <v>3</v>
      </c>
      <c r="I954" s="3192">
        <f t="shared" si="158"/>
        <v>1</v>
      </c>
      <c r="J954" s="631"/>
      <c r="K954" s="3192">
        <f t="shared" si="159"/>
        <v>1</v>
      </c>
      <c r="L954" s="631"/>
      <c r="M954" s="3192">
        <f t="shared" si="160"/>
        <v>1</v>
      </c>
      <c r="N954" s="631"/>
      <c r="O954" s="3192">
        <f t="shared" si="161"/>
        <v>1</v>
      </c>
      <c r="P954" s="3194" t="s">
        <v>4045</v>
      </c>
      <c r="Q954" s="3192">
        <f t="shared" si="162"/>
        <v>1.04</v>
      </c>
      <c r="R954" s="3192">
        <f t="shared" ca="1" si="163"/>
        <v>14716</v>
      </c>
      <c r="S954" s="898">
        <f t="shared" ca="1" si="164"/>
        <v>74</v>
      </c>
      <c r="T954" s="3190">
        <f>面积表!A949</f>
        <v>0</v>
      </c>
    </row>
    <row r="955" spans="1:20">
      <c r="A955" s="3169" t="str">
        <f>面积表!D950</f>
        <v>2213</v>
      </c>
      <c r="B955" s="52">
        <f>面积表!E950</f>
        <v>50.33</v>
      </c>
      <c r="C955" s="3192">
        <f t="shared" si="155"/>
        <v>1</v>
      </c>
      <c r="D955" s="2559" t="s">
        <v>4016</v>
      </c>
      <c r="E955" s="3192">
        <f t="shared" si="156"/>
        <v>1</v>
      </c>
      <c r="F955" s="2559" t="s">
        <v>21</v>
      </c>
      <c r="G955" s="3192">
        <f t="shared" si="157"/>
        <v>1</v>
      </c>
      <c r="H955" s="631">
        <v>3</v>
      </c>
      <c r="I955" s="3192">
        <f t="shared" si="158"/>
        <v>1</v>
      </c>
      <c r="J955" s="631"/>
      <c r="K955" s="3192">
        <f t="shared" si="159"/>
        <v>1</v>
      </c>
      <c r="L955" s="631"/>
      <c r="M955" s="3192">
        <f t="shared" si="160"/>
        <v>1</v>
      </c>
      <c r="N955" s="631"/>
      <c r="O955" s="3192">
        <f t="shared" si="161"/>
        <v>1</v>
      </c>
      <c r="P955" s="3194" t="s">
        <v>4045</v>
      </c>
      <c r="Q955" s="3192">
        <f t="shared" si="162"/>
        <v>1.04</v>
      </c>
      <c r="R955" s="3192">
        <f t="shared" ca="1" si="163"/>
        <v>14716</v>
      </c>
      <c r="S955" s="898">
        <f t="shared" ca="1" si="164"/>
        <v>74</v>
      </c>
      <c r="T955" s="3190">
        <f>面积表!A950</f>
        <v>0</v>
      </c>
    </row>
    <row r="956" spans="1:20">
      <c r="A956" s="3169" t="str">
        <f>面积表!D951</f>
        <v>2214</v>
      </c>
      <c r="B956" s="52">
        <f>面积表!E951</f>
        <v>50.33</v>
      </c>
      <c r="C956" s="3192">
        <f t="shared" si="155"/>
        <v>1</v>
      </c>
      <c r="D956" s="2559" t="s">
        <v>4016</v>
      </c>
      <c r="E956" s="3192">
        <f t="shared" si="156"/>
        <v>1</v>
      </c>
      <c r="F956" s="2559" t="s">
        <v>21</v>
      </c>
      <c r="G956" s="3192">
        <f t="shared" si="157"/>
        <v>1</v>
      </c>
      <c r="H956" s="631">
        <v>3</v>
      </c>
      <c r="I956" s="3192">
        <f t="shared" si="158"/>
        <v>1</v>
      </c>
      <c r="J956" s="631"/>
      <c r="K956" s="3192">
        <f t="shared" si="159"/>
        <v>1</v>
      </c>
      <c r="L956" s="631"/>
      <c r="M956" s="3192">
        <f t="shared" si="160"/>
        <v>1</v>
      </c>
      <c r="N956" s="631"/>
      <c r="O956" s="3192">
        <f t="shared" si="161"/>
        <v>1</v>
      </c>
      <c r="P956" s="3194" t="s">
        <v>4045</v>
      </c>
      <c r="Q956" s="3192">
        <f t="shared" si="162"/>
        <v>1.04</v>
      </c>
      <c r="R956" s="3192">
        <f t="shared" ca="1" si="163"/>
        <v>14716</v>
      </c>
      <c r="S956" s="898">
        <f t="shared" ca="1" si="164"/>
        <v>74</v>
      </c>
      <c r="T956" s="3190">
        <f>面积表!A951</f>
        <v>0</v>
      </c>
    </row>
    <row r="957" spans="1:20">
      <c r="A957" s="3169" t="str">
        <f>面积表!D952</f>
        <v>2215</v>
      </c>
      <c r="B957" s="52">
        <f>面积表!E952</f>
        <v>50.33</v>
      </c>
      <c r="C957" s="3192">
        <f t="shared" si="155"/>
        <v>1</v>
      </c>
      <c r="D957" s="2559" t="s">
        <v>4016</v>
      </c>
      <c r="E957" s="3192">
        <f t="shared" si="156"/>
        <v>1</v>
      </c>
      <c r="F957" s="2559" t="s">
        <v>21</v>
      </c>
      <c r="G957" s="3192">
        <f t="shared" si="157"/>
        <v>1</v>
      </c>
      <c r="H957" s="631">
        <v>3</v>
      </c>
      <c r="I957" s="3192">
        <f t="shared" si="158"/>
        <v>1</v>
      </c>
      <c r="J957" s="631"/>
      <c r="K957" s="3192">
        <f t="shared" si="159"/>
        <v>1</v>
      </c>
      <c r="L957" s="631"/>
      <c r="M957" s="3192">
        <f t="shared" si="160"/>
        <v>1</v>
      </c>
      <c r="N957" s="631"/>
      <c r="O957" s="3192">
        <f t="shared" si="161"/>
        <v>1</v>
      </c>
      <c r="P957" s="3194" t="s">
        <v>4045</v>
      </c>
      <c r="Q957" s="3192">
        <f t="shared" si="162"/>
        <v>1.04</v>
      </c>
      <c r="R957" s="3192">
        <f t="shared" ca="1" si="163"/>
        <v>14716</v>
      </c>
      <c r="S957" s="898">
        <f t="shared" ca="1" si="164"/>
        <v>74</v>
      </c>
      <c r="T957" s="3190">
        <f>面积表!A952</f>
        <v>0</v>
      </c>
    </row>
    <row r="958" spans="1:20">
      <c r="A958" s="3169" t="str">
        <f>面积表!D953</f>
        <v>2216</v>
      </c>
      <c r="B958" s="52">
        <f>面积表!E953</f>
        <v>69.77</v>
      </c>
      <c r="C958" s="3192">
        <f t="shared" si="155"/>
        <v>1.01</v>
      </c>
      <c r="D958" s="2559" t="s">
        <v>4016</v>
      </c>
      <c r="E958" s="3192">
        <f t="shared" si="156"/>
        <v>1</v>
      </c>
      <c r="F958" s="2559" t="s">
        <v>21</v>
      </c>
      <c r="G958" s="3192">
        <f t="shared" si="157"/>
        <v>1</v>
      </c>
      <c r="H958" s="631">
        <v>3</v>
      </c>
      <c r="I958" s="3192">
        <f t="shared" si="158"/>
        <v>1</v>
      </c>
      <c r="J958" s="631"/>
      <c r="K958" s="3192">
        <f t="shared" si="159"/>
        <v>1</v>
      </c>
      <c r="L958" s="631"/>
      <c r="M958" s="3192">
        <f t="shared" si="160"/>
        <v>1</v>
      </c>
      <c r="N958" s="631"/>
      <c r="O958" s="3192">
        <f t="shared" si="161"/>
        <v>1</v>
      </c>
      <c r="P958" s="3194" t="s">
        <v>4045</v>
      </c>
      <c r="Q958" s="3192">
        <f t="shared" si="162"/>
        <v>1.04</v>
      </c>
      <c r="R958" s="3192">
        <f t="shared" ca="1" si="163"/>
        <v>14863</v>
      </c>
      <c r="S958" s="898">
        <f t="shared" ca="1" si="164"/>
        <v>104</v>
      </c>
      <c r="T958" s="3190">
        <f>面积表!A953</f>
        <v>0</v>
      </c>
    </row>
    <row r="959" spans="1:20">
      <c r="A959" s="3169" t="str">
        <f>面积表!D954</f>
        <v>2217</v>
      </c>
      <c r="B959" s="52">
        <f>面积表!E954</f>
        <v>38.65</v>
      </c>
      <c r="C959" s="3192">
        <f t="shared" si="155"/>
        <v>1</v>
      </c>
      <c r="D959" s="2559" t="s">
        <v>4016</v>
      </c>
      <c r="E959" s="3192">
        <f t="shared" si="156"/>
        <v>1</v>
      </c>
      <c r="F959" s="2559" t="s">
        <v>21</v>
      </c>
      <c r="G959" s="3192">
        <f t="shared" si="157"/>
        <v>1</v>
      </c>
      <c r="H959" s="631">
        <v>3</v>
      </c>
      <c r="I959" s="3192">
        <f t="shared" si="158"/>
        <v>1</v>
      </c>
      <c r="J959" s="631"/>
      <c r="K959" s="3192">
        <f t="shared" si="159"/>
        <v>1</v>
      </c>
      <c r="L959" s="631"/>
      <c r="M959" s="3192">
        <f t="shared" si="160"/>
        <v>1</v>
      </c>
      <c r="N959" s="631"/>
      <c r="O959" s="3192">
        <f t="shared" si="161"/>
        <v>1</v>
      </c>
      <c r="P959" s="3194" t="s">
        <v>4045</v>
      </c>
      <c r="Q959" s="3192">
        <f t="shared" si="162"/>
        <v>1.04</v>
      </c>
      <c r="R959" s="3192">
        <f t="shared" ca="1" si="163"/>
        <v>14716</v>
      </c>
      <c r="S959" s="898">
        <f t="shared" ca="1" si="164"/>
        <v>57</v>
      </c>
      <c r="T959" s="3190">
        <f>面积表!A954</f>
        <v>0</v>
      </c>
    </row>
    <row r="960" spans="1:20">
      <c r="A960" s="3169" t="str">
        <f>面积表!D955</f>
        <v>2218</v>
      </c>
      <c r="B960" s="52">
        <f>面积表!E955</f>
        <v>41.99</v>
      </c>
      <c r="C960" s="3192">
        <f t="shared" si="155"/>
        <v>1</v>
      </c>
      <c r="D960" s="2559" t="s">
        <v>4016</v>
      </c>
      <c r="E960" s="3192">
        <f t="shared" si="156"/>
        <v>1</v>
      </c>
      <c r="F960" s="2559" t="s">
        <v>21</v>
      </c>
      <c r="G960" s="3192">
        <f t="shared" si="157"/>
        <v>1</v>
      </c>
      <c r="H960" s="631">
        <v>3</v>
      </c>
      <c r="I960" s="3192">
        <f t="shared" si="158"/>
        <v>1</v>
      </c>
      <c r="J960" s="631"/>
      <c r="K960" s="3192">
        <f t="shared" si="159"/>
        <v>1</v>
      </c>
      <c r="L960" s="631"/>
      <c r="M960" s="3192">
        <f t="shared" si="160"/>
        <v>1</v>
      </c>
      <c r="N960" s="631"/>
      <c r="O960" s="3192">
        <f t="shared" si="161"/>
        <v>1</v>
      </c>
      <c r="P960" s="3194" t="s">
        <v>4045</v>
      </c>
      <c r="Q960" s="3192">
        <f t="shared" si="162"/>
        <v>1.04</v>
      </c>
      <c r="R960" s="3192">
        <f t="shared" ca="1" si="163"/>
        <v>14716</v>
      </c>
      <c r="S960" s="898">
        <f t="shared" ca="1" si="164"/>
        <v>62</v>
      </c>
      <c r="T960" s="3190">
        <f>面积表!A955</f>
        <v>0</v>
      </c>
    </row>
    <row r="961" spans="1:20">
      <c r="A961" s="3169" t="str">
        <f>面积表!D956</f>
        <v>2219</v>
      </c>
      <c r="B961" s="52">
        <f>面积表!E956</f>
        <v>44.72</v>
      </c>
      <c r="C961" s="3192">
        <f t="shared" si="155"/>
        <v>1</v>
      </c>
      <c r="D961" s="2559" t="s">
        <v>4016</v>
      </c>
      <c r="E961" s="3192">
        <f t="shared" si="156"/>
        <v>1</v>
      </c>
      <c r="F961" s="2559" t="s">
        <v>21</v>
      </c>
      <c r="G961" s="3192">
        <f t="shared" si="157"/>
        <v>1</v>
      </c>
      <c r="H961" s="631">
        <v>3</v>
      </c>
      <c r="I961" s="3192">
        <f t="shared" si="158"/>
        <v>1</v>
      </c>
      <c r="J961" s="631"/>
      <c r="K961" s="3192">
        <f t="shared" si="159"/>
        <v>1</v>
      </c>
      <c r="L961" s="631"/>
      <c r="M961" s="3192">
        <f t="shared" si="160"/>
        <v>1</v>
      </c>
      <c r="N961" s="631"/>
      <c r="O961" s="3192">
        <f t="shared" si="161"/>
        <v>1</v>
      </c>
      <c r="P961" s="3194" t="s">
        <v>4045</v>
      </c>
      <c r="Q961" s="3192">
        <f t="shared" si="162"/>
        <v>1.04</v>
      </c>
      <c r="R961" s="3192">
        <f t="shared" ca="1" si="163"/>
        <v>14716</v>
      </c>
      <c r="S961" s="898">
        <f t="shared" ca="1" si="164"/>
        <v>66</v>
      </c>
      <c r="T961" s="3190">
        <f>面积表!A956</f>
        <v>0</v>
      </c>
    </row>
    <row r="962" spans="1:20">
      <c r="A962" s="3169" t="str">
        <f>面积表!D957</f>
        <v>2220</v>
      </c>
      <c r="B962" s="52">
        <f>面积表!E957</f>
        <v>46.83</v>
      </c>
      <c r="C962" s="3192">
        <f t="shared" si="155"/>
        <v>1</v>
      </c>
      <c r="D962" s="2559" t="s">
        <v>4016</v>
      </c>
      <c r="E962" s="3192">
        <f t="shared" si="156"/>
        <v>1</v>
      </c>
      <c r="F962" s="2559" t="s">
        <v>21</v>
      </c>
      <c r="G962" s="3192">
        <f t="shared" si="157"/>
        <v>1</v>
      </c>
      <c r="H962" s="631">
        <v>3</v>
      </c>
      <c r="I962" s="3192">
        <f t="shared" si="158"/>
        <v>1</v>
      </c>
      <c r="J962" s="631"/>
      <c r="K962" s="3192">
        <f t="shared" si="159"/>
        <v>1</v>
      </c>
      <c r="L962" s="631"/>
      <c r="M962" s="3192">
        <f t="shared" si="160"/>
        <v>1</v>
      </c>
      <c r="N962" s="631"/>
      <c r="O962" s="3192">
        <f t="shared" si="161"/>
        <v>1</v>
      </c>
      <c r="P962" s="3194" t="s">
        <v>4045</v>
      </c>
      <c r="Q962" s="3192">
        <f t="shared" si="162"/>
        <v>1.04</v>
      </c>
      <c r="R962" s="3192">
        <f t="shared" ca="1" si="163"/>
        <v>14716</v>
      </c>
      <c r="S962" s="898">
        <f t="shared" ca="1" si="164"/>
        <v>69</v>
      </c>
      <c r="T962" s="3190">
        <f>面积表!A957</f>
        <v>0</v>
      </c>
    </row>
    <row r="963" spans="1:20">
      <c r="A963" s="3169" t="str">
        <f>面积表!D958</f>
        <v>2221</v>
      </c>
      <c r="B963" s="52">
        <f>面积表!E958</f>
        <v>48.33</v>
      </c>
      <c r="C963" s="3192">
        <f t="shared" si="155"/>
        <v>1</v>
      </c>
      <c r="D963" s="2559" t="s">
        <v>4016</v>
      </c>
      <c r="E963" s="3192">
        <f t="shared" si="156"/>
        <v>1</v>
      </c>
      <c r="F963" s="2559" t="s">
        <v>21</v>
      </c>
      <c r="G963" s="3192">
        <f t="shared" si="157"/>
        <v>1</v>
      </c>
      <c r="H963" s="631">
        <v>3</v>
      </c>
      <c r="I963" s="3192">
        <f t="shared" si="158"/>
        <v>1</v>
      </c>
      <c r="J963" s="631"/>
      <c r="K963" s="3192">
        <f t="shared" si="159"/>
        <v>1</v>
      </c>
      <c r="L963" s="631"/>
      <c r="M963" s="3192">
        <f t="shared" si="160"/>
        <v>1</v>
      </c>
      <c r="N963" s="631"/>
      <c r="O963" s="3192">
        <f t="shared" si="161"/>
        <v>1</v>
      </c>
      <c r="P963" s="3194" t="s">
        <v>4045</v>
      </c>
      <c r="Q963" s="3192">
        <f t="shared" si="162"/>
        <v>1.04</v>
      </c>
      <c r="R963" s="3192">
        <f t="shared" ca="1" si="163"/>
        <v>14716</v>
      </c>
      <c r="S963" s="898">
        <f t="shared" ca="1" si="164"/>
        <v>71</v>
      </c>
      <c r="T963" s="3190">
        <f>面积表!A958</f>
        <v>0</v>
      </c>
    </row>
    <row r="964" spans="1:20">
      <c r="A964" s="3169" t="str">
        <f>面积表!D959</f>
        <v>2222</v>
      </c>
      <c r="B964" s="52">
        <f>面积表!E959</f>
        <v>49.3</v>
      </c>
      <c r="C964" s="3192">
        <f t="shared" si="155"/>
        <v>1</v>
      </c>
      <c r="D964" s="2559" t="s">
        <v>4016</v>
      </c>
      <c r="E964" s="3192">
        <f t="shared" si="156"/>
        <v>1</v>
      </c>
      <c r="F964" s="2559" t="s">
        <v>21</v>
      </c>
      <c r="G964" s="3192">
        <f t="shared" si="157"/>
        <v>1</v>
      </c>
      <c r="H964" s="631">
        <v>3</v>
      </c>
      <c r="I964" s="3192">
        <f t="shared" si="158"/>
        <v>1</v>
      </c>
      <c r="J964" s="631"/>
      <c r="K964" s="3192">
        <f t="shared" si="159"/>
        <v>1</v>
      </c>
      <c r="L964" s="631"/>
      <c r="M964" s="3192">
        <f t="shared" si="160"/>
        <v>1</v>
      </c>
      <c r="N964" s="631"/>
      <c r="O964" s="3192">
        <f t="shared" si="161"/>
        <v>1</v>
      </c>
      <c r="P964" s="3194" t="s">
        <v>4045</v>
      </c>
      <c r="Q964" s="3192">
        <f t="shared" si="162"/>
        <v>1.04</v>
      </c>
      <c r="R964" s="3192">
        <f t="shared" ca="1" si="163"/>
        <v>14716</v>
      </c>
      <c r="S964" s="898">
        <f t="shared" ca="1" si="164"/>
        <v>73</v>
      </c>
      <c r="T964" s="3190">
        <f>面积表!A959</f>
        <v>0</v>
      </c>
    </row>
    <row r="965" spans="1:20">
      <c r="A965" s="3169" t="str">
        <f>面积表!D960</f>
        <v>2223</v>
      </c>
      <c r="B965" s="52">
        <f>面积表!E960</f>
        <v>49.59</v>
      </c>
      <c r="C965" s="3192">
        <f t="shared" si="155"/>
        <v>1</v>
      </c>
      <c r="D965" s="2559" t="s">
        <v>4016</v>
      </c>
      <c r="E965" s="3192">
        <f t="shared" si="156"/>
        <v>1</v>
      </c>
      <c r="F965" s="2559" t="s">
        <v>21</v>
      </c>
      <c r="G965" s="3192">
        <f t="shared" si="157"/>
        <v>1</v>
      </c>
      <c r="H965" s="631">
        <v>3</v>
      </c>
      <c r="I965" s="3192">
        <f t="shared" si="158"/>
        <v>1</v>
      </c>
      <c r="J965" s="631"/>
      <c r="K965" s="3192">
        <f t="shared" si="159"/>
        <v>1</v>
      </c>
      <c r="L965" s="631"/>
      <c r="M965" s="3192">
        <f t="shared" si="160"/>
        <v>1</v>
      </c>
      <c r="N965" s="631"/>
      <c r="O965" s="3192">
        <f t="shared" si="161"/>
        <v>1</v>
      </c>
      <c r="P965" s="3194" t="s">
        <v>4045</v>
      </c>
      <c r="Q965" s="3192">
        <f t="shared" si="162"/>
        <v>1.04</v>
      </c>
      <c r="R965" s="3192">
        <f t="shared" ca="1" si="163"/>
        <v>14716</v>
      </c>
      <c r="S965" s="898">
        <f t="shared" ca="1" si="164"/>
        <v>73</v>
      </c>
      <c r="T965" s="3190">
        <f>面积表!A960</f>
        <v>0</v>
      </c>
    </row>
    <row r="966" spans="1:20">
      <c r="A966" s="3169" t="str">
        <f>面积表!D961</f>
        <v>2224</v>
      </c>
      <c r="B966" s="52">
        <f>面积表!E961</f>
        <v>49.28</v>
      </c>
      <c r="C966" s="3192">
        <f t="shared" si="155"/>
        <v>1</v>
      </c>
      <c r="D966" s="2559" t="s">
        <v>4016</v>
      </c>
      <c r="E966" s="3192">
        <f t="shared" si="156"/>
        <v>1</v>
      </c>
      <c r="F966" s="2559" t="s">
        <v>21</v>
      </c>
      <c r="G966" s="3192">
        <f t="shared" si="157"/>
        <v>1</v>
      </c>
      <c r="H966" s="631">
        <v>3</v>
      </c>
      <c r="I966" s="3192">
        <f t="shared" si="158"/>
        <v>1</v>
      </c>
      <c r="J966" s="631"/>
      <c r="K966" s="3192">
        <f t="shared" si="159"/>
        <v>1</v>
      </c>
      <c r="L966" s="631"/>
      <c r="M966" s="3192">
        <f t="shared" si="160"/>
        <v>1</v>
      </c>
      <c r="N966" s="631"/>
      <c r="O966" s="3192">
        <f t="shared" si="161"/>
        <v>1</v>
      </c>
      <c r="P966" s="3194" t="s">
        <v>4045</v>
      </c>
      <c r="Q966" s="3192">
        <f t="shared" si="162"/>
        <v>1.04</v>
      </c>
      <c r="R966" s="3192">
        <f t="shared" ca="1" si="163"/>
        <v>14716</v>
      </c>
      <c r="S966" s="898">
        <f t="shared" ca="1" si="164"/>
        <v>73</v>
      </c>
      <c r="T966" s="3190">
        <f>面积表!A961</f>
        <v>0</v>
      </c>
    </row>
    <row r="967" spans="1:20">
      <c r="A967" s="3169" t="str">
        <f>面积表!D962</f>
        <v>2225</v>
      </c>
      <c r="B967" s="52">
        <f>面积表!E962</f>
        <v>48.41</v>
      </c>
      <c r="C967" s="3192">
        <f t="shared" si="155"/>
        <v>1</v>
      </c>
      <c r="D967" s="2559" t="s">
        <v>4016</v>
      </c>
      <c r="E967" s="3192">
        <f t="shared" si="156"/>
        <v>1</v>
      </c>
      <c r="F967" s="2559" t="s">
        <v>21</v>
      </c>
      <c r="G967" s="3192">
        <f t="shared" si="157"/>
        <v>1</v>
      </c>
      <c r="H967" s="631">
        <v>3</v>
      </c>
      <c r="I967" s="3192">
        <f t="shared" si="158"/>
        <v>1</v>
      </c>
      <c r="J967" s="631"/>
      <c r="K967" s="3192">
        <f t="shared" si="159"/>
        <v>1</v>
      </c>
      <c r="L967" s="631"/>
      <c r="M967" s="3192">
        <f t="shared" si="160"/>
        <v>1</v>
      </c>
      <c r="N967" s="631"/>
      <c r="O967" s="3192">
        <f t="shared" si="161"/>
        <v>1</v>
      </c>
      <c r="P967" s="3194" t="s">
        <v>4045</v>
      </c>
      <c r="Q967" s="3192">
        <f t="shared" si="162"/>
        <v>1.04</v>
      </c>
      <c r="R967" s="3192">
        <f t="shared" ca="1" si="163"/>
        <v>14716</v>
      </c>
      <c r="S967" s="898">
        <f t="shared" ca="1" si="164"/>
        <v>71</v>
      </c>
      <c r="T967" s="3190">
        <f>面积表!A962</f>
        <v>0</v>
      </c>
    </row>
    <row r="968" spans="1:20">
      <c r="A968" s="3169" t="str">
        <f>面积表!D963</f>
        <v>2226</v>
      </c>
      <c r="B968" s="52">
        <f>面积表!E963</f>
        <v>47.44</v>
      </c>
      <c r="C968" s="3192">
        <f t="shared" si="155"/>
        <v>1</v>
      </c>
      <c r="D968" s="2559" t="s">
        <v>4016</v>
      </c>
      <c r="E968" s="3192">
        <f t="shared" si="156"/>
        <v>1</v>
      </c>
      <c r="F968" s="2559" t="s">
        <v>21</v>
      </c>
      <c r="G968" s="3192">
        <f t="shared" si="157"/>
        <v>1</v>
      </c>
      <c r="H968" s="631">
        <v>3</v>
      </c>
      <c r="I968" s="3192">
        <f t="shared" si="158"/>
        <v>1</v>
      </c>
      <c r="J968" s="631"/>
      <c r="K968" s="3192">
        <f t="shared" si="159"/>
        <v>1</v>
      </c>
      <c r="L968" s="631"/>
      <c r="M968" s="3192">
        <f t="shared" si="160"/>
        <v>1</v>
      </c>
      <c r="N968" s="631"/>
      <c r="O968" s="3192">
        <f t="shared" si="161"/>
        <v>1</v>
      </c>
      <c r="P968" s="3194" t="s">
        <v>4045</v>
      </c>
      <c r="Q968" s="3192">
        <f t="shared" si="162"/>
        <v>1.04</v>
      </c>
      <c r="R968" s="3192">
        <f t="shared" ca="1" si="163"/>
        <v>14716</v>
      </c>
      <c r="S968" s="898">
        <f t="shared" ca="1" si="164"/>
        <v>70</v>
      </c>
      <c r="T968" s="3190">
        <f>面积表!A963</f>
        <v>0</v>
      </c>
    </row>
    <row r="969" spans="1:20">
      <c r="A969" s="3169" t="str">
        <f>面积表!D964</f>
        <v>2301</v>
      </c>
      <c r="B969" s="52">
        <f>面积表!E964</f>
        <v>52.2</v>
      </c>
      <c r="C969" s="3192">
        <f t="shared" si="155"/>
        <v>1</v>
      </c>
      <c r="D969" s="2559" t="s">
        <v>4016</v>
      </c>
      <c r="E969" s="3192">
        <f t="shared" si="156"/>
        <v>1</v>
      </c>
      <c r="F969" s="2559" t="s">
        <v>21</v>
      </c>
      <c r="G969" s="3192">
        <f t="shared" si="157"/>
        <v>1</v>
      </c>
      <c r="H969" s="631">
        <v>3</v>
      </c>
      <c r="I969" s="3192">
        <f t="shared" si="158"/>
        <v>1</v>
      </c>
      <c r="J969" s="631"/>
      <c r="K969" s="3192">
        <f t="shared" si="159"/>
        <v>1</v>
      </c>
      <c r="L969" s="631"/>
      <c r="M969" s="3192">
        <f t="shared" si="160"/>
        <v>1</v>
      </c>
      <c r="N969" s="631"/>
      <c r="O969" s="3192">
        <f t="shared" si="161"/>
        <v>1</v>
      </c>
      <c r="P969" s="3194" t="s">
        <v>4045</v>
      </c>
      <c r="Q969" s="3192">
        <f t="shared" si="162"/>
        <v>1.04</v>
      </c>
      <c r="R969" s="3192">
        <f t="shared" ca="1" si="163"/>
        <v>14716</v>
      </c>
      <c r="S969" s="898">
        <f t="shared" ca="1" si="164"/>
        <v>77</v>
      </c>
      <c r="T969" s="3190">
        <f>面积表!A964</f>
        <v>0</v>
      </c>
    </row>
    <row r="970" spans="1:20">
      <c r="A970" s="3169" t="str">
        <f>面积表!D965</f>
        <v>2302</v>
      </c>
      <c r="B970" s="52">
        <f>面积表!E965</f>
        <v>50.33</v>
      </c>
      <c r="C970" s="3192">
        <f t="shared" si="155"/>
        <v>1</v>
      </c>
      <c r="D970" s="2559" t="s">
        <v>4016</v>
      </c>
      <c r="E970" s="3192">
        <f t="shared" si="156"/>
        <v>1</v>
      </c>
      <c r="F970" s="2559" t="s">
        <v>21</v>
      </c>
      <c r="G970" s="3192">
        <f t="shared" si="157"/>
        <v>1</v>
      </c>
      <c r="H970" s="631">
        <v>3</v>
      </c>
      <c r="I970" s="3192">
        <f t="shared" si="158"/>
        <v>1</v>
      </c>
      <c r="J970" s="631"/>
      <c r="K970" s="3192">
        <f t="shared" si="159"/>
        <v>1</v>
      </c>
      <c r="L970" s="631"/>
      <c r="M970" s="3192">
        <f t="shared" si="160"/>
        <v>1</v>
      </c>
      <c r="N970" s="631"/>
      <c r="O970" s="3192">
        <f t="shared" si="161"/>
        <v>1</v>
      </c>
      <c r="P970" s="3194" t="s">
        <v>4045</v>
      </c>
      <c r="Q970" s="3192">
        <f t="shared" si="162"/>
        <v>1.04</v>
      </c>
      <c r="R970" s="3192">
        <f t="shared" ca="1" si="163"/>
        <v>14716</v>
      </c>
      <c r="S970" s="898">
        <f t="shared" ca="1" si="164"/>
        <v>74</v>
      </c>
      <c r="T970" s="3190">
        <f>面积表!A965</f>
        <v>0</v>
      </c>
    </row>
    <row r="971" spans="1:20">
      <c r="A971" s="3169" t="str">
        <f>面积表!D966</f>
        <v>2303</v>
      </c>
      <c r="B971" s="52">
        <f>面积表!E966</f>
        <v>50.33</v>
      </c>
      <c r="C971" s="3192">
        <f t="shared" si="155"/>
        <v>1</v>
      </c>
      <c r="D971" s="2559" t="s">
        <v>4016</v>
      </c>
      <c r="E971" s="3192">
        <f t="shared" si="156"/>
        <v>1</v>
      </c>
      <c r="F971" s="2559" t="s">
        <v>21</v>
      </c>
      <c r="G971" s="3192">
        <f t="shared" si="157"/>
        <v>1</v>
      </c>
      <c r="H971" s="631">
        <v>3</v>
      </c>
      <c r="I971" s="3192">
        <f t="shared" si="158"/>
        <v>1</v>
      </c>
      <c r="J971" s="631"/>
      <c r="K971" s="3192">
        <f t="shared" si="159"/>
        <v>1</v>
      </c>
      <c r="L971" s="631"/>
      <c r="M971" s="3192">
        <f t="shared" si="160"/>
        <v>1</v>
      </c>
      <c r="N971" s="631"/>
      <c r="O971" s="3192">
        <f t="shared" si="161"/>
        <v>1</v>
      </c>
      <c r="P971" s="3194" t="s">
        <v>4045</v>
      </c>
      <c r="Q971" s="3192">
        <f t="shared" si="162"/>
        <v>1.04</v>
      </c>
      <c r="R971" s="3192">
        <f t="shared" ca="1" si="163"/>
        <v>14716</v>
      </c>
      <c r="S971" s="898">
        <f t="shared" ca="1" si="164"/>
        <v>74</v>
      </c>
      <c r="T971" s="3190">
        <f>面积表!A966</f>
        <v>0</v>
      </c>
    </row>
    <row r="972" spans="1:20">
      <c r="A972" s="3169" t="str">
        <f>面积表!D967</f>
        <v>2304</v>
      </c>
      <c r="B972" s="52">
        <f>面积表!E967</f>
        <v>50.33</v>
      </c>
      <c r="C972" s="3192">
        <f t="shared" si="155"/>
        <v>1</v>
      </c>
      <c r="D972" s="2559" t="s">
        <v>4016</v>
      </c>
      <c r="E972" s="3192">
        <f t="shared" si="156"/>
        <v>1</v>
      </c>
      <c r="F972" s="2559" t="s">
        <v>21</v>
      </c>
      <c r="G972" s="3192">
        <f t="shared" si="157"/>
        <v>1</v>
      </c>
      <c r="H972" s="631">
        <v>3</v>
      </c>
      <c r="I972" s="3192">
        <f t="shared" si="158"/>
        <v>1</v>
      </c>
      <c r="J972" s="631"/>
      <c r="K972" s="3192">
        <f t="shared" si="159"/>
        <v>1</v>
      </c>
      <c r="L972" s="631"/>
      <c r="M972" s="3192">
        <f t="shared" si="160"/>
        <v>1</v>
      </c>
      <c r="N972" s="631"/>
      <c r="O972" s="3192">
        <f t="shared" si="161"/>
        <v>1</v>
      </c>
      <c r="P972" s="3194" t="s">
        <v>4045</v>
      </c>
      <c r="Q972" s="3192">
        <f t="shared" si="162"/>
        <v>1.04</v>
      </c>
      <c r="R972" s="3192">
        <f t="shared" ca="1" si="163"/>
        <v>14716</v>
      </c>
      <c r="S972" s="898">
        <f t="shared" ca="1" si="164"/>
        <v>74</v>
      </c>
      <c r="T972" s="3190">
        <f>面积表!A967</f>
        <v>0</v>
      </c>
    </row>
    <row r="973" spans="1:20">
      <c r="A973" s="3169" t="str">
        <f>面积表!D968</f>
        <v>2305</v>
      </c>
      <c r="B973" s="52">
        <f>面积表!E968</f>
        <v>50.33</v>
      </c>
      <c r="C973" s="3192">
        <f t="shared" ref="C973:C995" si="165">IF(B973="",1,(LOOKUP(B973,$3:$3,$4:$4)-LOOKUP($B$24,$3:$3,$4:$4)+100)/100)</f>
        <v>1</v>
      </c>
      <c r="D973" s="2559" t="s">
        <v>4016</v>
      </c>
      <c r="E973" s="3192">
        <f t="shared" ref="E973:E995" si="166">(SUMIF($5:$5,D973,$6:$6)-SUMIF($5:$5,$D$24,$6:$6)+100)/100</f>
        <v>1</v>
      </c>
      <c r="F973" s="2559" t="s">
        <v>21</v>
      </c>
      <c r="G973" s="3192">
        <f t="shared" ref="G973:G995" si="167">(SUMIF($7:$7,F973,$8:$8)-SUMIF($7:$7,$F$24,$8:$8)+100)/100</f>
        <v>1</v>
      </c>
      <c r="H973" s="631">
        <v>3</v>
      </c>
      <c r="I973" s="3192">
        <f t="shared" ref="I973:I995" si="168">(SUMIF($9:$9,H973,$10:$10)-SUMIF($9:$9,$H$24,$10:$10)+100)/100</f>
        <v>1</v>
      </c>
      <c r="J973" s="631"/>
      <c r="K973" s="3192">
        <f t="shared" ref="K973:K995" si="169">(SUMIF($11:$11,J973,$12:$12)-SUMIF($11:$11,$J$24,$12:$12)+100)/100</f>
        <v>1</v>
      </c>
      <c r="L973" s="631"/>
      <c r="M973" s="3192">
        <f t="shared" ref="M973:M995" si="170">(SUMIF($13:$13,L973,$14:$14)-SUMIF($13:$13,$L$24,$14:$14)+100)/100</f>
        <v>1</v>
      </c>
      <c r="N973" s="631"/>
      <c r="O973" s="3192">
        <f t="shared" ref="O973:O995" si="171">(SUMIF($15:$15,N973,$16:$16)-SUMIF($15:$15,$N$24,$16:$16)+100)/100</f>
        <v>1</v>
      </c>
      <c r="P973" s="3194" t="s">
        <v>4045</v>
      </c>
      <c r="Q973" s="3192">
        <f t="shared" ref="Q973:Q995" si="172">(SUMIF($17:$17,P973,$18:$18)-SUMIF($17:$17,$P$24,$18:$18)+100)/100</f>
        <v>1.04</v>
      </c>
      <c r="R973" s="3192">
        <f t="shared" ref="R973:R995" ca="1" si="173">IF(B973="",0,ROUND($R$24*C973*E973*G973*I973*K973*M973*O973*Q973,0))</f>
        <v>14716</v>
      </c>
      <c r="S973" s="898">
        <f t="shared" ref="S973:S995" ca="1" si="174">ROUND(R973*B973/10000,0)</f>
        <v>74</v>
      </c>
      <c r="T973" s="3190">
        <f>面积表!A968</f>
        <v>0</v>
      </c>
    </row>
    <row r="974" spans="1:20">
      <c r="A974" s="3169" t="str">
        <f>面积表!D969</f>
        <v>2306</v>
      </c>
      <c r="B974" s="52">
        <f>面积表!E969</f>
        <v>50.33</v>
      </c>
      <c r="C974" s="3192">
        <f t="shared" si="165"/>
        <v>1</v>
      </c>
      <c r="D974" s="2559" t="s">
        <v>4016</v>
      </c>
      <c r="E974" s="3192">
        <f t="shared" si="166"/>
        <v>1</v>
      </c>
      <c r="F974" s="2559" t="s">
        <v>21</v>
      </c>
      <c r="G974" s="3192">
        <f t="shared" si="167"/>
        <v>1</v>
      </c>
      <c r="H974" s="631">
        <v>3</v>
      </c>
      <c r="I974" s="3192">
        <f t="shared" si="168"/>
        <v>1</v>
      </c>
      <c r="J974" s="631"/>
      <c r="K974" s="3192">
        <f t="shared" si="169"/>
        <v>1</v>
      </c>
      <c r="L974" s="631"/>
      <c r="M974" s="3192">
        <f t="shared" si="170"/>
        <v>1</v>
      </c>
      <c r="N974" s="631"/>
      <c r="O974" s="3192">
        <f t="shared" si="171"/>
        <v>1</v>
      </c>
      <c r="P974" s="3194" t="s">
        <v>4045</v>
      </c>
      <c r="Q974" s="3192">
        <f t="shared" si="172"/>
        <v>1.04</v>
      </c>
      <c r="R974" s="3192">
        <f t="shared" ca="1" si="173"/>
        <v>14716</v>
      </c>
      <c r="S974" s="898">
        <f t="shared" ca="1" si="174"/>
        <v>74</v>
      </c>
      <c r="T974" s="3190">
        <f>面积表!A969</f>
        <v>0</v>
      </c>
    </row>
    <row r="975" spans="1:20">
      <c r="A975" s="3169" t="str">
        <f>面积表!D970</f>
        <v>2307</v>
      </c>
      <c r="B975" s="52">
        <f>面积表!E970</f>
        <v>50.33</v>
      </c>
      <c r="C975" s="3192">
        <f t="shared" si="165"/>
        <v>1</v>
      </c>
      <c r="D975" s="2559" t="s">
        <v>4016</v>
      </c>
      <c r="E975" s="3192">
        <f t="shared" si="166"/>
        <v>1</v>
      </c>
      <c r="F975" s="2559" t="s">
        <v>21</v>
      </c>
      <c r="G975" s="3192">
        <f t="shared" si="167"/>
        <v>1</v>
      </c>
      <c r="H975" s="631">
        <v>3</v>
      </c>
      <c r="I975" s="3192">
        <f t="shared" si="168"/>
        <v>1</v>
      </c>
      <c r="J975" s="631"/>
      <c r="K975" s="3192">
        <f t="shared" si="169"/>
        <v>1</v>
      </c>
      <c r="L975" s="631"/>
      <c r="M975" s="3192">
        <f t="shared" si="170"/>
        <v>1</v>
      </c>
      <c r="N975" s="631"/>
      <c r="O975" s="3192">
        <f t="shared" si="171"/>
        <v>1</v>
      </c>
      <c r="P975" s="3194" t="s">
        <v>4045</v>
      </c>
      <c r="Q975" s="3192">
        <f t="shared" si="172"/>
        <v>1.04</v>
      </c>
      <c r="R975" s="3192">
        <f t="shared" ca="1" si="173"/>
        <v>14716</v>
      </c>
      <c r="S975" s="898">
        <f t="shared" ca="1" si="174"/>
        <v>74</v>
      </c>
      <c r="T975" s="3190">
        <f>面积表!A970</f>
        <v>0</v>
      </c>
    </row>
    <row r="976" spans="1:20">
      <c r="A976" s="3169" t="str">
        <f>面积表!D971</f>
        <v>2308</v>
      </c>
      <c r="B976" s="52">
        <f>面积表!E971</f>
        <v>50.33</v>
      </c>
      <c r="C976" s="3192">
        <f t="shared" si="165"/>
        <v>1</v>
      </c>
      <c r="D976" s="2559" t="s">
        <v>4016</v>
      </c>
      <c r="E976" s="3192">
        <f t="shared" si="166"/>
        <v>1</v>
      </c>
      <c r="F976" s="2559" t="s">
        <v>21</v>
      </c>
      <c r="G976" s="3192">
        <f t="shared" si="167"/>
        <v>1</v>
      </c>
      <c r="H976" s="631">
        <v>3</v>
      </c>
      <c r="I976" s="3192">
        <f t="shared" si="168"/>
        <v>1</v>
      </c>
      <c r="J976" s="631"/>
      <c r="K976" s="3192">
        <f t="shared" si="169"/>
        <v>1</v>
      </c>
      <c r="L976" s="631"/>
      <c r="M976" s="3192">
        <f t="shared" si="170"/>
        <v>1</v>
      </c>
      <c r="N976" s="631"/>
      <c r="O976" s="3192">
        <f t="shared" si="171"/>
        <v>1</v>
      </c>
      <c r="P976" s="3194" t="s">
        <v>4045</v>
      </c>
      <c r="Q976" s="3192">
        <f t="shared" si="172"/>
        <v>1.04</v>
      </c>
      <c r="R976" s="3192">
        <f t="shared" ca="1" si="173"/>
        <v>14716</v>
      </c>
      <c r="S976" s="898">
        <f t="shared" ca="1" si="174"/>
        <v>74</v>
      </c>
      <c r="T976" s="3190">
        <f>面积表!A971</f>
        <v>0</v>
      </c>
    </row>
    <row r="977" spans="1:20">
      <c r="A977" s="3169" t="str">
        <f>面积表!D972</f>
        <v>2309</v>
      </c>
      <c r="B977" s="52">
        <f>面积表!E972</f>
        <v>50.33</v>
      </c>
      <c r="C977" s="3192">
        <f t="shared" si="165"/>
        <v>1</v>
      </c>
      <c r="D977" s="2559" t="s">
        <v>4016</v>
      </c>
      <c r="E977" s="3192">
        <f t="shared" si="166"/>
        <v>1</v>
      </c>
      <c r="F977" s="2559" t="s">
        <v>21</v>
      </c>
      <c r="G977" s="3192">
        <f t="shared" si="167"/>
        <v>1</v>
      </c>
      <c r="H977" s="631">
        <v>3</v>
      </c>
      <c r="I977" s="3192">
        <f t="shared" si="168"/>
        <v>1</v>
      </c>
      <c r="J977" s="631"/>
      <c r="K977" s="3192">
        <f t="shared" si="169"/>
        <v>1</v>
      </c>
      <c r="L977" s="631"/>
      <c r="M977" s="3192">
        <f t="shared" si="170"/>
        <v>1</v>
      </c>
      <c r="N977" s="631"/>
      <c r="O977" s="3192">
        <f t="shared" si="171"/>
        <v>1</v>
      </c>
      <c r="P977" s="3194" t="s">
        <v>4045</v>
      </c>
      <c r="Q977" s="3192">
        <f t="shared" si="172"/>
        <v>1.04</v>
      </c>
      <c r="R977" s="3192">
        <f t="shared" ca="1" si="173"/>
        <v>14716</v>
      </c>
      <c r="S977" s="898">
        <f t="shared" ca="1" si="174"/>
        <v>74</v>
      </c>
      <c r="T977" s="3190">
        <f>面积表!A972</f>
        <v>0</v>
      </c>
    </row>
    <row r="978" spans="1:20">
      <c r="A978" s="3169" t="str">
        <f>面积表!D973</f>
        <v>2310</v>
      </c>
      <c r="B978" s="52">
        <f>面积表!E973</f>
        <v>50.33</v>
      </c>
      <c r="C978" s="3192">
        <f t="shared" si="165"/>
        <v>1</v>
      </c>
      <c r="D978" s="2559" t="s">
        <v>4016</v>
      </c>
      <c r="E978" s="3192">
        <f t="shared" si="166"/>
        <v>1</v>
      </c>
      <c r="F978" s="2559" t="s">
        <v>21</v>
      </c>
      <c r="G978" s="3192">
        <f t="shared" si="167"/>
        <v>1</v>
      </c>
      <c r="H978" s="631">
        <v>3</v>
      </c>
      <c r="I978" s="3192">
        <f t="shared" si="168"/>
        <v>1</v>
      </c>
      <c r="J978" s="631"/>
      <c r="K978" s="3192">
        <f t="shared" si="169"/>
        <v>1</v>
      </c>
      <c r="L978" s="631"/>
      <c r="M978" s="3192">
        <f t="shared" si="170"/>
        <v>1</v>
      </c>
      <c r="N978" s="631"/>
      <c r="O978" s="3192">
        <f t="shared" si="171"/>
        <v>1</v>
      </c>
      <c r="P978" s="3194" t="s">
        <v>4045</v>
      </c>
      <c r="Q978" s="3192">
        <f t="shared" si="172"/>
        <v>1.04</v>
      </c>
      <c r="R978" s="3192">
        <f t="shared" ca="1" si="173"/>
        <v>14716</v>
      </c>
      <c r="S978" s="898">
        <f t="shared" ca="1" si="174"/>
        <v>74</v>
      </c>
      <c r="T978" s="3190">
        <f>面积表!A973</f>
        <v>0</v>
      </c>
    </row>
    <row r="979" spans="1:20">
      <c r="A979" s="3169" t="str">
        <f>面积表!D974</f>
        <v>2311</v>
      </c>
      <c r="B979" s="52">
        <f>面积表!E974</f>
        <v>50.33</v>
      </c>
      <c r="C979" s="3192">
        <f t="shared" si="165"/>
        <v>1</v>
      </c>
      <c r="D979" s="2559" t="s">
        <v>4016</v>
      </c>
      <c r="E979" s="3192">
        <f t="shared" si="166"/>
        <v>1</v>
      </c>
      <c r="F979" s="2559" t="s">
        <v>21</v>
      </c>
      <c r="G979" s="3192">
        <f t="shared" si="167"/>
        <v>1</v>
      </c>
      <c r="H979" s="631">
        <v>3</v>
      </c>
      <c r="I979" s="3192">
        <f t="shared" si="168"/>
        <v>1</v>
      </c>
      <c r="J979" s="631"/>
      <c r="K979" s="3192">
        <f t="shared" si="169"/>
        <v>1</v>
      </c>
      <c r="L979" s="631"/>
      <c r="M979" s="3192">
        <f t="shared" si="170"/>
        <v>1</v>
      </c>
      <c r="N979" s="631"/>
      <c r="O979" s="3192">
        <f t="shared" si="171"/>
        <v>1</v>
      </c>
      <c r="P979" s="3194" t="s">
        <v>4045</v>
      </c>
      <c r="Q979" s="3192">
        <f t="shared" si="172"/>
        <v>1.04</v>
      </c>
      <c r="R979" s="3192">
        <f t="shared" ca="1" si="173"/>
        <v>14716</v>
      </c>
      <c r="S979" s="898">
        <f t="shared" ca="1" si="174"/>
        <v>74</v>
      </c>
      <c r="T979" s="3190">
        <f>面积表!A974</f>
        <v>0</v>
      </c>
    </row>
    <row r="980" spans="1:20">
      <c r="A980" s="3169" t="str">
        <f>面积表!D975</f>
        <v>2312</v>
      </c>
      <c r="B980" s="52">
        <f>面积表!E975</f>
        <v>50.33</v>
      </c>
      <c r="C980" s="3192">
        <f t="shared" si="165"/>
        <v>1</v>
      </c>
      <c r="D980" s="2559" t="s">
        <v>4016</v>
      </c>
      <c r="E980" s="3192">
        <f t="shared" si="166"/>
        <v>1</v>
      </c>
      <c r="F980" s="2559" t="s">
        <v>21</v>
      </c>
      <c r="G980" s="3192">
        <f t="shared" si="167"/>
        <v>1</v>
      </c>
      <c r="H980" s="631">
        <v>3</v>
      </c>
      <c r="I980" s="3192">
        <f t="shared" si="168"/>
        <v>1</v>
      </c>
      <c r="J980" s="631"/>
      <c r="K980" s="3192">
        <f t="shared" si="169"/>
        <v>1</v>
      </c>
      <c r="L980" s="631"/>
      <c r="M980" s="3192">
        <f t="shared" si="170"/>
        <v>1</v>
      </c>
      <c r="N980" s="631"/>
      <c r="O980" s="3192">
        <f t="shared" si="171"/>
        <v>1</v>
      </c>
      <c r="P980" s="3194" t="s">
        <v>4045</v>
      </c>
      <c r="Q980" s="3192">
        <f t="shared" si="172"/>
        <v>1.04</v>
      </c>
      <c r="R980" s="3192">
        <f t="shared" ca="1" si="173"/>
        <v>14716</v>
      </c>
      <c r="S980" s="898">
        <f t="shared" ca="1" si="174"/>
        <v>74</v>
      </c>
      <c r="T980" s="3190">
        <f>面积表!A975</f>
        <v>0</v>
      </c>
    </row>
    <row r="981" spans="1:20">
      <c r="A981" s="3169" t="str">
        <f>面积表!D976</f>
        <v>2313</v>
      </c>
      <c r="B981" s="52">
        <f>面积表!E976</f>
        <v>50.33</v>
      </c>
      <c r="C981" s="3192">
        <f t="shared" si="165"/>
        <v>1</v>
      </c>
      <c r="D981" s="2559" t="s">
        <v>4016</v>
      </c>
      <c r="E981" s="3192">
        <f t="shared" si="166"/>
        <v>1</v>
      </c>
      <c r="F981" s="2559" t="s">
        <v>21</v>
      </c>
      <c r="G981" s="3192">
        <f t="shared" si="167"/>
        <v>1</v>
      </c>
      <c r="H981" s="631">
        <v>3</v>
      </c>
      <c r="I981" s="3192">
        <f t="shared" si="168"/>
        <v>1</v>
      </c>
      <c r="J981" s="631"/>
      <c r="K981" s="3192">
        <f t="shared" si="169"/>
        <v>1</v>
      </c>
      <c r="L981" s="631"/>
      <c r="M981" s="3192">
        <f t="shared" si="170"/>
        <v>1</v>
      </c>
      <c r="N981" s="631"/>
      <c r="O981" s="3192">
        <f t="shared" si="171"/>
        <v>1</v>
      </c>
      <c r="P981" s="3194" t="s">
        <v>4045</v>
      </c>
      <c r="Q981" s="3192">
        <f t="shared" si="172"/>
        <v>1.04</v>
      </c>
      <c r="R981" s="3192">
        <f t="shared" ca="1" si="173"/>
        <v>14716</v>
      </c>
      <c r="S981" s="898">
        <f t="shared" ca="1" si="174"/>
        <v>74</v>
      </c>
      <c r="T981" s="3190">
        <f>面积表!A976</f>
        <v>0</v>
      </c>
    </row>
    <row r="982" spans="1:20">
      <c r="A982" s="3169" t="str">
        <f>面积表!D977</f>
        <v>2314</v>
      </c>
      <c r="B982" s="52">
        <f>面积表!E977</f>
        <v>50.33</v>
      </c>
      <c r="C982" s="3192">
        <f t="shared" si="165"/>
        <v>1</v>
      </c>
      <c r="D982" s="2559" t="s">
        <v>4016</v>
      </c>
      <c r="E982" s="3192">
        <f t="shared" si="166"/>
        <v>1</v>
      </c>
      <c r="F982" s="2559" t="s">
        <v>21</v>
      </c>
      <c r="G982" s="3192">
        <f t="shared" si="167"/>
        <v>1</v>
      </c>
      <c r="H982" s="631">
        <v>3</v>
      </c>
      <c r="I982" s="3192">
        <f t="shared" si="168"/>
        <v>1</v>
      </c>
      <c r="J982" s="631"/>
      <c r="K982" s="3192">
        <f t="shared" si="169"/>
        <v>1</v>
      </c>
      <c r="L982" s="631"/>
      <c r="M982" s="3192">
        <f t="shared" si="170"/>
        <v>1</v>
      </c>
      <c r="N982" s="631"/>
      <c r="O982" s="3192">
        <f t="shared" si="171"/>
        <v>1</v>
      </c>
      <c r="P982" s="3194" t="s">
        <v>4045</v>
      </c>
      <c r="Q982" s="3192">
        <f t="shared" si="172"/>
        <v>1.04</v>
      </c>
      <c r="R982" s="3192">
        <f t="shared" ca="1" si="173"/>
        <v>14716</v>
      </c>
      <c r="S982" s="898">
        <f t="shared" ca="1" si="174"/>
        <v>74</v>
      </c>
      <c r="T982" s="3190">
        <f>面积表!A977</f>
        <v>0</v>
      </c>
    </row>
    <row r="983" spans="1:20">
      <c r="A983" s="3169" t="str">
        <f>面积表!D978</f>
        <v>2315</v>
      </c>
      <c r="B983" s="52">
        <f>面积表!E978</f>
        <v>50.33</v>
      </c>
      <c r="C983" s="3192">
        <f t="shared" si="165"/>
        <v>1</v>
      </c>
      <c r="D983" s="2559" t="s">
        <v>4016</v>
      </c>
      <c r="E983" s="3192">
        <f t="shared" si="166"/>
        <v>1</v>
      </c>
      <c r="F983" s="2559" t="s">
        <v>21</v>
      </c>
      <c r="G983" s="3192">
        <f t="shared" si="167"/>
        <v>1</v>
      </c>
      <c r="H983" s="631">
        <v>3</v>
      </c>
      <c r="I983" s="3192">
        <f t="shared" si="168"/>
        <v>1</v>
      </c>
      <c r="J983" s="631"/>
      <c r="K983" s="3192">
        <f t="shared" si="169"/>
        <v>1</v>
      </c>
      <c r="L983" s="631"/>
      <c r="M983" s="3192">
        <f t="shared" si="170"/>
        <v>1</v>
      </c>
      <c r="N983" s="631"/>
      <c r="O983" s="3192">
        <f t="shared" si="171"/>
        <v>1</v>
      </c>
      <c r="P983" s="3194" t="s">
        <v>4045</v>
      </c>
      <c r="Q983" s="3192">
        <f t="shared" si="172"/>
        <v>1.04</v>
      </c>
      <c r="R983" s="3192">
        <f t="shared" ca="1" si="173"/>
        <v>14716</v>
      </c>
      <c r="S983" s="898">
        <f t="shared" ca="1" si="174"/>
        <v>74</v>
      </c>
      <c r="T983" s="3190">
        <f>面积表!A978</f>
        <v>0</v>
      </c>
    </row>
    <row r="984" spans="1:20">
      <c r="A984" s="3169" t="str">
        <f>面积表!D979</f>
        <v>2316</v>
      </c>
      <c r="B984" s="52">
        <f>面积表!E979</f>
        <v>69.77</v>
      </c>
      <c r="C984" s="3192">
        <f t="shared" si="165"/>
        <v>1.01</v>
      </c>
      <c r="D984" s="2559" t="s">
        <v>4016</v>
      </c>
      <c r="E984" s="3192">
        <f t="shared" si="166"/>
        <v>1</v>
      </c>
      <c r="F984" s="2559" t="s">
        <v>21</v>
      </c>
      <c r="G984" s="3192">
        <f t="shared" si="167"/>
        <v>1</v>
      </c>
      <c r="H984" s="631">
        <v>3</v>
      </c>
      <c r="I984" s="3192">
        <f t="shared" si="168"/>
        <v>1</v>
      </c>
      <c r="J984" s="631"/>
      <c r="K984" s="3192">
        <f t="shared" si="169"/>
        <v>1</v>
      </c>
      <c r="L984" s="631"/>
      <c r="M984" s="3192">
        <f t="shared" si="170"/>
        <v>1</v>
      </c>
      <c r="N984" s="631"/>
      <c r="O984" s="3192">
        <f t="shared" si="171"/>
        <v>1</v>
      </c>
      <c r="P984" s="3194" t="s">
        <v>4045</v>
      </c>
      <c r="Q984" s="3192">
        <f t="shared" si="172"/>
        <v>1.04</v>
      </c>
      <c r="R984" s="3192">
        <f t="shared" ca="1" si="173"/>
        <v>14863</v>
      </c>
      <c r="S984" s="898">
        <f t="shared" ca="1" si="174"/>
        <v>104</v>
      </c>
      <c r="T984" s="3190">
        <f>面积表!A979</f>
        <v>0</v>
      </c>
    </row>
    <row r="985" spans="1:20">
      <c r="A985" s="3169" t="str">
        <f>面积表!D980</f>
        <v>2317</v>
      </c>
      <c r="B985" s="52">
        <f>面积表!E980</f>
        <v>38.65</v>
      </c>
      <c r="C985" s="3192">
        <f t="shared" si="165"/>
        <v>1</v>
      </c>
      <c r="D985" s="2559" t="s">
        <v>4016</v>
      </c>
      <c r="E985" s="3192">
        <f t="shared" si="166"/>
        <v>1</v>
      </c>
      <c r="F985" s="2559" t="s">
        <v>21</v>
      </c>
      <c r="G985" s="3192">
        <f t="shared" si="167"/>
        <v>1</v>
      </c>
      <c r="H985" s="631">
        <v>3</v>
      </c>
      <c r="I985" s="3192">
        <f t="shared" si="168"/>
        <v>1</v>
      </c>
      <c r="J985" s="631"/>
      <c r="K985" s="3192">
        <f t="shared" si="169"/>
        <v>1</v>
      </c>
      <c r="L985" s="631"/>
      <c r="M985" s="3192">
        <f t="shared" si="170"/>
        <v>1</v>
      </c>
      <c r="N985" s="631"/>
      <c r="O985" s="3192">
        <f t="shared" si="171"/>
        <v>1</v>
      </c>
      <c r="P985" s="3194" t="s">
        <v>4045</v>
      </c>
      <c r="Q985" s="3192">
        <f t="shared" si="172"/>
        <v>1.04</v>
      </c>
      <c r="R985" s="3192">
        <f t="shared" ca="1" si="173"/>
        <v>14716</v>
      </c>
      <c r="S985" s="898">
        <f t="shared" ca="1" si="174"/>
        <v>57</v>
      </c>
      <c r="T985" s="3190">
        <f>面积表!A980</f>
        <v>0</v>
      </c>
    </row>
    <row r="986" spans="1:20">
      <c r="A986" s="3169" t="str">
        <f>面积表!D981</f>
        <v>2318</v>
      </c>
      <c r="B986" s="52">
        <f>面积表!E981</f>
        <v>41.99</v>
      </c>
      <c r="C986" s="3192">
        <f t="shared" si="165"/>
        <v>1</v>
      </c>
      <c r="D986" s="2559" t="s">
        <v>4016</v>
      </c>
      <c r="E986" s="3192">
        <f t="shared" si="166"/>
        <v>1</v>
      </c>
      <c r="F986" s="2559" t="s">
        <v>21</v>
      </c>
      <c r="G986" s="3192">
        <f t="shared" si="167"/>
        <v>1</v>
      </c>
      <c r="H986" s="631">
        <v>3</v>
      </c>
      <c r="I986" s="3192">
        <f t="shared" si="168"/>
        <v>1</v>
      </c>
      <c r="J986" s="631"/>
      <c r="K986" s="3192">
        <f t="shared" si="169"/>
        <v>1</v>
      </c>
      <c r="L986" s="631"/>
      <c r="M986" s="3192">
        <f t="shared" si="170"/>
        <v>1</v>
      </c>
      <c r="N986" s="631"/>
      <c r="O986" s="3192">
        <f t="shared" si="171"/>
        <v>1</v>
      </c>
      <c r="P986" s="3194" t="s">
        <v>4045</v>
      </c>
      <c r="Q986" s="3192">
        <f t="shared" si="172"/>
        <v>1.04</v>
      </c>
      <c r="R986" s="3192">
        <f t="shared" ca="1" si="173"/>
        <v>14716</v>
      </c>
      <c r="S986" s="898">
        <f t="shared" ca="1" si="174"/>
        <v>62</v>
      </c>
      <c r="T986" s="3190">
        <f>面积表!A981</f>
        <v>0</v>
      </c>
    </row>
    <row r="987" spans="1:20">
      <c r="A987" s="3169" t="str">
        <f>面积表!D982</f>
        <v>2319</v>
      </c>
      <c r="B987" s="52">
        <f>面积表!E982</f>
        <v>44.72</v>
      </c>
      <c r="C987" s="3192">
        <f t="shared" si="165"/>
        <v>1</v>
      </c>
      <c r="D987" s="2559" t="s">
        <v>4016</v>
      </c>
      <c r="E987" s="3192">
        <f t="shared" si="166"/>
        <v>1</v>
      </c>
      <c r="F987" s="2559" t="s">
        <v>21</v>
      </c>
      <c r="G987" s="3192">
        <f t="shared" si="167"/>
        <v>1</v>
      </c>
      <c r="H987" s="631">
        <v>3</v>
      </c>
      <c r="I987" s="3192">
        <f t="shared" si="168"/>
        <v>1</v>
      </c>
      <c r="J987" s="631"/>
      <c r="K987" s="3192">
        <f t="shared" si="169"/>
        <v>1</v>
      </c>
      <c r="L987" s="631"/>
      <c r="M987" s="3192">
        <f t="shared" si="170"/>
        <v>1</v>
      </c>
      <c r="N987" s="631"/>
      <c r="O987" s="3192">
        <f t="shared" si="171"/>
        <v>1</v>
      </c>
      <c r="P987" s="3194" t="s">
        <v>4045</v>
      </c>
      <c r="Q987" s="3192">
        <f t="shared" si="172"/>
        <v>1.04</v>
      </c>
      <c r="R987" s="3192">
        <f t="shared" ca="1" si="173"/>
        <v>14716</v>
      </c>
      <c r="S987" s="898">
        <f t="shared" ca="1" si="174"/>
        <v>66</v>
      </c>
      <c r="T987" s="3190">
        <f>面积表!A982</f>
        <v>0</v>
      </c>
    </row>
    <row r="988" spans="1:20">
      <c r="A988" s="3169" t="str">
        <f>面积表!D983</f>
        <v>2320</v>
      </c>
      <c r="B988" s="52">
        <f>面积表!E983</f>
        <v>46.83</v>
      </c>
      <c r="C988" s="3192">
        <f t="shared" si="165"/>
        <v>1</v>
      </c>
      <c r="D988" s="2559" t="s">
        <v>4016</v>
      </c>
      <c r="E988" s="3192">
        <f t="shared" si="166"/>
        <v>1</v>
      </c>
      <c r="F988" s="2559" t="s">
        <v>21</v>
      </c>
      <c r="G988" s="3192">
        <f t="shared" si="167"/>
        <v>1</v>
      </c>
      <c r="H988" s="631">
        <v>3</v>
      </c>
      <c r="I988" s="3192">
        <f t="shared" si="168"/>
        <v>1</v>
      </c>
      <c r="J988" s="631"/>
      <c r="K988" s="3192">
        <f t="shared" si="169"/>
        <v>1</v>
      </c>
      <c r="L988" s="631"/>
      <c r="M988" s="3192">
        <f t="shared" si="170"/>
        <v>1</v>
      </c>
      <c r="N988" s="631"/>
      <c r="O988" s="3192">
        <f t="shared" si="171"/>
        <v>1</v>
      </c>
      <c r="P988" s="3194" t="s">
        <v>4045</v>
      </c>
      <c r="Q988" s="3192">
        <f t="shared" si="172"/>
        <v>1.04</v>
      </c>
      <c r="R988" s="3192">
        <f t="shared" ca="1" si="173"/>
        <v>14716</v>
      </c>
      <c r="S988" s="898">
        <f t="shared" ca="1" si="174"/>
        <v>69</v>
      </c>
      <c r="T988" s="3190">
        <f>面积表!A983</f>
        <v>0</v>
      </c>
    </row>
    <row r="989" spans="1:20">
      <c r="A989" s="3169" t="str">
        <f>面积表!D984</f>
        <v>2321</v>
      </c>
      <c r="B989" s="52">
        <f>面积表!E984</f>
        <v>48.33</v>
      </c>
      <c r="C989" s="3192">
        <f t="shared" si="165"/>
        <v>1</v>
      </c>
      <c r="D989" s="2559" t="s">
        <v>4016</v>
      </c>
      <c r="E989" s="3192">
        <f t="shared" si="166"/>
        <v>1</v>
      </c>
      <c r="F989" s="2559" t="s">
        <v>21</v>
      </c>
      <c r="G989" s="3192">
        <f t="shared" si="167"/>
        <v>1</v>
      </c>
      <c r="H989" s="631">
        <v>3</v>
      </c>
      <c r="I989" s="3192">
        <f t="shared" si="168"/>
        <v>1</v>
      </c>
      <c r="J989" s="631"/>
      <c r="K989" s="3192">
        <f t="shared" si="169"/>
        <v>1</v>
      </c>
      <c r="L989" s="631"/>
      <c r="M989" s="3192">
        <f t="shared" si="170"/>
        <v>1</v>
      </c>
      <c r="N989" s="631"/>
      <c r="O989" s="3192">
        <f t="shared" si="171"/>
        <v>1</v>
      </c>
      <c r="P989" s="3194" t="s">
        <v>4045</v>
      </c>
      <c r="Q989" s="3192">
        <f t="shared" si="172"/>
        <v>1.04</v>
      </c>
      <c r="R989" s="3192">
        <f t="shared" ca="1" si="173"/>
        <v>14716</v>
      </c>
      <c r="S989" s="898">
        <f t="shared" ca="1" si="174"/>
        <v>71</v>
      </c>
      <c r="T989" s="3190">
        <f>面积表!A984</f>
        <v>0</v>
      </c>
    </row>
    <row r="990" spans="1:20">
      <c r="A990" s="3169" t="str">
        <f>面积表!D985</f>
        <v>2322</v>
      </c>
      <c r="B990" s="52">
        <f>面积表!E985</f>
        <v>49.3</v>
      </c>
      <c r="C990" s="3192">
        <f t="shared" si="165"/>
        <v>1</v>
      </c>
      <c r="D990" s="2559" t="s">
        <v>4016</v>
      </c>
      <c r="E990" s="3192">
        <f t="shared" si="166"/>
        <v>1</v>
      </c>
      <c r="F990" s="2559" t="s">
        <v>21</v>
      </c>
      <c r="G990" s="3192">
        <f t="shared" si="167"/>
        <v>1</v>
      </c>
      <c r="H990" s="631">
        <v>3</v>
      </c>
      <c r="I990" s="3192">
        <f t="shared" si="168"/>
        <v>1</v>
      </c>
      <c r="J990" s="631"/>
      <c r="K990" s="3192">
        <f t="shared" si="169"/>
        <v>1</v>
      </c>
      <c r="L990" s="631"/>
      <c r="M990" s="3192">
        <f t="shared" si="170"/>
        <v>1</v>
      </c>
      <c r="N990" s="631"/>
      <c r="O990" s="3192">
        <f t="shared" si="171"/>
        <v>1</v>
      </c>
      <c r="P990" s="3194" t="s">
        <v>4045</v>
      </c>
      <c r="Q990" s="3192">
        <f t="shared" si="172"/>
        <v>1.04</v>
      </c>
      <c r="R990" s="3192">
        <f t="shared" ca="1" si="173"/>
        <v>14716</v>
      </c>
      <c r="S990" s="898">
        <f t="shared" ca="1" si="174"/>
        <v>73</v>
      </c>
      <c r="T990" s="3190">
        <f>面积表!A985</f>
        <v>0</v>
      </c>
    </row>
    <row r="991" spans="1:20">
      <c r="A991" s="3169" t="str">
        <f>面积表!D986</f>
        <v>2323</v>
      </c>
      <c r="B991" s="52">
        <f>面积表!E986</f>
        <v>49.59</v>
      </c>
      <c r="C991" s="3192">
        <f t="shared" si="165"/>
        <v>1</v>
      </c>
      <c r="D991" s="2559" t="s">
        <v>4016</v>
      </c>
      <c r="E991" s="3192">
        <f t="shared" si="166"/>
        <v>1</v>
      </c>
      <c r="F991" s="2559" t="s">
        <v>21</v>
      </c>
      <c r="G991" s="3192">
        <f t="shared" si="167"/>
        <v>1</v>
      </c>
      <c r="H991" s="631">
        <v>3</v>
      </c>
      <c r="I991" s="3192">
        <f t="shared" si="168"/>
        <v>1</v>
      </c>
      <c r="J991" s="631"/>
      <c r="K991" s="3192">
        <f t="shared" si="169"/>
        <v>1</v>
      </c>
      <c r="L991" s="631"/>
      <c r="M991" s="3192">
        <f t="shared" si="170"/>
        <v>1</v>
      </c>
      <c r="N991" s="631"/>
      <c r="O991" s="3192">
        <f t="shared" si="171"/>
        <v>1</v>
      </c>
      <c r="P991" s="3194" t="s">
        <v>4045</v>
      </c>
      <c r="Q991" s="3192">
        <f t="shared" si="172"/>
        <v>1.04</v>
      </c>
      <c r="R991" s="3192">
        <f t="shared" ca="1" si="173"/>
        <v>14716</v>
      </c>
      <c r="S991" s="898">
        <f t="shared" ca="1" si="174"/>
        <v>73</v>
      </c>
      <c r="T991" s="3190">
        <f>面积表!A986</f>
        <v>0</v>
      </c>
    </row>
    <row r="992" spans="1:20">
      <c r="A992" s="3169" t="str">
        <f>面积表!D987</f>
        <v>2324</v>
      </c>
      <c r="B992" s="52">
        <f>面积表!E987</f>
        <v>49.28</v>
      </c>
      <c r="C992" s="3192">
        <f t="shared" si="165"/>
        <v>1</v>
      </c>
      <c r="D992" s="2559" t="s">
        <v>4016</v>
      </c>
      <c r="E992" s="3192">
        <f t="shared" si="166"/>
        <v>1</v>
      </c>
      <c r="F992" s="2559" t="s">
        <v>21</v>
      </c>
      <c r="G992" s="3192">
        <f t="shared" si="167"/>
        <v>1</v>
      </c>
      <c r="H992" s="631">
        <v>3</v>
      </c>
      <c r="I992" s="3192">
        <f t="shared" si="168"/>
        <v>1</v>
      </c>
      <c r="J992" s="631"/>
      <c r="K992" s="3192">
        <f t="shared" si="169"/>
        <v>1</v>
      </c>
      <c r="L992" s="631"/>
      <c r="M992" s="3192">
        <f t="shared" si="170"/>
        <v>1</v>
      </c>
      <c r="N992" s="631"/>
      <c r="O992" s="3192">
        <f t="shared" si="171"/>
        <v>1</v>
      </c>
      <c r="P992" s="3194" t="s">
        <v>4045</v>
      </c>
      <c r="Q992" s="3192">
        <f t="shared" si="172"/>
        <v>1.04</v>
      </c>
      <c r="R992" s="3192">
        <f t="shared" ca="1" si="173"/>
        <v>14716</v>
      </c>
      <c r="S992" s="898">
        <f t="shared" ca="1" si="174"/>
        <v>73</v>
      </c>
      <c r="T992" s="3190">
        <f>面积表!A987</f>
        <v>0</v>
      </c>
    </row>
    <row r="993" spans="1:20">
      <c r="A993" s="3169" t="str">
        <f>面积表!D988</f>
        <v>2325</v>
      </c>
      <c r="B993" s="52">
        <f>面积表!E988</f>
        <v>48.41</v>
      </c>
      <c r="C993" s="3192">
        <f t="shared" si="165"/>
        <v>1</v>
      </c>
      <c r="D993" s="2559" t="s">
        <v>4016</v>
      </c>
      <c r="E993" s="3192">
        <f t="shared" si="166"/>
        <v>1</v>
      </c>
      <c r="F993" s="2559" t="s">
        <v>21</v>
      </c>
      <c r="G993" s="3192">
        <f t="shared" si="167"/>
        <v>1</v>
      </c>
      <c r="H993" s="631">
        <v>3</v>
      </c>
      <c r="I993" s="3192">
        <f t="shared" si="168"/>
        <v>1</v>
      </c>
      <c r="J993" s="631"/>
      <c r="K993" s="3192">
        <f t="shared" si="169"/>
        <v>1</v>
      </c>
      <c r="L993" s="631"/>
      <c r="M993" s="3192">
        <f t="shared" si="170"/>
        <v>1</v>
      </c>
      <c r="N993" s="631"/>
      <c r="O993" s="3192">
        <f t="shared" si="171"/>
        <v>1</v>
      </c>
      <c r="P993" s="3194" t="s">
        <v>4045</v>
      </c>
      <c r="Q993" s="3192">
        <f t="shared" si="172"/>
        <v>1.04</v>
      </c>
      <c r="R993" s="3192">
        <f t="shared" ca="1" si="173"/>
        <v>14716</v>
      </c>
      <c r="S993" s="898">
        <f t="shared" ca="1" si="174"/>
        <v>71</v>
      </c>
      <c r="T993" s="3190">
        <f>面积表!A988</f>
        <v>0</v>
      </c>
    </row>
    <row r="994" spans="1:20">
      <c r="A994" s="3169" t="str">
        <f>面积表!D989</f>
        <v>2326</v>
      </c>
      <c r="B994" s="52">
        <f>面积表!E989</f>
        <v>47.44</v>
      </c>
      <c r="C994" s="3192">
        <f t="shared" si="165"/>
        <v>1</v>
      </c>
      <c r="D994" s="2559" t="s">
        <v>4016</v>
      </c>
      <c r="E994" s="3192">
        <f t="shared" si="166"/>
        <v>1</v>
      </c>
      <c r="F994" s="2559" t="s">
        <v>21</v>
      </c>
      <c r="G994" s="3192">
        <f t="shared" si="167"/>
        <v>1</v>
      </c>
      <c r="H994" s="631">
        <v>3</v>
      </c>
      <c r="I994" s="3192">
        <f t="shared" si="168"/>
        <v>1</v>
      </c>
      <c r="J994" s="631"/>
      <c r="K994" s="3192">
        <f t="shared" si="169"/>
        <v>1</v>
      </c>
      <c r="L994" s="631"/>
      <c r="M994" s="3192">
        <f t="shared" si="170"/>
        <v>1</v>
      </c>
      <c r="N994" s="631"/>
      <c r="O994" s="3192">
        <f t="shared" si="171"/>
        <v>1</v>
      </c>
      <c r="P994" s="3194" t="s">
        <v>4045</v>
      </c>
      <c r="Q994" s="3192">
        <f t="shared" si="172"/>
        <v>1.04</v>
      </c>
      <c r="R994" s="3192">
        <f t="shared" ca="1" si="173"/>
        <v>14716</v>
      </c>
      <c r="S994" s="898">
        <f t="shared" ca="1" si="174"/>
        <v>70</v>
      </c>
      <c r="T994" s="3190">
        <f>面积表!A989</f>
        <v>0</v>
      </c>
    </row>
    <row r="995" spans="1:20">
      <c r="A995" s="3169">
        <f>面积表!D990</f>
        <v>0</v>
      </c>
      <c r="B995" s="52"/>
      <c r="C995" s="3192">
        <f t="shared" si="165"/>
        <v>1</v>
      </c>
      <c r="D995" s="631"/>
      <c r="E995" s="3192">
        <f t="shared" si="166"/>
        <v>0.06</v>
      </c>
      <c r="F995" s="631"/>
      <c r="G995" s="3192">
        <f t="shared" si="167"/>
        <v>0</v>
      </c>
      <c r="H995" s="631"/>
      <c r="I995" s="3192">
        <f t="shared" si="168"/>
        <v>0.1</v>
      </c>
      <c r="J995" s="631"/>
      <c r="K995" s="3192">
        <f t="shared" si="169"/>
        <v>1</v>
      </c>
      <c r="L995" s="631"/>
      <c r="M995" s="3192">
        <f t="shared" si="170"/>
        <v>1</v>
      </c>
      <c r="N995" s="631"/>
      <c r="O995" s="3192">
        <f t="shared" si="171"/>
        <v>1</v>
      </c>
      <c r="P995" s="631"/>
      <c r="Q995" s="3192">
        <f t="shared" si="172"/>
        <v>0.04</v>
      </c>
      <c r="R995" s="3192">
        <f t="shared" si="173"/>
        <v>0</v>
      </c>
      <c r="S995" s="898">
        <f t="shared" si="174"/>
        <v>0</v>
      </c>
      <c r="T995" s="3190">
        <f>面积表!A990</f>
        <v>0</v>
      </c>
    </row>
    <row r="996" spans="1:20">
      <c r="A996" s="3169">
        <f>面积表!D991</f>
        <v>0</v>
      </c>
      <c r="B996" s="52">
        <f>面积表!E991</f>
        <v>0</v>
      </c>
      <c r="T996" s="3190">
        <f>面积表!A991</f>
        <v>0</v>
      </c>
    </row>
    <row r="997" spans="1:20">
      <c r="A997" s="3169">
        <f>面积表!D992</f>
        <v>0</v>
      </c>
      <c r="B997" s="52">
        <f>面积表!E992</f>
        <v>0</v>
      </c>
    </row>
    <row r="998" spans="1:20">
      <c r="A998" s="3169">
        <f>面积表!D993</f>
        <v>0</v>
      </c>
      <c r="B998" s="52">
        <f>面积表!E993</f>
        <v>0</v>
      </c>
    </row>
    <row r="999" spans="1:20">
      <c r="A999" s="3169">
        <f>面积表!D994</f>
        <v>0</v>
      </c>
      <c r="B999" s="52">
        <f>面积表!E994</f>
        <v>0</v>
      </c>
    </row>
    <row r="1000" spans="1:20">
      <c r="A1000" s="3169">
        <f>面积表!D995</f>
        <v>0</v>
      </c>
      <c r="B1000" s="52">
        <f>面积表!E995</f>
        <v>0</v>
      </c>
    </row>
    <row r="1001" spans="1:20">
      <c r="A1001" s="3169">
        <f>面积表!D996</f>
        <v>0</v>
      </c>
      <c r="B1001" s="52">
        <f>面积表!E996</f>
        <v>0</v>
      </c>
    </row>
    <row r="1002" spans="1:20">
      <c r="A1002" s="3169">
        <f>面积表!D997</f>
        <v>0</v>
      </c>
      <c r="B1002" s="52">
        <f>面积表!E997</f>
        <v>0</v>
      </c>
    </row>
    <row r="1003" spans="1:20">
      <c r="A1003" s="3169">
        <f>面积表!D998</f>
        <v>0</v>
      </c>
      <c r="B1003" s="52">
        <f>面积表!E998</f>
        <v>0</v>
      </c>
    </row>
    <row r="1004" spans="1:20">
      <c r="A1004" s="3169">
        <f>面积表!D999</f>
        <v>0</v>
      </c>
      <c r="B1004" s="52">
        <f>面积表!E999</f>
        <v>0</v>
      </c>
    </row>
    <row r="1005" spans="1:20">
      <c r="A1005" s="3169">
        <f>面积表!D1000</f>
        <v>0</v>
      </c>
      <c r="B1005" s="52">
        <f>面积表!E1000</f>
        <v>0</v>
      </c>
    </row>
    <row r="1006" spans="1:20">
      <c r="A1006" s="3169">
        <f>面积表!D1001</f>
        <v>0</v>
      </c>
      <c r="B1006" s="52">
        <f>面积表!E1001</f>
        <v>0</v>
      </c>
    </row>
    <row r="1007" spans="1:20">
      <c r="A1007" s="3169">
        <f>面积表!D1002</f>
        <v>0</v>
      </c>
      <c r="B1007" s="52">
        <f>面积表!E1002</f>
        <v>0</v>
      </c>
    </row>
  </sheetData>
  <sheetProtection password="CEE9" sheet="1" objects="1" scenarios="1" formatCells="0" formatColumns="0" formatRows="0"/>
  <mergeCells count="2">
    <mergeCell ref="C22:Q22"/>
    <mergeCell ref="C1:S1"/>
  </mergeCells>
  <phoneticPr fontId="24" type="noConversion"/>
  <conditionalFormatting sqref="C24:C995 E24:E995 G24:G995 I24:I995 K24:K995 M24:M995 O24:O995 Q24:Q995">
    <cfRule type="cellIs" dxfId="119"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B2:D13"/>
  <sheetViews>
    <sheetView workbookViewId="0">
      <selection activeCell="M26" sqref="M26"/>
    </sheetView>
  </sheetViews>
  <sheetFormatPr defaultRowHeight="13.5"/>
  <sheetData>
    <row r="2" spans="2:4">
      <c r="B2" s="1394" t="s">
        <v>4036</v>
      </c>
      <c r="C2" s="1394" t="s">
        <v>651</v>
      </c>
    </row>
    <row r="3" spans="2:4">
      <c r="B3">
        <v>50.33</v>
      </c>
      <c r="C3">
        <v>3000</v>
      </c>
      <c r="D3" s="3168">
        <f>C3/B3/30</f>
        <v>1.9868865487780647</v>
      </c>
    </row>
    <row r="4" spans="2:4">
      <c r="B4">
        <v>50</v>
      </c>
      <c r="C4">
        <v>3000</v>
      </c>
      <c r="D4" s="3168">
        <f t="shared" ref="D4:D9" si="0">C4/B4/30</f>
        <v>2</v>
      </c>
    </row>
    <row r="5" spans="2:4">
      <c r="B5">
        <v>48.41</v>
      </c>
      <c r="C5">
        <v>3000</v>
      </c>
      <c r="D5" s="3168">
        <f t="shared" si="0"/>
        <v>2.0656889072505682</v>
      </c>
    </row>
    <row r="6" spans="2:4">
      <c r="B6">
        <v>99.47</v>
      </c>
      <c r="C6">
        <v>6500</v>
      </c>
      <c r="D6" s="3168">
        <f t="shared" si="0"/>
        <v>2.1782111859522133</v>
      </c>
    </row>
    <row r="7" spans="2:4">
      <c r="B7">
        <v>50</v>
      </c>
      <c r="C7">
        <v>3150</v>
      </c>
      <c r="D7" s="3168">
        <f t="shared" si="0"/>
        <v>2.1</v>
      </c>
    </row>
    <row r="8" spans="2:4">
      <c r="B8">
        <v>220</v>
      </c>
      <c r="C8">
        <v>9999</v>
      </c>
      <c r="D8" s="3168">
        <f t="shared" si="0"/>
        <v>1.5150000000000001</v>
      </c>
    </row>
    <row r="9" spans="2:4">
      <c r="B9">
        <v>50.33</v>
      </c>
      <c r="C9">
        <v>3200</v>
      </c>
      <c r="D9" s="3168">
        <f t="shared" si="0"/>
        <v>2.1193456520299359</v>
      </c>
    </row>
    <row r="13" spans="2:4">
      <c r="B13">
        <v>50</v>
      </c>
      <c r="C13">
        <v>4000</v>
      </c>
      <c r="D13" s="3168">
        <f t="shared" ref="D13" si="1">C13/B13/30</f>
        <v>2.6666666666666665</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zoomScaleNormal="100" zoomScaleSheetLayoutView="100" zoomScalePageLayoutView="80" workbookViewId="0">
      <selection activeCell="K13" sqref="K13"/>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4037</v>
      </c>
      <c r="H1" s="1610" t="str">
        <f>IF(G1="现房","——","估价对象范围")</f>
        <v>——</v>
      </c>
      <c r="I1" s="1611" t="s">
        <v>4038</v>
      </c>
    </row>
    <row r="2" spans="1:12" ht="21.75" customHeight="1" thickBot="1">
      <c r="A2" s="3357" t="str">
        <f>项目基本情况!S2</f>
        <v>北京市房地产</v>
      </c>
      <c r="B2" s="3358"/>
      <c r="C2" s="3358"/>
      <c r="D2" s="3358"/>
      <c r="E2" s="3358"/>
      <c r="F2" s="3358"/>
      <c r="G2" s="3358"/>
      <c r="H2" s="3358"/>
      <c r="I2" s="3359"/>
    </row>
    <row r="3" spans="1:12" ht="12.75">
      <c r="A3" s="3361" t="s">
        <v>1261</v>
      </c>
      <c r="B3" s="3362"/>
      <c r="C3" s="3362"/>
      <c r="D3" s="3362"/>
      <c r="E3" s="3362"/>
      <c r="F3" s="3362"/>
      <c r="G3" s="3362"/>
      <c r="H3" s="3362"/>
      <c r="I3" s="3362"/>
    </row>
    <row r="4" spans="1:12" ht="14.25">
      <c r="A4" s="1613" t="s">
        <v>1262</v>
      </c>
      <c r="B4" s="1614" t="s">
        <v>1263</v>
      </c>
      <c r="C4" s="1615" t="s">
        <v>4073</v>
      </c>
      <c r="D4" s="1615" t="s">
        <v>4047</v>
      </c>
      <c r="E4" s="3366" t="s">
        <v>1264</v>
      </c>
      <c r="F4" s="3367"/>
      <c r="G4" s="3367"/>
      <c r="H4" s="3367"/>
      <c r="I4" s="3368"/>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05" t="s">
        <v>1265</v>
      </c>
      <c r="B5" s="3360">
        <v>25</v>
      </c>
      <c r="C5" s="3363"/>
      <c r="D5" s="3351"/>
      <c r="E5" s="122" t="s">
        <v>1266</v>
      </c>
      <c r="F5" s="1616"/>
      <c r="G5" s="1616"/>
      <c r="H5" s="1616"/>
      <c r="I5" s="1270"/>
    </row>
    <row r="6" spans="1:12" ht="12.75">
      <c r="A6" s="3305"/>
      <c r="B6" s="3360"/>
      <c r="C6" s="3365"/>
      <c r="D6" s="3351"/>
      <c r="E6" s="122" t="s">
        <v>1267</v>
      </c>
      <c r="F6" s="1616"/>
      <c r="G6" s="1616"/>
      <c r="H6" s="1616"/>
      <c r="I6" s="1270"/>
    </row>
    <row r="7" spans="1:12" ht="12.75">
      <c r="A7" s="3305"/>
      <c r="B7" s="3360"/>
      <c r="C7" s="3364"/>
      <c r="D7" s="3351"/>
      <c r="E7" s="122" t="s">
        <v>1268</v>
      </c>
      <c r="F7" s="1616"/>
      <c r="G7" s="1616"/>
      <c r="H7" s="1616"/>
      <c r="I7" s="1270"/>
    </row>
    <row r="8" spans="1:12" ht="12.75">
      <c r="A8" s="3305" t="s">
        <v>1269</v>
      </c>
      <c r="B8" s="3360">
        <v>15</v>
      </c>
      <c r="C8" s="3363"/>
      <c r="D8" s="3351"/>
      <c r="E8" s="122" t="s">
        <v>1270</v>
      </c>
      <c r="F8" s="1616"/>
      <c r="G8" s="1616"/>
      <c r="H8" s="1616"/>
      <c r="I8" s="1270"/>
    </row>
    <row r="9" spans="1:12" ht="12.75">
      <c r="A9" s="3305"/>
      <c r="B9" s="3360"/>
      <c r="C9" s="3364"/>
      <c r="D9" s="3351"/>
      <c r="E9" s="122" t="s">
        <v>1271</v>
      </c>
      <c r="F9" s="1616"/>
      <c r="G9" s="1616"/>
      <c r="H9" s="1616"/>
      <c r="I9" s="1270"/>
    </row>
    <row r="10" spans="1:12" ht="12.75">
      <c r="A10" s="3305" t="s">
        <v>1272</v>
      </c>
      <c r="B10" s="3360">
        <v>15</v>
      </c>
      <c r="C10" s="3363"/>
      <c r="D10" s="3351"/>
      <c r="E10" s="122" t="s">
        <v>1273</v>
      </c>
      <c r="F10" s="1616"/>
      <c r="G10" s="1616"/>
      <c r="H10" s="1616"/>
      <c r="I10" s="1270"/>
    </row>
    <row r="11" spans="1:12" ht="12.75">
      <c r="A11" s="3305"/>
      <c r="B11" s="3360"/>
      <c r="C11" s="3364"/>
      <c r="D11" s="3351"/>
      <c r="E11" s="122" t="s">
        <v>1274</v>
      </c>
      <c r="F11" s="1616"/>
      <c r="G11" s="1616"/>
      <c r="H11" s="1616"/>
      <c r="I11" s="1270"/>
    </row>
    <row r="12" spans="1:12" ht="12.75">
      <c r="A12" s="3305" t="s">
        <v>1275</v>
      </c>
      <c r="B12" s="3360">
        <v>15</v>
      </c>
      <c r="C12" s="3363"/>
      <c r="D12" s="3351"/>
      <c r="E12" s="122" t="s">
        <v>1276</v>
      </c>
      <c r="F12" s="1616"/>
      <c r="G12" s="1616"/>
      <c r="H12" s="1616"/>
      <c r="I12" s="1270"/>
    </row>
    <row r="13" spans="1:12" ht="12.75">
      <c r="A13" s="3305"/>
      <c r="B13" s="3360"/>
      <c r="C13" s="3364"/>
      <c r="D13" s="3351"/>
      <c r="E13" s="122" t="s">
        <v>1277</v>
      </c>
      <c r="F13" s="1616"/>
      <c r="G13" s="1616"/>
      <c r="H13" s="1616"/>
      <c r="I13" s="1270"/>
    </row>
    <row r="14" spans="1:12" ht="12.75">
      <c r="A14" s="3305" t="s">
        <v>1278</v>
      </c>
      <c r="B14" s="3360">
        <v>30</v>
      </c>
      <c r="C14" s="3363">
        <v>7</v>
      </c>
      <c r="D14" s="3351">
        <v>3</v>
      </c>
      <c r="E14" s="122" t="s">
        <v>1279</v>
      </c>
      <c r="F14" s="1616"/>
      <c r="G14" s="1616"/>
      <c r="H14" s="1616"/>
      <c r="I14" s="1270"/>
    </row>
    <row r="15" spans="1:12" ht="12.75">
      <c r="A15" s="3305"/>
      <c r="B15" s="3360"/>
      <c r="C15" s="3365"/>
      <c r="D15" s="3351"/>
      <c r="E15" s="122" t="s">
        <v>1280</v>
      </c>
      <c r="F15" s="1616"/>
      <c r="G15" s="1616"/>
      <c r="H15" s="1616"/>
      <c r="I15" s="1270"/>
    </row>
    <row r="16" spans="1:12" ht="12.75">
      <c r="A16" s="3305"/>
      <c r="B16" s="3360"/>
      <c r="C16" s="3364"/>
      <c r="D16" s="3351"/>
      <c r="E16" s="122" t="s">
        <v>1281</v>
      </c>
      <c r="F16" s="1616"/>
      <c r="G16" s="1616"/>
      <c r="H16" s="1616"/>
      <c r="I16" s="1270"/>
    </row>
    <row r="17" spans="1:36" ht="15">
      <c r="A17" s="1617" t="s">
        <v>1282</v>
      </c>
      <c r="B17" s="54"/>
      <c r="C17" s="123">
        <f>SUM(C5:C16)</f>
        <v>7</v>
      </c>
      <c r="D17" s="123">
        <f>SUM(D5:D16)</f>
        <v>3</v>
      </c>
      <c r="E17" s="120"/>
      <c r="F17" s="120"/>
      <c r="G17" s="120"/>
      <c r="H17" s="120"/>
      <c r="I17" s="120"/>
      <c r="K17" s="293"/>
      <c r="L17" s="293" t="s">
        <v>1283</v>
      </c>
      <c r="M17" s="293" t="s">
        <v>1284</v>
      </c>
    </row>
    <row r="18" spans="1:36" ht="31.9" customHeight="1" thickBot="1">
      <c r="A18" s="1618" t="s">
        <v>1285</v>
      </c>
      <c r="B18" s="1531"/>
      <c r="C18" s="124">
        <f>ROUND(C17/SUM(C17:D17),2)</f>
        <v>0.7</v>
      </c>
      <c r="D18" s="124">
        <f>1-C18</f>
        <v>0.30000000000000004</v>
      </c>
      <c r="E18" s="3382" t="s">
        <v>2123</v>
      </c>
      <c r="F18" s="3383"/>
      <c r="G18" s="3383"/>
      <c r="H18" s="3383"/>
      <c r="I18" s="3383"/>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SUMIF(INDIRECT("'"&amp;C4&amp;"'"&amp;"!A:A"),结果表商!B19,INDIRECT("'"&amp;C4&amp;"'"&amp;"!B:B"))</f>
        <v>404.35050000000001</v>
      </c>
      <c r="D19" s="126">
        <f ca="1">SUMIF(INDIRECT("'"&amp;D4&amp;"'"&amp;"!A:A"),结果表商!B19,INDIRECT("'"&amp;D4&amp;"'"&amp;"!B:B"))</f>
        <v>230.2466</v>
      </c>
      <c r="E19" s="1619" t="s">
        <v>1289</v>
      </c>
      <c r="F19" s="1620" t="s">
        <v>1288</v>
      </c>
      <c r="G19" s="127">
        <f ca="1">ROUND(C19*$C$18+D19*$D$18,0)</f>
        <v>352</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SUMIF(INDIRECT("'"&amp;C4&amp;"'"&amp;"!A:A"),结果表商!B20,INDIRECT("'"&amp;C4&amp;"'"&amp;"!B:B"))</f>
        <v>30061</v>
      </c>
      <c r="D20" s="129">
        <f ca="1">SUMIF(INDIRECT("'"&amp;D4&amp;"'"&amp;"!A:A"),结果表商!B20,INDIRECT("'"&amp;D4&amp;"'"&amp;"!B:B"))</f>
        <v>17117</v>
      </c>
      <c r="E20" s="1622"/>
      <c r="F20" s="43" t="s">
        <v>1292</v>
      </c>
      <c r="G20" s="130">
        <f ca="1">ROUND(C20*$C$18+D20*$D$18,0)</f>
        <v>26178</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0.75616274029670794</v>
      </c>
      <c r="E22" s="120"/>
      <c r="F22" s="120"/>
      <c r="G22" s="120"/>
      <c r="H22" s="120"/>
      <c r="I22" s="120"/>
    </row>
    <row r="23" spans="1:36" ht="13.5" thickBot="1">
      <c r="A23" s="642"/>
      <c r="B23" s="642"/>
      <c r="C23" s="642"/>
      <c r="D23" s="642"/>
      <c r="E23" s="120"/>
      <c r="F23" s="120"/>
      <c r="G23" s="120"/>
      <c r="H23" s="120"/>
      <c r="I23" s="120"/>
    </row>
    <row r="24" spans="1:36" ht="14.25">
      <c r="A24" s="3375" t="s">
        <v>1296</v>
      </c>
      <c r="B24" s="1620" t="s">
        <v>1288</v>
      </c>
      <c r="C24" s="127">
        <f>IF(B30=0,0,D30)</f>
        <v>0</v>
      </c>
      <c r="D24" s="1626"/>
      <c r="E24" s="120"/>
      <c r="F24" s="120"/>
      <c r="G24" s="120"/>
      <c r="H24" s="120"/>
      <c r="I24" s="120"/>
    </row>
    <row r="25" spans="1:36" ht="14.25">
      <c r="A25" s="3376"/>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26178</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52" t="s">
        <v>1309</v>
      </c>
      <c r="B36" s="1641" t="s">
        <v>1310</v>
      </c>
      <c r="C36" s="136"/>
      <c r="D36" s="1642"/>
      <c r="E36" s="1556"/>
      <c r="F36" s="1643"/>
      <c r="G36" s="120"/>
      <c r="H36" s="120"/>
      <c r="I36" s="120"/>
    </row>
    <row r="37" spans="1:15" ht="15.75" thickBot="1">
      <c r="A37" s="3353"/>
      <c r="B37" s="1544" t="s">
        <v>1311</v>
      </c>
      <c r="C37" s="138"/>
      <c r="D37" s="1061"/>
      <c r="E37" s="1061"/>
      <c r="F37" s="1643"/>
      <c r="G37" s="120"/>
      <c r="H37" s="120"/>
      <c r="I37" s="120"/>
    </row>
    <row r="38" spans="1:15" ht="15.75" thickBot="1">
      <c r="A38" s="3354"/>
      <c r="B38" s="1644" t="s">
        <v>1312</v>
      </c>
      <c r="C38" s="637"/>
      <c r="D38" s="1645" t="s">
        <v>1313</v>
      </c>
      <c r="E38" s="1061"/>
      <c r="F38" s="1643"/>
      <c r="G38" s="120"/>
      <c r="H38" s="120"/>
      <c r="I38" s="120"/>
    </row>
    <row r="39" spans="1:15" ht="15">
      <c r="A39" s="1622" t="s">
        <v>1314</v>
      </c>
      <c r="B39" s="1646" t="s">
        <v>1298</v>
      </c>
      <c r="C39" s="1647" t="s">
        <v>1299</v>
      </c>
      <c r="D39" s="1647" t="s">
        <v>1317</v>
      </c>
      <c r="E39" s="1648" t="s">
        <v>1300</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72" t="s">
        <v>1323</v>
      </c>
      <c r="B45" s="3373"/>
      <c r="C45" s="3374"/>
      <c r="D45" s="146" t="e">
        <f ca="1">ROUND(H101*F45,0)</f>
        <v>#REF!</v>
      </c>
      <c r="E45" s="147" t="s">
        <v>1324</v>
      </c>
      <c r="F45" s="148">
        <v>1</v>
      </c>
      <c r="G45" s="149" t="s">
        <v>1325</v>
      </c>
      <c r="H45" s="120"/>
      <c r="I45" s="120"/>
      <c r="J45" s="3292" t="s">
        <v>1326</v>
      </c>
      <c r="K45" s="3292"/>
      <c r="L45" s="3292"/>
      <c r="M45" s="3292"/>
      <c r="N45" s="3292"/>
      <c r="O45" s="3292"/>
    </row>
    <row r="46" spans="1:15" ht="14.25" customHeight="1">
      <c r="A46" s="3369" t="s">
        <v>1327</v>
      </c>
      <c r="B46" s="3370"/>
      <c r="C46" s="3370"/>
      <c r="D46" s="3370"/>
      <c r="E46" s="3370"/>
      <c r="F46" s="3370"/>
      <c r="G46" s="3371"/>
      <c r="H46" s="1657"/>
      <c r="I46" s="150"/>
      <c r="J46" s="2297">
        <v>1</v>
      </c>
      <c r="K46" s="3293" t="s">
        <v>1328</v>
      </c>
      <c r="L46" s="3293"/>
      <c r="M46" s="3294"/>
      <c r="N46" s="3294"/>
      <c r="O46" s="3294"/>
    </row>
    <row r="47" spans="1:15" ht="12" customHeight="1">
      <c r="A47" s="151" t="s">
        <v>1329</v>
      </c>
      <c r="B47" s="152"/>
      <c r="C47" s="153"/>
      <c r="D47" s="1014" t="s">
        <v>1330</v>
      </c>
      <c r="E47" s="293" t="s">
        <v>1331</v>
      </c>
      <c r="F47" s="154" t="s">
        <v>1332</v>
      </c>
      <c r="G47" s="2320" t="s">
        <v>1333</v>
      </c>
      <c r="H47" s="2321"/>
      <c r="I47" s="150"/>
      <c r="J47" s="2297">
        <v>2</v>
      </c>
      <c r="K47" s="3293" t="s">
        <v>1334</v>
      </c>
      <c r="L47" s="3293"/>
      <c r="M47" s="3295">
        <f>'数据-取费表'!B2</f>
        <v>45596</v>
      </c>
      <c r="N47" s="3295"/>
      <c r="O47" s="3295"/>
    </row>
    <row r="48" spans="1:15" ht="25.5">
      <c r="A48" s="3355" t="s">
        <v>1335</v>
      </c>
      <c r="B48" s="3356"/>
      <c r="C48" s="3356"/>
      <c r="D48" s="12" t="b">
        <f>IF(H48="情况1",0,IF(H48="情况2",D52,IF(H48="情况3",D53,IF(H48="情况4",D54))))</f>
        <v>0</v>
      </c>
      <c r="E48" s="1245" t="str">
        <f>IF(H48="情况4","(销售额-原购置价)×税（费）率","销售额×税（费）率")</f>
        <v>销售额×税（费）率</v>
      </c>
      <c r="F48" s="2322">
        <f>IF(H48="情况1","免征",'数据-取费表'!B41)</f>
        <v>5.6000000000000001E-2</v>
      </c>
      <c r="G48" s="2323" t="s">
        <v>1336</v>
      </c>
      <c r="H48" s="2324"/>
      <c r="I48" s="1657"/>
      <c r="J48" s="2297">
        <v>3</v>
      </c>
      <c r="K48" s="3293" t="s">
        <v>1337</v>
      </c>
      <c r="L48" s="3293"/>
      <c r="M48" s="3296" t="e">
        <f ca="1">H101</f>
        <v>#REF!</v>
      </c>
      <c r="N48" s="3296"/>
      <c r="O48" s="3296"/>
    </row>
    <row r="49" spans="1:35" ht="25.5" customHeight="1">
      <c r="A49" s="2141" t="s">
        <v>1338</v>
      </c>
      <c r="B49" s="3341" t="s">
        <v>1339</v>
      </c>
      <c r="C49" s="3341"/>
      <c r="D49" s="1467">
        <v>0</v>
      </c>
      <c r="E49" s="315" t="s">
        <v>1340</v>
      </c>
      <c r="F49" s="2222" t="s">
        <v>28</v>
      </c>
      <c r="G49" s="3324"/>
      <c r="H49" s="2123" t="s">
        <v>2126</v>
      </c>
      <c r="I49" s="2124"/>
      <c r="J49" s="2297">
        <v>4</v>
      </c>
      <c r="K49" s="3293" t="str">
        <f>IF(项目基本情况!E8="房地产抵押价值","房地产抵押价值","抵押担保权已注销时的房地产抵押价值")</f>
        <v>抵押担保权已注销时的房地产抵押价值</v>
      </c>
      <c r="L49" s="3293"/>
      <c r="M49" s="3296" t="str">
        <f>IF(项目基本情况!E8="房地产抵押价值",H107,H109)</f>
        <v>——</v>
      </c>
      <c r="N49" s="3296"/>
      <c r="O49" s="3296"/>
    </row>
    <row r="50" spans="1:35" ht="25.5" customHeight="1">
      <c r="A50" s="2325"/>
      <c r="B50" s="3341" t="s">
        <v>1341</v>
      </c>
      <c r="C50" s="3341"/>
      <c r="D50" s="2178"/>
      <c r="E50" s="322"/>
      <c r="F50" s="2222"/>
      <c r="G50" s="3325"/>
      <c r="H50" s="2125" t="s">
        <v>2127</v>
      </c>
      <c r="I50" s="2124"/>
      <c r="J50" s="3292" t="s">
        <v>1342</v>
      </c>
      <c r="K50" s="3292"/>
      <c r="L50" s="3292"/>
      <c r="M50" s="3292"/>
      <c r="N50" s="3292"/>
      <c r="O50" s="3292"/>
    </row>
    <row r="51" spans="1:35" ht="20.45" customHeight="1">
      <c r="A51" s="2326"/>
      <c r="B51" s="3341" t="s">
        <v>1343</v>
      </c>
      <c r="C51" s="3341"/>
      <c r="D51" s="1014"/>
      <c r="E51" s="318"/>
      <c r="F51" s="2222"/>
      <c r="G51" s="3326"/>
      <c r="H51" s="2125" t="s">
        <v>2128</v>
      </c>
      <c r="I51" s="2124"/>
      <c r="J51" s="2298" t="s">
        <v>1344</v>
      </c>
      <c r="K51" s="3293" t="s">
        <v>1345</v>
      </c>
      <c r="L51" s="3293"/>
      <c r="M51" s="2298" t="s">
        <v>1346</v>
      </c>
      <c r="N51" s="2298" t="s">
        <v>1347</v>
      </c>
      <c r="O51" s="2298" t="s">
        <v>1348</v>
      </c>
    </row>
    <row r="52" spans="1:35" ht="24" customHeight="1">
      <c r="A52" s="2142" t="s">
        <v>1349</v>
      </c>
      <c r="B52" s="3341" t="s">
        <v>1350</v>
      </c>
      <c r="C52" s="3341"/>
      <c r="D52" s="1014" t="e">
        <f ca="1">ROUND(D45*'数据-取费表'!B41/(1+'数据-取费表'!C42),0)</f>
        <v>#REF!</v>
      </c>
      <c r="E52" s="1245" t="s">
        <v>1351</v>
      </c>
      <c r="F52" s="2327">
        <f>'数据-取费表'!B41</f>
        <v>5.6000000000000001E-2</v>
      </c>
      <c r="G52" s="2328"/>
      <c r="H52" s="2318"/>
      <c r="I52" s="1658"/>
      <c r="J52" s="2297">
        <v>1</v>
      </c>
      <c r="K52" s="3318" t="s">
        <v>1352</v>
      </c>
      <c r="L52" s="3318"/>
      <c r="M52" s="2299" t="b">
        <f>D48</f>
        <v>0</v>
      </c>
      <c r="N52" s="2297" t="str">
        <f>E48</f>
        <v>销售额×税（费）率</v>
      </c>
      <c r="O52" s="2300">
        <f>F48</f>
        <v>5.6000000000000001E-2</v>
      </c>
    </row>
    <row r="53" spans="1:35" ht="12" customHeight="1">
      <c r="A53" s="2142" t="s">
        <v>1353</v>
      </c>
      <c r="B53" s="3342" t="s">
        <v>2279</v>
      </c>
      <c r="C53" s="3343"/>
      <c r="D53" s="1014" t="e">
        <f ca="1">ROUND(D45*'数据-取费表'!B41/(1+'数据-取费表'!C42),0)</f>
        <v>#REF!</v>
      </c>
      <c r="E53" s="1245" t="s">
        <v>1351</v>
      </c>
      <c r="F53" s="2327">
        <f>'数据-取费表'!B41</f>
        <v>5.6000000000000001E-2</v>
      </c>
      <c r="G53" s="2328"/>
      <c r="H53" s="2318"/>
      <c r="I53" s="1658"/>
      <c r="J53" s="2297">
        <v>2</v>
      </c>
      <c r="K53" s="3318" t="s">
        <v>1354</v>
      </c>
      <c r="L53" s="3318"/>
      <c r="M53" s="2299" t="e">
        <f t="shared" ref="M53:O54" ca="1" si="0">D55</f>
        <v>#REF!</v>
      </c>
      <c r="N53" s="2297" t="str">
        <f t="shared" si="0"/>
        <v>销售额×税（费）率</v>
      </c>
      <c r="O53" s="2300" t="str">
        <f t="shared" si="0"/>
        <v>免征</v>
      </c>
    </row>
    <row r="54" spans="1:35" ht="12" customHeight="1">
      <c r="A54" s="2142" t="s">
        <v>1355</v>
      </c>
      <c r="B54" s="3342" t="s">
        <v>2280</v>
      </c>
      <c r="C54" s="3343"/>
      <c r="D54" s="1014" t="e">
        <f ca="1">C68</f>
        <v>#REF!</v>
      </c>
      <c r="E54" s="318" t="s">
        <v>1356</v>
      </c>
      <c r="F54" s="2327">
        <f>'数据-取费表'!B41</f>
        <v>5.6000000000000001E-2</v>
      </c>
      <c r="G54" s="2328"/>
      <c r="H54" s="2329"/>
      <c r="I54" s="1658"/>
      <c r="J54" s="2297">
        <v>3</v>
      </c>
      <c r="K54" s="3318" t="s">
        <v>1357</v>
      </c>
      <c r="L54" s="3318"/>
      <c r="M54" s="2299" t="e">
        <f t="shared" ca="1" si="0"/>
        <v>#REF!</v>
      </c>
      <c r="N54" s="2297" t="str">
        <f t="shared" si="0"/>
        <v>增值额×税（费）率</v>
      </c>
      <c r="O54" s="2301" t="str">
        <f t="shared" si="0"/>
        <v>免征</v>
      </c>
    </row>
    <row r="55" spans="1:35" ht="24" customHeight="1">
      <c r="A55" s="3378" t="s">
        <v>1358</v>
      </c>
      <c r="B55" s="3356"/>
      <c r="C55" s="3356"/>
      <c r="D55" s="12" t="e">
        <f ca="1">IF(H55="个人住宅",0,ROUND(D45*I55,0))</f>
        <v>#REF!</v>
      </c>
      <c r="E55" s="1245" t="s">
        <v>1359</v>
      </c>
      <c r="F55" s="2327" t="str">
        <f>IF(H55="正常",I55,"免征")</f>
        <v>免征</v>
      </c>
      <c r="G55" s="2328"/>
      <c r="H55" s="2324"/>
      <c r="I55" s="156">
        <f>'数据-取费表'!B49</f>
        <v>5.0000000000000001E-4</v>
      </c>
      <c r="J55" s="2297">
        <f>IF(H59="非个人房产","",4)</f>
        <v>4</v>
      </c>
      <c r="K55" s="3318" t="str">
        <f>IF(H59="非个人房产","——","个人所得税")</f>
        <v>个人所得税</v>
      </c>
      <c r="L55" s="3318"/>
      <c r="M55" s="2302" t="e">
        <f ca="1">D59</f>
        <v>#REF!</v>
      </c>
      <c r="N55" s="1872" t="str">
        <f>E59</f>
        <v>差额计税</v>
      </c>
      <c r="O55" s="2303">
        <f>F59</f>
        <v>0.01</v>
      </c>
    </row>
    <row r="56" spans="1:35" ht="24.75">
      <c r="A56" s="3378" t="s">
        <v>1360</v>
      </c>
      <c r="B56" s="3356"/>
      <c r="C56" s="3356"/>
      <c r="D56" s="12" t="e">
        <f ca="1">IF(H56="个人住宅",D57,D58)</f>
        <v>#REF!</v>
      </c>
      <c r="E56" s="1245" t="s">
        <v>1361</v>
      </c>
      <c r="F56" s="2327" t="str">
        <f>IF(H56="正常",F58,"免征")</f>
        <v>免征</v>
      </c>
      <c r="G56" s="2330" t="s">
        <v>1362</v>
      </c>
      <c r="H56" s="2331"/>
      <c r="I56" s="1659"/>
      <c r="J56" s="2297" t="str">
        <f>IF(项目基本情况!K6="上海银行",IF(J55="",4,J55+1),"")</f>
        <v/>
      </c>
      <c r="K56" s="3299" t="str">
        <f>IF(项目基本情况!K6="上海银行","其他处置费用","")</f>
        <v/>
      </c>
      <c r="L56" s="3300"/>
      <c r="M56" s="2299" t="str">
        <f>IF(项目基本情况!K6="上海银行",M69,"")</f>
        <v/>
      </c>
      <c r="N56" s="3299" t="str">
        <f>IF(项目基本情况!K6="上海银行","包含处置中涉及的律师、诉讼、拍卖、评估等费用","")</f>
        <v/>
      </c>
      <c r="O56" s="3302"/>
    </row>
    <row r="57" spans="1:35" ht="12.75">
      <c r="A57" s="2142" t="s">
        <v>1338</v>
      </c>
      <c r="B57" s="3342" t="s">
        <v>1363</v>
      </c>
      <c r="C57" s="3343"/>
      <c r="D57" s="1467">
        <v>0</v>
      </c>
      <c r="E57" s="315" t="s">
        <v>1340</v>
      </c>
      <c r="F57" s="293"/>
      <c r="G57" s="2328"/>
      <c r="H57" s="2332"/>
      <c r="I57" s="1659"/>
      <c r="J57" s="3318">
        <f>IF(AND(J55="",J56=""),4,IF(项目基本情况!K6="上海银行",结果表商!J56+1,结果表商!J55+1))</f>
        <v>5</v>
      </c>
      <c r="K57" s="3318" t="s">
        <v>1364</v>
      </c>
      <c r="L57" s="2304" t="s">
        <v>1365</v>
      </c>
      <c r="M57" s="2305"/>
      <c r="N57" s="2306">
        <f ca="1">SUMIF(M52:M56,"&lt;9e307")</f>
        <v>0</v>
      </c>
      <c r="O57" s="2307"/>
      <c r="P57" s="2452" t="e">
        <f ca="1">N57/M49</f>
        <v>#VALUE!</v>
      </c>
    </row>
    <row r="58" spans="1:35" ht="24.75">
      <c r="A58" s="2142" t="s">
        <v>1349</v>
      </c>
      <c r="B58" s="3342" t="s">
        <v>1366</v>
      </c>
      <c r="C58" s="3341"/>
      <c r="D58" s="12" t="e">
        <f ca="1">IF(H58="转让取得",C81,C97)</f>
        <v>#REF!</v>
      </c>
      <c r="E58" s="1245" t="s">
        <v>1361</v>
      </c>
      <c r="F58" s="293" t="s">
        <v>28</v>
      </c>
      <c r="G58" s="2328"/>
      <c r="H58" s="2331"/>
      <c r="I58" s="1659"/>
      <c r="J58" s="3318"/>
      <c r="K58" s="3318"/>
      <c r="L58" s="2304" t="s">
        <v>1367</v>
      </c>
      <c r="M58" s="2308"/>
      <c r="N58" s="2309" t="str">
        <f ca="1">NUMBERSTRING(INT(N57*10000),2)&amp;"元整"</f>
        <v>零元整</v>
      </c>
      <c r="O58" s="2310"/>
    </row>
    <row r="59" spans="1:35" ht="24.75" thickBot="1">
      <c r="A59" s="3322" t="s">
        <v>1368</v>
      </c>
      <c r="B59" s="3323"/>
      <c r="C59" s="3323"/>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20">
        <f>J57+1</f>
        <v>6</v>
      </c>
      <c r="K59" s="3318" t="s">
        <v>1369</v>
      </c>
      <c r="L59" s="2297" t="s">
        <v>1365</v>
      </c>
      <c r="M59" s="2311"/>
      <c r="N59" s="2312" t="e">
        <f ca="1">M49-N57</f>
        <v>#VALUE!</v>
      </c>
      <c r="O59" s="2313"/>
    </row>
    <row r="60" spans="1:35" ht="12" customHeight="1">
      <c r="A60" s="1660"/>
      <c r="B60" s="642"/>
      <c r="C60" s="642"/>
      <c r="D60" s="642"/>
      <c r="E60" s="1455"/>
      <c r="F60" s="1659"/>
      <c r="G60" s="1659"/>
      <c r="H60" s="150"/>
      <c r="I60" s="120"/>
      <c r="J60" s="3321"/>
      <c r="K60" s="3318"/>
      <c r="L60" s="2304" t="s">
        <v>1367</v>
      </c>
      <c r="M60" s="2308"/>
      <c r="N60" s="2309" t="e">
        <f ca="1">NUMBERSTRING(INT(N59*10000),2)&amp;"元整"</f>
        <v>#VALUE!</v>
      </c>
      <c r="O60" s="2310"/>
    </row>
    <row r="61" spans="1:35" ht="13.5" thickBot="1">
      <c r="A61" s="3377" t="s">
        <v>1370</v>
      </c>
      <c r="B61" s="3377"/>
      <c r="C61" s="3377"/>
      <c r="D61" s="3377"/>
      <c r="E61" s="3377"/>
      <c r="F61" s="1659"/>
      <c r="G61" s="1659"/>
      <c r="H61" s="150"/>
      <c r="I61" s="120"/>
      <c r="J61" s="2297">
        <f>J59+1</f>
        <v>7</v>
      </c>
      <c r="K61" s="3318" t="s">
        <v>1371</v>
      </c>
      <c r="L61" s="3318"/>
      <c r="M61" s="2314"/>
      <c r="N61" s="2315" t="e">
        <f ca="1">ROUND(N59*10000/'数据-汇总表'!E3,0)</f>
        <v>#VALUE!</v>
      </c>
      <c r="O61" s="2316"/>
    </row>
    <row r="62" spans="1:35" ht="12.75">
      <c r="A62" s="3337" t="s">
        <v>1372</v>
      </c>
      <c r="B62" s="3338"/>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01"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01"/>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01"/>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01"/>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01"/>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5.6000000000000001E-2</v>
      </c>
      <c r="E68" s="169"/>
      <c r="F68" s="1659"/>
      <c r="G68" s="1659"/>
      <c r="H68" s="150"/>
      <c r="I68" s="120"/>
      <c r="J68" s="3301"/>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01"/>
      <c r="K69" s="1235" t="s">
        <v>1390</v>
      </c>
      <c r="L69" s="1235"/>
      <c r="M69" s="293" t="e">
        <f>ROUND(SUM(M63:M68),0)</f>
        <v>#VALUE!</v>
      </c>
      <c r="N69" s="2319" t="e">
        <f>M69/M49</f>
        <v>#VALUE!</v>
      </c>
      <c r="Z69" s="1612"/>
      <c r="AI69" s="1550"/>
    </row>
    <row r="70" spans="1:35" s="638" customFormat="1" ht="15" thickBot="1">
      <c r="A70" s="3345" t="s">
        <v>1391</v>
      </c>
      <c r="B70" s="3346"/>
      <c r="C70" s="3346"/>
      <c r="D70" s="3346"/>
      <c r="E70" s="3346"/>
      <c r="F70" s="3346"/>
      <c r="G70" s="3346"/>
      <c r="H70" s="3346"/>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37" t="s">
        <v>1372</v>
      </c>
      <c r="B71" s="3338"/>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42" t="s">
        <v>1399</v>
      </c>
      <c r="F76" s="3341"/>
      <c r="G76" s="3341"/>
      <c r="H76" s="334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6.000000000000001E-3</v>
      </c>
      <c r="E78" s="3334" t="s">
        <v>1403</v>
      </c>
      <c r="F78" s="3335"/>
      <c r="G78" s="3335"/>
      <c r="H78" s="3336"/>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328</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5" t="s">
        <v>1407</v>
      </c>
      <c r="B83" s="3346"/>
      <c r="C83" s="3346"/>
      <c r="D83" s="3346"/>
      <c r="E83" s="3346"/>
      <c r="F83" s="3346"/>
      <c r="G83" s="3346"/>
      <c r="H83" s="334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37" t="s">
        <v>1372</v>
      </c>
      <c r="B84" s="3338"/>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03" t="s">
        <v>2121</v>
      </c>
      <c r="H90" s="3304"/>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334" t="s">
        <v>1416</v>
      </c>
      <c r="F91" s="3335"/>
      <c r="G91" s="3335"/>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334" t="s">
        <v>1419</v>
      </c>
      <c r="F92" s="3335"/>
      <c r="G92" s="3335"/>
      <c r="H92" s="3336"/>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6.000000000000001E-3</v>
      </c>
      <c r="E93" s="3334" t="s">
        <v>1403</v>
      </c>
      <c r="F93" s="3335"/>
      <c r="G93" s="3335"/>
      <c r="H93" s="3336"/>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79" t="s">
        <v>1423</v>
      </c>
      <c r="F94" s="3380"/>
      <c r="G94" s="3380"/>
      <c r="H94" s="3381"/>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328</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3" t="s">
        <v>1425</v>
      </c>
      <c r="B100" s="3284"/>
      <c r="C100" s="3284"/>
      <c r="D100" s="3319"/>
      <c r="E100" s="3284" t="s">
        <v>1426</v>
      </c>
      <c r="F100" s="3284"/>
      <c r="G100" s="3284"/>
      <c r="H100" s="3319"/>
      <c r="I100" s="120"/>
    </row>
    <row r="101" spans="1:35" ht="18.75" customHeight="1">
      <c r="A101" s="3327" t="s">
        <v>1427</v>
      </c>
      <c r="B101" s="3328"/>
      <c r="C101" s="2358" t="str">
        <f>C4</f>
        <v>比较法-商业</v>
      </c>
      <c r="D101" s="2359" t="str">
        <f>D4</f>
        <v>收益法商</v>
      </c>
      <c r="E101" s="3297" t="s">
        <v>1428</v>
      </c>
      <c r="F101" s="3298"/>
      <c r="G101" s="1676" t="s">
        <v>1429</v>
      </c>
      <c r="H101" s="2368" t="e">
        <f ca="1">H118</f>
        <v>#REF!</v>
      </c>
      <c r="I101" s="120"/>
    </row>
    <row r="102" spans="1:35" ht="18.75" customHeight="1">
      <c r="A102" s="3329" t="s">
        <v>1430</v>
      </c>
      <c r="B102" s="2357" t="s">
        <v>1429</v>
      </c>
      <c r="C102" s="2358">
        <f ca="1">IF(D32="楼面单价",ROUND(C19,0),C19)</f>
        <v>404.35050000000001</v>
      </c>
      <c r="D102" s="2359">
        <f ca="1">IF(D32="楼面单价",ROUND(D19,0),D19)</f>
        <v>230.2466</v>
      </c>
      <c r="E102" s="3297"/>
      <c r="F102" s="3298"/>
      <c r="G102" s="1676" t="s">
        <v>1431</v>
      </c>
      <c r="H102" s="2328" t="e">
        <f ca="1">I118</f>
        <v>#REF!</v>
      </c>
      <c r="I102" s="120"/>
    </row>
    <row r="103" spans="1:35" ht="42.75" customHeight="1">
      <c r="A103" s="3329"/>
      <c r="B103" s="2357" t="s">
        <v>1431</v>
      </c>
      <c r="C103" s="2360">
        <f ca="1">C20</f>
        <v>30061</v>
      </c>
      <c r="D103" s="2361">
        <f ca="1">D20</f>
        <v>17117</v>
      </c>
      <c r="E103" s="3290" t="s">
        <v>1432</v>
      </c>
      <c r="F103" s="3291"/>
      <c r="G103" s="1677" t="s">
        <v>1433</v>
      </c>
      <c r="H103" s="2368">
        <f>IF(D36="正常操作",H104+H105+H106,H105+H106)</f>
        <v>0</v>
      </c>
      <c r="I103" s="120"/>
    </row>
    <row r="104" spans="1:35" ht="18.75" customHeight="1">
      <c r="A104" s="3329"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9"/>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0" t="str">
        <f>IF(项目基本情况!E8="已注销","——","3.房地产抵押价值")</f>
        <v>3.房地产抵押价值</v>
      </c>
      <c r="F107" s="3298"/>
      <c r="G107" s="1676" t="s">
        <v>1429</v>
      </c>
      <c r="H107" s="2368" t="e">
        <f ca="1">IF(E107="——","——",H101-H103)</f>
        <v>#REF!</v>
      </c>
      <c r="I107" s="120"/>
    </row>
    <row r="108" spans="1:35" ht="18.75" customHeight="1">
      <c r="A108" s="120"/>
      <c r="B108" s="120"/>
      <c r="C108" s="120"/>
      <c r="D108" s="120"/>
      <c r="E108" s="3330"/>
      <c r="F108" s="3298"/>
      <c r="G108" s="1676" t="s">
        <v>1431</v>
      </c>
      <c r="H108" s="2328">
        <f ca="1">IF(H107=H101,H102,ROUND(H107*10000/'数据-汇总表'!E3,0))</f>
        <v>0</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298"/>
      <c r="G109" s="1676" t="s">
        <v>1429</v>
      </c>
      <c r="H109" s="2371" t="str">
        <f>IF(E109="——","——",H101-H105-H106)</f>
        <v>——</v>
      </c>
      <c r="I109" s="120"/>
    </row>
    <row r="110" spans="1:35" ht="18.75" customHeight="1">
      <c r="A110" s="120"/>
      <c r="B110" s="120"/>
      <c r="C110" s="120"/>
      <c r="D110" s="120"/>
      <c r="E110" s="3330"/>
      <c r="F110" s="3298"/>
      <c r="G110" s="1676" t="s">
        <v>1431</v>
      </c>
      <c r="H110" s="2328" t="str">
        <f>IF(H109="——","——",ROUND(H109*10000/'数据-汇总表'!E3,0))</f>
        <v>——</v>
      </c>
      <c r="I110" s="120"/>
    </row>
    <row r="111" spans="1:35" ht="18.75" customHeight="1">
      <c r="A111" s="120"/>
      <c r="B111" s="120"/>
      <c r="C111" s="120"/>
      <c r="D111" s="120"/>
      <c r="E111" s="3331" t="str">
        <f>IF(项目基本情况!E9="抵押净值",IF(OR(项目基本情况!E8="已注销",项目基本情况!E8="房地产抵押价值"),"4.抵押净值","5.抵押净值"),"——")</f>
        <v>——</v>
      </c>
      <c r="F111" s="3317"/>
      <c r="G111" s="1676" t="s">
        <v>1429</v>
      </c>
      <c r="H111" s="2368" t="str">
        <f>IF(E111="——","——",N59)</f>
        <v>——</v>
      </c>
      <c r="I111" s="120"/>
    </row>
    <row r="112" spans="1:35" ht="18.75" customHeight="1" thickBot="1">
      <c r="A112" s="120"/>
      <c r="B112" s="120"/>
      <c r="C112" s="120"/>
      <c r="D112" s="120"/>
      <c r="E112" s="3332"/>
      <c r="F112" s="3333"/>
      <c r="G112" s="1679" t="s">
        <v>1431</v>
      </c>
      <c r="H112" s="2372" t="str">
        <f>IF(E111="——","——",N61)</f>
        <v>——</v>
      </c>
      <c r="I112" s="120"/>
    </row>
    <row r="113" spans="1:27" ht="18.75" customHeight="1">
      <c r="A113" s="120"/>
      <c r="B113" s="120"/>
      <c r="C113" s="120"/>
      <c r="D113" s="120"/>
      <c r="E113" s="3340" t="s">
        <v>1437</v>
      </c>
      <c r="F113" s="3340"/>
      <c r="G113" s="3340"/>
      <c r="H113" s="3340"/>
      <c r="I113" s="120"/>
    </row>
    <row r="114" spans="1:27" ht="3.75" customHeight="1">
      <c r="A114" s="642"/>
      <c r="B114" s="642"/>
      <c r="C114" s="642"/>
      <c r="D114" s="642"/>
      <c r="E114" s="1660"/>
      <c r="F114" s="1660"/>
      <c r="G114" s="1660"/>
      <c r="H114" s="1660"/>
      <c r="I114" s="642"/>
    </row>
    <row r="115" spans="1:27" ht="18.75" customHeight="1">
      <c r="A115" s="3348" t="s">
        <v>1439</v>
      </c>
      <c r="B115" s="3349"/>
      <c r="C115" s="3349"/>
      <c r="D115" s="3349"/>
      <c r="E115" s="3349"/>
      <c r="F115" s="3349"/>
      <c r="G115" s="3349"/>
      <c r="H115" s="3349"/>
      <c r="I115" s="3350"/>
    </row>
    <row r="116" spans="1:27" ht="27" customHeight="1">
      <c r="A116" s="3305" t="s">
        <v>1440</v>
      </c>
      <c r="B116" s="3309" t="s">
        <v>1441</v>
      </c>
      <c r="C116" s="3309" t="s">
        <v>1442</v>
      </c>
      <c r="D116" s="3315" t="s">
        <v>1443</v>
      </c>
      <c r="E116" s="3316"/>
      <c r="F116" s="3347" t="s">
        <v>1444</v>
      </c>
      <c r="G116" s="3347"/>
      <c r="H116" s="3305" t="s">
        <v>1445</v>
      </c>
      <c r="I116" s="3305"/>
    </row>
    <row r="117" spans="1:27" ht="18.75" customHeight="1">
      <c r="A117" s="3305"/>
      <c r="B117" s="3310"/>
      <c r="C117" s="3310"/>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5" t="s">
        <v>1449</v>
      </c>
      <c r="B119" s="3305"/>
      <c r="C119" s="3305"/>
      <c r="D119" s="3311" t="e">
        <f ca="1">NUMBERSTRING(INT(D118*10000),2)&amp;"元整"</f>
        <v>#REF!</v>
      </c>
      <c r="E119" s="3312"/>
      <c r="F119" s="3311" t="e">
        <f ca="1">NUMBERSTRING(INT(F118*10000),2)&amp;"元整"</f>
        <v>#REF!</v>
      </c>
      <c r="G119" s="3312"/>
      <c r="H119" s="3311" t="e">
        <f ca="1">NUMBERSTRING(INT(H118*10000),2)&amp;"元整"</f>
        <v>#REF!</v>
      </c>
      <c r="I119" s="3312"/>
    </row>
    <row r="120" spans="1:27" ht="18.75" customHeight="1">
      <c r="A120" s="3306" t="str">
        <f>IF(项目基本情况!B9="房地产市场价值","",MID(E103,3,LEN(E103)-2))</f>
        <v/>
      </c>
      <c r="B120" s="3307"/>
      <c r="C120" s="3308"/>
      <c r="D120" s="3306">
        <f>H103</f>
        <v>0</v>
      </c>
      <c r="E120" s="3307"/>
      <c r="F120" s="3307"/>
      <c r="G120" s="3307"/>
      <c r="H120" s="3307"/>
      <c r="I120" s="3308"/>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11" t="s">
        <v>1449</v>
      </c>
      <c r="B121" s="3313"/>
      <c r="C121" s="3312"/>
      <c r="D121" s="3311" t="str">
        <f>IF(D120=0,"零元整",NUMBERSTRING(INT(D120*10000),2)&amp;"元整")</f>
        <v>零元整</v>
      </c>
      <c r="E121" s="3313"/>
      <c r="F121" s="3313"/>
      <c r="G121" s="3313"/>
      <c r="H121" s="3313"/>
      <c r="I121" s="3312"/>
      <c r="AA121" s="680"/>
    </row>
    <row r="122" spans="1:27" ht="18.75" customHeight="1">
      <c r="A122" s="3317" t="str">
        <f>IF(项目基本情况!B9="房地产市场价值","",MID(E107,3,LEN(E107)-2))</f>
        <v/>
      </c>
      <c r="B122" s="3317"/>
      <c r="C122" s="3317"/>
      <c r="D122" s="3306" t="e">
        <f ca="1">H107</f>
        <v>#REF!</v>
      </c>
      <c r="E122" s="3307"/>
      <c r="F122" s="3307"/>
      <c r="G122" s="3307"/>
      <c r="H122" s="3307"/>
      <c r="I122" s="3308"/>
      <c r="AA122" s="680"/>
    </row>
    <row r="123" spans="1:27" ht="18.75" customHeight="1">
      <c r="A123" s="3305" t="s">
        <v>1449</v>
      </c>
      <c r="B123" s="3305"/>
      <c r="C123" s="3305"/>
      <c r="D123" s="3311" t="e">
        <f ca="1">NUMBERSTRING(INT(D122*10000),2)&amp;"元整"</f>
        <v>#REF!</v>
      </c>
      <c r="E123" s="3313"/>
      <c r="F123" s="3313"/>
      <c r="G123" s="3313"/>
      <c r="H123" s="3313"/>
      <c r="I123" s="3312"/>
      <c r="AA123" s="680"/>
    </row>
    <row r="124" spans="1:27" ht="18.75" customHeight="1">
      <c r="A124" s="3317" t="str">
        <f>IF(项目基本情况!B9="房地产市场价值","",MID(E109,3,LEN(E109)-2))</f>
        <v/>
      </c>
      <c r="B124" s="3317"/>
      <c r="C124" s="3317"/>
      <c r="D124" s="3306" t="str">
        <f>H109</f>
        <v>——</v>
      </c>
      <c r="E124" s="3307"/>
      <c r="F124" s="3307"/>
      <c r="G124" s="3307"/>
      <c r="H124" s="3307"/>
      <c r="I124" s="3308"/>
      <c r="AA124" s="680"/>
    </row>
    <row r="125" spans="1:27" ht="18.75" customHeight="1">
      <c r="A125" s="3305" t="s">
        <v>1449</v>
      </c>
      <c r="B125" s="3305"/>
      <c r="C125" s="3305"/>
      <c r="D125" s="3311" t="e">
        <f>NUMBERSTRING(INT(D124*10000),2)&amp;"元整"</f>
        <v>#VALUE!</v>
      </c>
      <c r="E125" s="3313"/>
      <c r="F125" s="3313"/>
      <c r="G125" s="3313"/>
      <c r="H125" s="3313"/>
      <c r="I125" s="3312"/>
      <c r="AA125" s="680"/>
    </row>
    <row r="126" spans="1:27" ht="18.75" customHeight="1">
      <c r="A126" s="3317" t="str">
        <f>IF(项目基本情况!B9="房地产市场价值","",MID(E111,3,LEN(E111)-2))</f>
        <v/>
      </c>
      <c r="B126" s="3317"/>
      <c r="C126" s="3317"/>
      <c r="D126" s="3306" t="str">
        <f>H111</f>
        <v>——</v>
      </c>
      <c r="E126" s="3307"/>
      <c r="F126" s="3307"/>
      <c r="G126" s="3307"/>
      <c r="H126" s="3307"/>
      <c r="I126" s="3308"/>
      <c r="AA126" s="680"/>
    </row>
    <row r="127" spans="1:27" ht="18.75" customHeight="1">
      <c r="A127" s="3305" t="s">
        <v>1449</v>
      </c>
      <c r="B127" s="3305"/>
      <c r="C127" s="3305"/>
      <c r="D127" s="3311" t="e">
        <f>NUMBERSTRING(INT(D126*10000),2)&amp;"元整"</f>
        <v>#VALUE!</v>
      </c>
      <c r="E127" s="3313"/>
      <c r="F127" s="3313"/>
      <c r="G127" s="3313"/>
      <c r="H127" s="3313"/>
      <c r="I127" s="3312"/>
      <c r="AA127" s="680"/>
    </row>
    <row r="128" spans="1:27" ht="21.75" customHeight="1">
      <c r="A128" s="3314" t="s">
        <v>1450</v>
      </c>
      <c r="B128" s="3314"/>
      <c r="C128" s="3314"/>
      <c r="D128" s="3314"/>
      <c r="E128" s="3314"/>
      <c r="F128" s="3314"/>
      <c r="G128" s="3314"/>
      <c r="H128" s="3314"/>
      <c r="I128" s="3314"/>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D7">
    <cfRule type="cellIs" dxfId="116" priority="6" stopIfTrue="1" operator="equal">
      <formula>25</formula>
    </cfRule>
  </conditionalFormatting>
  <conditionalFormatting sqref="C8:D13">
    <cfRule type="cellIs" dxfId="115" priority="5" stopIfTrue="1" operator="equal">
      <formula>15</formula>
    </cfRule>
  </conditionalFormatting>
  <conditionalFormatting sqref="C14:D16">
    <cfRule type="cellIs" dxfId="114" priority="4" stopIfTrue="1" operator="equal">
      <formula>30</formula>
    </cfRule>
  </conditionalFormatting>
  <conditionalFormatting sqref="E36">
    <cfRule type="expression" dxfId="113"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28" zoomScale="85" zoomScaleNormal="70" zoomScaleSheetLayoutView="85" workbookViewId="0">
      <selection activeCell="G32" sqref="G3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4026</v>
      </c>
      <c r="F1" s="1724" t="s">
        <v>4027</v>
      </c>
      <c r="G1" s="1142" t="s">
        <v>1764</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1459</v>
      </c>
      <c r="B2" s="1075">
        <f>IF(E1="项目模式",IF(C2="——",ROUND(C49*D3/10000,0),ROUND(C49*D3/10000,0)-D2),IF(E1="单套模式",IF(C2="——",ROUND(C49*D3/10000,4),ROUND(C49*D3/10000,4)-D2)))</f>
        <v>404.35050000000001</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1461</v>
      </c>
      <c r="B3" s="535">
        <f>IF(C2="——",C49,ROUND(B2*10000/D3,0))</f>
        <v>30061</v>
      </c>
      <c r="C3" s="343" t="s">
        <v>1765</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419" t="s">
        <v>1769</v>
      </c>
      <c r="AC4" s="3464" t="s">
        <v>1770</v>
      </c>
    </row>
    <row r="5" spans="1:29" ht="15">
      <c r="A5" s="347"/>
      <c r="B5" s="348"/>
      <c r="C5" s="3395" t="s">
        <v>1670</v>
      </c>
      <c r="D5" s="3396"/>
      <c r="E5" s="3467" t="s">
        <v>4049</v>
      </c>
      <c r="F5" s="3394"/>
      <c r="G5" s="3395" t="s">
        <v>4049</v>
      </c>
      <c r="H5" s="3396"/>
      <c r="I5" s="3395" t="s">
        <v>4050</v>
      </c>
      <c r="J5" s="3396"/>
      <c r="K5" s="536"/>
      <c r="L5" s="2474"/>
      <c r="M5" s="2475"/>
      <c r="N5" s="2475"/>
      <c r="O5" s="2475"/>
      <c r="P5" s="3470"/>
      <c r="Q5" s="3413"/>
      <c r="R5" s="3391"/>
      <c r="S5" s="3392"/>
      <c r="T5" s="3391"/>
      <c r="U5" s="3392"/>
      <c r="V5" s="3419"/>
      <c r="W5" s="3419"/>
      <c r="X5" s="1254"/>
      <c r="Y5" s="3391"/>
      <c r="Z5" s="3392"/>
      <c r="AA5" s="3385"/>
      <c r="AB5" s="3419"/>
      <c r="AC5" s="3385"/>
    </row>
    <row r="6" spans="1:29" ht="15.75" thickBot="1">
      <c r="A6" s="349"/>
      <c r="B6" s="350"/>
      <c r="C6" s="3397" t="s">
        <v>1674</v>
      </c>
      <c r="D6" s="3398"/>
      <c r="E6" s="3400" t="s">
        <v>4051</v>
      </c>
      <c r="F6" s="3401"/>
      <c r="G6" s="3397" t="s">
        <v>4051</v>
      </c>
      <c r="H6" s="3398"/>
      <c r="I6" s="3397" t="s">
        <v>4051</v>
      </c>
      <c r="J6" s="3398"/>
      <c r="K6" s="536" t="s">
        <v>1675</v>
      </c>
      <c r="L6" s="2474"/>
      <c r="M6" s="2475"/>
      <c r="N6" s="2475"/>
      <c r="O6" s="2475"/>
      <c r="P6" s="3471"/>
      <c r="Q6" s="3415"/>
      <c r="R6" s="3391"/>
      <c r="S6" s="3392"/>
      <c r="T6" s="3416"/>
      <c r="U6" s="3417"/>
      <c r="V6" s="3419"/>
      <c r="W6" s="3419"/>
      <c r="X6" s="1254"/>
      <c r="Y6" s="3416"/>
      <c r="Z6" s="3417"/>
      <c r="AA6" s="3386"/>
      <c r="AB6" s="3419"/>
      <c r="AC6" s="3386"/>
    </row>
    <row r="7" spans="1:29" s="102" customFormat="1" ht="15.75" thickBot="1">
      <c r="A7" s="351" t="s">
        <v>1676</v>
      </c>
      <c r="B7" s="352"/>
      <c r="C7" s="353">
        <f>'数据-取费表'!B2</f>
        <v>45596</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387"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50">
        <f>D7/J7</f>
        <v>1</v>
      </c>
    </row>
    <row r="8" spans="1:29" s="102" customFormat="1" ht="15.75" thickBot="1">
      <c r="A8" s="351" t="s">
        <v>1678</v>
      </c>
      <c r="B8" s="352"/>
      <c r="C8" s="357" t="s">
        <v>4010</v>
      </c>
      <c r="D8" s="354">
        <v>100</v>
      </c>
      <c r="E8" s="357" t="s">
        <v>4028</v>
      </c>
      <c r="F8" s="356">
        <f>SUMIF(61:61,E8,62:62)-SUMIF(61:61,C8,62:62)+100</f>
        <v>102</v>
      </c>
      <c r="G8" s="357" t="s">
        <v>4028</v>
      </c>
      <c r="H8" s="354">
        <f>SUMIF(61:61,G8,62:62)-SUMIF(61:61,C8,62:62)+100</f>
        <v>102</v>
      </c>
      <c r="I8" s="357" t="s">
        <v>4028</v>
      </c>
      <c r="J8" s="354">
        <f>SUMIF(61:61,I8,62:62)-SUMIF(61:61,C8,62:62)+100</f>
        <v>102</v>
      </c>
      <c r="K8" s="38"/>
      <c r="L8" s="2476"/>
      <c r="M8" s="2427"/>
      <c r="N8" s="2427"/>
      <c r="O8" s="2427"/>
      <c r="P8" s="3387" t="s">
        <v>1680</v>
      </c>
      <c r="Q8" s="3388"/>
      <c r="R8" s="660" t="s">
        <v>14</v>
      </c>
      <c r="S8" s="661">
        <f t="shared" si="0"/>
        <v>102</v>
      </c>
      <c r="T8" s="660" t="s">
        <v>14</v>
      </c>
      <c r="U8" s="661">
        <f t="shared" si="1"/>
        <v>102</v>
      </c>
      <c r="V8" s="660" t="s">
        <v>14</v>
      </c>
      <c r="W8" s="661">
        <f t="shared" si="2"/>
        <v>102</v>
      </c>
      <c r="X8" s="662"/>
      <c r="Y8" s="3387" t="s">
        <v>1680</v>
      </c>
      <c r="Z8" s="3388"/>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4" t="s">
        <v>4057</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t="s">
        <v>4058</v>
      </c>
      <c r="D10" s="118">
        <v>100</v>
      </c>
      <c r="E10" s="3120" t="s">
        <v>4030</v>
      </c>
      <c r="F10" s="363">
        <f>SUMIF(65:65,E10,66:66)-SUMIF(65:65,C10,66:66)+100</f>
        <v>100</v>
      </c>
      <c r="G10" s="3119" t="s">
        <v>4030</v>
      </c>
      <c r="H10" s="118">
        <f>SUMIF(65:65,G10,66:66)-SUMIF(65:65,C10,66:66)+100</f>
        <v>100</v>
      </c>
      <c r="I10" s="3119" t="s">
        <v>4030</v>
      </c>
      <c r="J10" s="118">
        <f>SUMIF(65:65,I10,66:66)-SUMIF(65:65,C10,66:66)+100</f>
        <v>100</v>
      </c>
      <c r="K10" s="38"/>
      <c r="L10" s="2477"/>
      <c r="M10" s="2478"/>
      <c r="N10" s="2478"/>
      <c r="O10" s="2478"/>
      <c r="P10" s="3402"/>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102</v>
      </c>
      <c r="K15" s="539">
        <v>2</v>
      </c>
      <c r="L15" s="2480"/>
      <c r="M15" s="2475"/>
      <c r="N15" s="2475"/>
      <c r="O15" s="2475"/>
      <c r="P15" s="3422" t="s">
        <v>1688</v>
      </c>
      <c r="Q15" s="1252" t="str">
        <f t="shared" si="6"/>
        <v>商业繁华度</v>
      </c>
      <c r="R15" s="663" t="s">
        <v>14</v>
      </c>
      <c r="S15" s="664">
        <f t="shared" si="0"/>
        <v>102</v>
      </c>
      <c r="T15" s="663" t="s">
        <v>14</v>
      </c>
      <c r="U15" s="664">
        <f t="shared" si="1"/>
        <v>102</v>
      </c>
      <c r="V15" s="663" t="s">
        <v>14</v>
      </c>
      <c r="W15" s="664">
        <f t="shared" si="2"/>
        <v>102</v>
      </c>
      <c r="X15" s="1254"/>
      <c r="Y15" s="3424" t="s">
        <v>1688</v>
      </c>
      <c r="Z15" s="1253" t="str">
        <f t="shared" si="7"/>
        <v>商业繁华度</v>
      </c>
      <c r="AA15" s="1253">
        <f t="shared" si="3"/>
        <v>0.98039215686274506</v>
      </c>
      <c r="AB15" s="1253">
        <f t="shared" si="4"/>
        <v>0.98039215686274506</v>
      </c>
      <c r="AC15" s="1253">
        <f t="shared" si="5"/>
        <v>0.98039215686274506</v>
      </c>
    </row>
    <row r="16" spans="1:29" ht="15">
      <c r="A16" s="366"/>
      <c r="B16" s="384"/>
      <c r="C16" s="385" t="s">
        <v>4005</v>
      </c>
      <c r="D16" s="386"/>
      <c r="E16" s="385" t="s">
        <v>4024</v>
      </c>
      <c r="F16" s="387"/>
      <c r="G16" s="385" t="s">
        <v>4024</v>
      </c>
      <c r="H16" s="388"/>
      <c r="I16" s="385" t="s">
        <v>4024</v>
      </c>
      <c r="J16" s="386"/>
      <c r="K16" s="540"/>
      <c r="L16" s="2480"/>
      <c r="M16" s="2475"/>
      <c r="N16" s="2475"/>
      <c r="O16" s="2475"/>
      <c r="P16" s="3423"/>
      <c r="Q16" s="1252"/>
      <c r="R16" s="663"/>
      <c r="S16" s="664"/>
      <c r="T16" s="663"/>
      <c r="U16" s="664"/>
      <c r="V16" s="663"/>
      <c r="W16" s="664"/>
      <c r="X16" s="1254"/>
      <c r="Y16" s="3425"/>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104</v>
      </c>
      <c r="K17" s="539">
        <v>2</v>
      </c>
      <c r="L17" s="2480"/>
      <c r="M17" s="2475"/>
      <c r="N17" s="2475"/>
      <c r="O17" s="2475"/>
      <c r="P17" s="3423"/>
      <c r="Q17" s="1252" t="str">
        <f>B17</f>
        <v>交通便捷度</v>
      </c>
      <c r="R17" s="663" t="s">
        <v>14</v>
      </c>
      <c r="S17" s="664">
        <f>F17</f>
        <v>102</v>
      </c>
      <c r="T17" s="663" t="s">
        <v>14</v>
      </c>
      <c r="U17" s="664">
        <f>H17</f>
        <v>102</v>
      </c>
      <c r="V17" s="663" t="s">
        <v>14</v>
      </c>
      <c r="W17" s="664">
        <f>J17</f>
        <v>104</v>
      </c>
      <c r="X17" s="1254"/>
      <c r="Y17" s="3425"/>
      <c r="Z17" s="1253" t="str">
        <f>Q17</f>
        <v>交通便捷度</v>
      </c>
      <c r="AA17" s="1253">
        <f t="shared" si="3"/>
        <v>0.98039215686274506</v>
      </c>
      <c r="AB17" s="1253">
        <f t="shared" si="4"/>
        <v>0.98039215686274506</v>
      </c>
      <c r="AC17" s="1253">
        <f t="shared" si="5"/>
        <v>0.96153846153846156</v>
      </c>
    </row>
    <row r="18" spans="1:29" ht="15">
      <c r="A18" s="366"/>
      <c r="B18" s="394"/>
      <c r="C18" s="385" t="s">
        <v>4005</v>
      </c>
      <c r="D18" s="388"/>
      <c r="E18" s="1746" t="s">
        <v>4024</v>
      </c>
      <c r="F18" s="391"/>
      <c r="G18" s="1745" t="s">
        <v>4024</v>
      </c>
      <c r="H18" s="386"/>
      <c r="I18" s="1746" t="s">
        <v>4056</v>
      </c>
      <c r="J18" s="386"/>
      <c r="K18" s="540"/>
      <c r="L18" s="2480"/>
      <c r="M18" s="2475"/>
      <c r="N18" s="2475"/>
      <c r="O18" s="2475"/>
      <c r="P18" s="3423"/>
      <c r="Q18" s="1252"/>
      <c r="R18" s="663"/>
      <c r="S18" s="664"/>
      <c r="T18" s="663"/>
      <c r="U18" s="664"/>
      <c r="V18" s="663"/>
      <c r="W18" s="664"/>
      <c r="X18" s="1254"/>
      <c r="Y18" s="3425"/>
      <c r="Z18" s="1253"/>
      <c r="AA18" s="1253">
        <v>1</v>
      </c>
      <c r="AB18" s="1253">
        <v>1</v>
      </c>
      <c r="AC18" s="1253">
        <v>1</v>
      </c>
    </row>
    <row r="19" spans="1:29" ht="15">
      <c r="A19" s="366"/>
      <c r="B19" s="389" t="s">
        <v>1775</v>
      </c>
      <c r="C19" s="174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253">
        <f t="shared" si="5"/>
        <v>1</v>
      </c>
    </row>
    <row r="20" spans="1:29" ht="15">
      <c r="A20" s="366"/>
      <c r="B20" s="394"/>
      <c r="C20" s="385" t="s">
        <v>4024</v>
      </c>
      <c r="D20" s="386"/>
      <c r="E20" s="1741" t="s">
        <v>4024</v>
      </c>
      <c r="F20" s="387"/>
      <c r="G20" s="1740" t="s">
        <v>4024</v>
      </c>
      <c r="H20" s="386"/>
      <c r="I20" s="1741" t="s">
        <v>4024</v>
      </c>
      <c r="J20" s="386"/>
      <c r="K20" s="540"/>
      <c r="L20" s="2480"/>
      <c r="M20" s="2475"/>
      <c r="N20" s="2475"/>
      <c r="O20" s="2475"/>
      <c r="P20" s="3423"/>
      <c r="Q20" s="1252"/>
      <c r="R20" s="663"/>
      <c r="S20" s="664"/>
      <c r="T20" s="663"/>
      <c r="U20" s="664"/>
      <c r="V20" s="663"/>
      <c r="W20" s="664"/>
      <c r="X20" s="1254"/>
      <c r="Y20" s="3425"/>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385" t="s">
        <v>4007</v>
      </c>
      <c r="D22" s="386"/>
      <c r="E22" s="385" t="s">
        <v>4007</v>
      </c>
      <c r="F22" s="387"/>
      <c r="G22" s="385" t="s">
        <v>4007</v>
      </c>
      <c r="H22" s="386"/>
      <c r="I22" s="385" t="s">
        <v>4007</v>
      </c>
      <c r="J22" s="386"/>
      <c r="K22" s="1054"/>
      <c r="L22" s="2480"/>
      <c r="M22" s="2475"/>
      <c r="N22" s="2475"/>
      <c r="O22" s="2475"/>
      <c r="P22" s="3423"/>
      <c r="Q22" s="1252"/>
      <c r="R22" s="663"/>
      <c r="S22" s="664"/>
      <c r="T22" s="663"/>
      <c r="U22" s="664"/>
      <c r="V22" s="663"/>
      <c r="W22" s="664"/>
      <c r="X22" s="1254"/>
      <c r="Y22" s="3425"/>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102</v>
      </c>
      <c r="K23" s="539">
        <v>2</v>
      </c>
      <c r="L23" s="2480"/>
      <c r="M23" s="2475"/>
      <c r="N23" s="2475"/>
      <c r="O23" s="2475"/>
      <c r="P23" s="3423"/>
      <c r="Q23" s="1252" t="str">
        <f>B23</f>
        <v>自然及人文环境</v>
      </c>
      <c r="R23" s="663" t="s">
        <v>14</v>
      </c>
      <c r="S23" s="664">
        <f>F23</f>
        <v>102</v>
      </c>
      <c r="T23" s="663" t="s">
        <v>14</v>
      </c>
      <c r="U23" s="664">
        <f>H23</f>
        <v>102</v>
      </c>
      <c r="V23" s="663" t="s">
        <v>14</v>
      </c>
      <c r="W23" s="664">
        <f>J23</f>
        <v>102</v>
      </c>
      <c r="X23" s="1254"/>
      <c r="Y23" s="3425"/>
      <c r="Z23" s="1253" t="str">
        <f>Q23</f>
        <v>自然及人文环境</v>
      </c>
      <c r="AA23" s="1253">
        <f t="shared" si="3"/>
        <v>0.98039215686274506</v>
      </c>
      <c r="AB23" s="1253">
        <f t="shared" si="4"/>
        <v>0.98039215686274506</v>
      </c>
      <c r="AC23" s="1253">
        <f t="shared" si="5"/>
        <v>0.98039215686274506</v>
      </c>
    </row>
    <row r="24" spans="1:29" ht="15">
      <c r="A24" s="366"/>
      <c r="B24" s="394"/>
      <c r="C24" s="385" t="s">
        <v>4005</v>
      </c>
      <c r="D24" s="386"/>
      <c r="E24" s="1741" t="s">
        <v>4024</v>
      </c>
      <c r="F24" s="387"/>
      <c r="G24" s="1740" t="s">
        <v>4024</v>
      </c>
      <c r="H24" s="386"/>
      <c r="I24" s="1741" t="s">
        <v>4024</v>
      </c>
      <c r="J24" s="386"/>
      <c r="K24" s="540"/>
      <c r="L24" s="2480"/>
      <c r="M24" s="2475"/>
      <c r="N24" s="2475"/>
      <c r="O24" s="2475"/>
      <c r="P24" s="3423"/>
      <c r="Q24" s="1252"/>
      <c r="R24" s="663"/>
      <c r="S24" s="664"/>
      <c r="T24" s="663"/>
      <c r="U24" s="664"/>
      <c r="V24" s="663"/>
      <c r="W24" s="664"/>
      <c r="X24" s="1254"/>
      <c r="Y24" s="3425"/>
      <c r="Z24" s="1253"/>
      <c r="AA24" s="1253">
        <v>1</v>
      </c>
      <c r="AB24" s="1253">
        <v>1</v>
      </c>
      <c r="AC24" s="1253">
        <v>1</v>
      </c>
    </row>
    <row r="25" spans="1:29" ht="15">
      <c r="A25" s="366"/>
      <c r="B25" s="363" t="s">
        <v>1777</v>
      </c>
      <c r="C25" s="541" t="s">
        <v>4052</v>
      </c>
      <c r="D25" s="373">
        <v>100</v>
      </c>
      <c r="E25" s="541" t="s">
        <v>4052</v>
      </c>
      <c r="F25" s="399">
        <f>SUMIF(86:86,E25,87:87)-SUMIF(86:86,C25,87:87)+100</f>
        <v>100</v>
      </c>
      <c r="G25" s="541" t="s">
        <v>4052</v>
      </c>
      <c r="H25" s="373">
        <f>SUMIF(86:86,G25,87:87)-SUMIF(86:86,C25,87:87)+100</f>
        <v>100</v>
      </c>
      <c r="I25" s="541" t="s">
        <v>4052</v>
      </c>
      <c r="J25" s="373">
        <f>SUMIF(86:86,I25,87:87)-SUMIF(86:86,C25,87:87)+100</f>
        <v>100</v>
      </c>
      <c r="K25" s="537">
        <v>3</v>
      </c>
      <c r="L25" s="2480"/>
      <c r="M25" s="2475"/>
      <c r="N25" s="2475"/>
      <c r="O25" s="2475"/>
      <c r="P25" s="3423"/>
      <c r="Q25" s="1252" t="str">
        <f t="shared" ref="Q25:Q46" si="11">B25</f>
        <v>临街状况</v>
      </c>
      <c r="R25" s="663" t="s">
        <v>14</v>
      </c>
      <c r="S25" s="664">
        <f>F25</f>
        <v>100</v>
      </c>
      <c r="T25" s="663" t="s">
        <v>14</v>
      </c>
      <c r="U25" s="664">
        <f>H25</f>
        <v>100</v>
      </c>
      <c r="V25" s="663" t="s">
        <v>14</v>
      </c>
      <c r="W25" s="664">
        <f>J25</f>
        <v>100</v>
      </c>
      <c r="X25" s="1254"/>
      <c r="Y25" s="3425"/>
      <c r="Z25" s="1253" t="str">
        <f>Q25</f>
        <v>临街状况</v>
      </c>
      <c r="AA25" s="1253">
        <f t="shared" si="3"/>
        <v>1</v>
      </c>
      <c r="AB25" s="1253">
        <f t="shared" si="4"/>
        <v>1</v>
      </c>
      <c r="AC25" s="1253">
        <f t="shared" si="5"/>
        <v>1</v>
      </c>
    </row>
    <row r="26" spans="1:29" ht="15">
      <c r="A26" s="366"/>
      <c r="B26" s="1056" t="s">
        <v>1778</v>
      </c>
      <c r="C26" s="372" t="s">
        <v>4024</v>
      </c>
      <c r="D26" s="373">
        <v>100</v>
      </c>
      <c r="E26" s="372" t="s">
        <v>4024</v>
      </c>
      <c r="F26" s="399">
        <f>SUMIF(88:88,E26,89:89)-SUMIF(88:88,C26,89:89)+100</f>
        <v>100</v>
      </c>
      <c r="G26" s="372" t="s">
        <v>4005</v>
      </c>
      <c r="H26" s="373">
        <f>SUMIF(88:88,G26,89:89)-SUMIF(88:88,C26,89:89)+100</f>
        <v>98</v>
      </c>
      <c r="I26" s="372" t="s">
        <v>4024</v>
      </c>
      <c r="J26" s="373">
        <f>SUMIF(88:88,I26,89:89)-SUMIF(88:88,C26,89:89)+100</f>
        <v>100</v>
      </c>
      <c r="K26" s="538"/>
      <c r="L26" s="2480"/>
      <c r="M26" s="2475"/>
      <c r="N26" s="2475"/>
      <c r="O26" s="2475"/>
      <c r="P26" s="3423"/>
      <c r="Q26" s="1252" t="str">
        <f t="shared" si="11"/>
        <v>平面位置/可视性</v>
      </c>
      <c r="R26" s="663" t="s">
        <v>14</v>
      </c>
      <c r="S26" s="664">
        <f>F26</f>
        <v>100</v>
      </c>
      <c r="T26" s="663" t="s">
        <v>14</v>
      </c>
      <c r="U26" s="664">
        <f>H26</f>
        <v>98</v>
      </c>
      <c r="V26" s="663" t="s">
        <v>14</v>
      </c>
      <c r="W26" s="664">
        <f>J26</f>
        <v>100</v>
      </c>
      <c r="X26" s="1254"/>
      <c r="Y26" s="3425"/>
      <c r="Z26" s="1253" t="str">
        <f>Q26</f>
        <v>平面位置/可视性</v>
      </c>
      <c r="AA26" s="1253">
        <f t="shared" si="3"/>
        <v>1</v>
      </c>
      <c r="AB26" s="1253">
        <f t="shared" si="4"/>
        <v>1.0204081632653061</v>
      </c>
      <c r="AC26" s="1253">
        <f t="shared" si="5"/>
        <v>1</v>
      </c>
    </row>
    <row r="27" spans="1:29" s="102" customFormat="1" ht="15">
      <c r="A27" s="369"/>
      <c r="B27" s="389" t="s">
        <v>1779</v>
      </c>
      <c r="C27" s="1796" t="s">
        <v>4005</v>
      </c>
      <c r="D27" s="400">
        <v>100</v>
      </c>
      <c r="E27" s="1796" t="s">
        <v>4024</v>
      </c>
      <c r="F27" s="394">
        <f>SUMIF(90:90,E27,91:91)-SUMIF(90:90,C27,91:91)+100</f>
        <v>102</v>
      </c>
      <c r="G27" s="1796" t="s">
        <v>4005</v>
      </c>
      <c r="H27" s="400">
        <f>SUMIF(90:90,G27,91:91)-SUMIF(90:90,C27,91:91)+100</f>
        <v>100</v>
      </c>
      <c r="I27" s="1796" t="s">
        <v>4024</v>
      </c>
      <c r="J27" s="400">
        <f>SUMIF(90:90,I27,91:91)-SUMIF(90:90,C27,91:91)+100</f>
        <v>102</v>
      </c>
      <c r="K27" s="537">
        <v>2</v>
      </c>
      <c r="L27" s="2476"/>
      <c r="M27" s="2427"/>
      <c r="N27" s="2427"/>
      <c r="O27" s="2427"/>
      <c r="P27" s="3423"/>
      <c r="Q27" s="529" t="str">
        <f t="shared" si="11"/>
        <v>人流量</v>
      </c>
      <c r="R27" s="660" t="s">
        <v>14</v>
      </c>
      <c r="S27" s="661">
        <f>F27</f>
        <v>102</v>
      </c>
      <c r="T27" s="660" t="s">
        <v>14</v>
      </c>
      <c r="U27" s="661">
        <f>H27</f>
        <v>100</v>
      </c>
      <c r="V27" s="660" t="s">
        <v>14</v>
      </c>
      <c r="W27" s="661">
        <f>J27</f>
        <v>102</v>
      </c>
      <c r="X27" s="662"/>
      <c r="Y27" s="3425"/>
      <c r="Z27" s="50" t="str">
        <f>Q27</f>
        <v>人流量</v>
      </c>
      <c r="AA27" s="1253">
        <f>D27/F27</f>
        <v>0.98039215686274506</v>
      </c>
      <c r="AB27" s="1253">
        <f>D27/H27</f>
        <v>1</v>
      </c>
      <c r="AC27" s="1253">
        <f>D27/J27</f>
        <v>0.98039215686274506</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423"/>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425"/>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423"/>
      <c r="Q29" s="1252">
        <f t="shared" si="11"/>
        <v>111</v>
      </c>
      <c r="R29" s="663" t="s">
        <v>14</v>
      </c>
      <c r="S29" s="664">
        <f t="shared" si="12"/>
        <v>100</v>
      </c>
      <c r="T29" s="663" t="s">
        <v>14</v>
      </c>
      <c r="U29" s="664">
        <f t="shared" si="13"/>
        <v>100</v>
      </c>
      <c r="V29" s="663" t="s">
        <v>14</v>
      </c>
      <c r="W29" s="664">
        <f t="shared" si="14"/>
        <v>100</v>
      </c>
      <c r="X29" s="1254"/>
      <c r="Y29" s="3425"/>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253">
        <f t="shared" si="5"/>
        <v>1</v>
      </c>
    </row>
    <row r="32" spans="1:29" ht="15">
      <c r="A32" s="378" t="s">
        <v>1691</v>
      </c>
      <c r="B32" s="60" t="s">
        <v>1781</v>
      </c>
      <c r="C32" s="1753" t="s">
        <v>4059</v>
      </c>
      <c r="D32" s="404">
        <v>100</v>
      </c>
      <c r="E32" s="1753" t="s">
        <v>4069</v>
      </c>
      <c r="F32" s="399">
        <f>SUMIF(100:100,E32,101:101)-SUMIF(100:100,C32,101:101)+100</f>
        <v>97</v>
      </c>
      <c r="G32" s="1753" t="s">
        <v>4069</v>
      </c>
      <c r="H32" s="373">
        <f>SUMIF(100:100,G32,101:101)-SUMIF(100:100,C32,101:101)+100</f>
        <v>97</v>
      </c>
      <c r="I32" s="1753" t="s">
        <v>4053</v>
      </c>
      <c r="J32" s="404">
        <f>SUMIF(100:100,I32,101:101)-SUMIF(100:100,C32,101:101)+100</f>
        <v>103</v>
      </c>
      <c r="K32" s="537">
        <v>3</v>
      </c>
      <c r="L32" s="2480"/>
      <c r="M32" s="2475"/>
      <c r="N32" s="2475"/>
      <c r="O32" s="2475"/>
      <c r="P32" s="3426" t="s">
        <v>1693</v>
      </c>
      <c r="Q32" s="1252" t="str">
        <f t="shared" si="11"/>
        <v>商业类型</v>
      </c>
      <c r="R32" s="663" t="s">
        <v>14</v>
      </c>
      <c r="S32" s="664">
        <f t="shared" si="12"/>
        <v>97</v>
      </c>
      <c r="T32" s="663" t="s">
        <v>14</v>
      </c>
      <c r="U32" s="664">
        <f t="shared" si="13"/>
        <v>97</v>
      </c>
      <c r="V32" s="663" t="s">
        <v>14</v>
      </c>
      <c r="W32" s="664">
        <f t="shared" si="14"/>
        <v>103</v>
      </c>
      <c r="X32" s="1254"/>
      <c r="Y32" s="3429" t="s">
        <v>1693</v>
      </c>
      <c r="Z32" s="1253" t="str">
        <f t="shared" si="15"/>
        <v>商业类型</v>
      </c>
      <c r="AA32" s="1253">
        <f t="shared" si="3"/>
        <v>1.0309278350515463</v>
      </c>
      <c r="AB32" s="1253">
        <f t="shared" si="4"/>
        <v>1.0309278350515463</v>
      </c>
      <c r="AC32" s="1253">
        <f t="shared" si="5"/>
        <v>0.970873786407767</v>
      </c>
    </row>
    <row r="33" spans="1:29" s="407" customFormat="1" ht="15">
      <c r="A33" s="405"/>
      <c r="B33" s="363" t="s">
        <v>1694</v>
      </c>
      <c r="C33" s="406">
        <v>134.51</v>
      </c>
      <c r="D33" s="118">
        <v>100</v>
      </c>
      <c r="E33" s="368">
        <v>180.46</v>
      </c>
      <c r="F33" s="363">
        <f>LOOKUP(E33,103:103,104:104)-LOOKUP(C33,103:103,104:104)+100</f>
        <v>100</v>
      </c>
      <c r="G33" s="367">
        <v>286.60000000000002</v>
      </c>
      <c r="H33" s="118">
        <f>LOOKUP(G33,103:103,104:104)-LOOKUP(C33,103:103,104:104)+100</f>
        <v>98</v>
      </c>
      <c r="I33" s="367">
        <v>144.12</v>
      </c>
      <c r="J33" s="118">
        <f>LOOKUP(I33,103:103,104:104)-LOOKUP(C33,103:103,104:104)+100</f>
        <v>100</v>
      </c>
      <c r="K33" s="538"/>
      <c r="L33" s="2479"/>
      <c r="M33" s="2481"/>
      <c r="N33" s="2481"/>
      <c r="O33" s="2481"/>
      <c r="P33" s="3427"/>
      <c r="Q33" s="530" t="str">
        <f t="shared" si="11"/>
        <v>项目建筑规模</v>
      </c>
      <c r="R33" s="665" t="s">
        <v>14</v>
      </c>
      <c r="S33" s="666">
        <f t="shared" si="12"/>
        <v>100</v>
      </c>
      <c r="T33" s="665" t="s">
        <v>14</v>
      </c>
      <c r="U33" s="666">
        <f t="shared" si="13"/>
        <v>98</v>
      </c>
      <c r="V33" s="665" t="s">
        <v>14</v>
      </c>
      <c r="W33" s="666">
        <f t="shared" si="14"/>
        <v>100</v>
      </c>
      <c r="X33" s="667"/>
      <c r="Y33" s="3429"/>
      <c r="Z33" s="668" t="str">
        <f t="shared" si="15"/>
        <v>项目建筑规模</v>
      </c>
      <c r="AA33" s="1253">
        <f t="shared" si="3"/>
        <v>1</v>
      </c>
      <c r="AB33" s="1253">
        <f t="shared" si="4"/>
        <v>1.0204081632653061</v>
      </c>
      <c r="AC33" s="1253">
        <f t="shared" si="5"/>
        <v>1</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1</v>
      </c>
      <c r="L34" s="2480"/>
      <c r="M34" s="2475"/>
      <c r="N34" s="2475"/>
      <c r="O34" s="2475"/>
      <c r="P34" s="3427"/>
      <c r="Q34" s="1252" t="str">
        <f t="shared" si="11"/>
        <v>建筑结构</v>
      </c>
      <c r="R34" s="663" t="s">
        <v>14</v>
      </c>
      <c r="S34" s="664">
        <f t="shared" si="12"/>
        <v>100</v>
      </c>
      <c r="T34" s="663" t="s">
        <v>14</v>
      </c>
      <c r="U34" s="664">
        <f t="shared" si="13"/>
        <v>100</v>
      </c>
      <c r="V34" s="663" t="s">
        <v>14</v>
      </c>
      <c r="W34" s="664">
        <f t="shared" si="14"/>
        <v>100</v>
      </c>
      <c r="X34" s="1254"/>
      <c r="Y34" s="3429"/>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427"/>
      <c r="Q35" s="1252" t="str">
        <f t="shared" si="11"/>
        <v>公共部分装修</v>
      </c>
      <c r="R35" s="663" t="s">
        <v>14</v>
      </c>
      <c r="S35" s="664">
        <f t="shared" si="12"/>
        <v>100</v>
      </c>
      <c r="T35" s="663" t="s">
        <v>14</v>
      </c>
      <c r="U35" s="664">
        <f t="shared" si="13"/>
        <v>100</v>
      </c>
      <c r="V35" s="663" t="s">
        <v>14</v>
      </c>
      <c r="W35" s="664">
        <f t="shared" si="14"/>
        <v>100</v>
      </c>
      <c r="X35" s="1254"/>
      <c r="Y35" s="3429"/>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427"/>
      <c r="Q36" s="1252" t="str">
        <f t="shared" si="11"/>
        <v>成新度</v>
      </c>
      <c r="R36" s="663" t="s">
        <v>14</v>
      </c>
      <c r="S36" s="664">
        <f t="shared" si="12"/>
        <v>100</v>
      </c>
      <c r="T36" s="663" t="s">
        <v>14</v>
      </c>
      <c r="U36" s="664">
        <f t="shared" si="13"/>
        <v>100</v>
      </c>
      <c r="V36" s="663" t="s">
        <v>14</v>
      </c>
      <c r="W36" s="664">
        <f t="shared" si="14"/>
        <v>100</v>
      </c>
      <c r="X36" s="1254"/>
      <c r="Y36" s="3429"/>
      <c r="Z36" s="1253" t="str">
        <f t="shared" si="15"/>
        <v>成新度</v>
      </c>
      <c r="AA36" s="1253">
        <f t="shared" si="3"/>
        <v>1</v>
      </c>
      <c r="AB36" s="1253">
        <f t="shared" si="4"/>
        <v>1</v>
      </c>
      <c r="AC36" s="1253">
        <f t="shared" si="5"/>
        <v>1</v>
      </c>
    </row>
    <row r="37" spans="1:29" s="102" customFormat="1" ht="15">
      <c r="A37" s="409"/>
      <c r="B37" s="363" t="s">
        <v>1784</v>
      </c>
      <c r="C37" s="1749" t="s">
        <v>4019</v>
      </c>
      <c r="D37" s="118">
        <v>100</v>
      </c>
      <c r="E37" s="1749" t="s">
        <v>4019</v>
      </c>
      <c r="F37" s="399">
        <f>SUMIF(112:112,E37,113:113)-SUMIF(112:112,C37,113:113)+100</f>
        <v>100</v>
      </c>
      <c r="G37" s="1749" t="s">
        <v>4019</v>
      </c>
      <c r="H37" s="373">
        <f>SUMIF(112:112,G37,113:113)-SUMIF(112:112,C37,113:113)+100</f>
        <v>100</v>
      </c>
      <c r="I37" s="1749" t="s">
        <v>4019</v>
      </c>
      <c r="J37" s="373">
        <f>SUMIF(112:112,I37,113:113)-SUMIF(112:112,C37,113:113)+100</f>
        <v>100</v>
      </c>
      <c r="K37" s="537">
        <v>1</v>
      </c>
      <c r="L37" s="2476"/>
      <c r="M37" s="2427"/>
      <c r="N37" s="2427"/>
      <c r="O37" s="2427"/>
      <c r="P37" s="3427"/>
      <c r="Q37" s="529" t="str">
        <f t="shared" si="11"/>
        <v>市政基础设施</v>
      </c>
      <c r="R37" s="660" t="s">
        <v>14</v>
      </c>
      <c r="S37" s="661">
        <f t="shared" si="12"/>
        <v>100</v>
      </c>
      <c r="T37" s="660" t="s">
        <v>14</v>
      </c>
      <c r="U37" s="661">
        <f t="shared" si="13"/>
        <v>100</v>
      </c>
      <c r="V37" s="660" t="s">
        <v>14</v>
      </c>
      <c r="W37" s="661">
        <f t="shared" si="14"/>
        <v>100</v>
      </c>
      <c r="X37" s="662"/>
      <c r="Y37" s="3429"/>
      <c r="Z37" s="50" t="str">
        <f t="shared" si="15"/>
        <v>市政基础设施</v>
      </c>
      <c r="AA37" s="50">
        <f t="shared" si="3"/>
        <v>1</v>
      </c>
      <c r="AB37" s="50">
        <f t="shared" si="4"/>
        <v>1</v>
      </c>
      <c r="AC37" s="50">
        <f t="shared" si="5"/>
        <v>1</v>
      </c>
    </row>
    <row r="38" spans="1:29" ht="15">
      <c r="A38" s="408"/>
      <c r="B38" s="363" t="s">
        <v>1785</v>
      </c>
      <c r="C38" s="1749" t="s">
        <v>4060</v>
      </c>
      <c r="D38" s="373">
        <v>100</v>
      </c>
      <c r="E38" s="1749" t="s">
        <v>4072</v>
      </c>
      <c r="F38" s="399">
        <f>SUMIF(114:114,E38,115:115)-SUMIF(114:114,C38,115:115)+100</f>
        <v>102</v>
      </c>
      <c r="G38" s="1749" t="s">
        <v>4072</v>
      </c>
      <c r="H38" s="373">
        <f>SUMIF(114:114,G38,115:115)-SUMIF(114:114,C38,115:115)+100</f>
        <v>102</v>
      </c>
      <c r="I38" s="1749" t="s">
        <v>4072</v>
      </c>
      <c r="J38" s="373">
        <f>SUMIF(114:114,I38,115:115)-SUMIF(114:114,C38,115:115)+100</f>
        <v>102</v>
      </c>
      <c r="K38" s="537">
        <v>2</v>
      </c>
      <c r="L38" s="2480"/>
      <c r="M38" s="2475"/>
      <c r="N38" s="2475"/>
      <c r="O38" s="2475"/>
      <c r="P38" s="3427" t="s">
        <v>1693</v>
      </c>
      <c r="Q38" s="1252" t="str">
        <f t="shared" si="11"/>
        <v>业态</v>
      </c>
      <c r="R38" s="663" t="s">
        <v>14</v>
      </c>
      <c r="S38" s="664">
        <f t="shared" si="12"/>
        <v>102</v>
      </c>
      <c r="T38" s="663" t="s">
        <v>14</v>
      </c>
      <c r="U38" s="664">
        <f t="shared" si="13"/>
        <v>102</v>
      </c>
      <c r="V38" s="663" t="s">
        <v>14</v>
      </c>
      <c r="W38" s="664">
        <f t="shared" si="14"/>
        <v>102</v>
      </c>
      <c r="X38" s="1254"/>
      <c r="Y38" s="3429" t="s">
        <v>1693</v>
      </c>
      <c r="Z38" s="1253" t="str">
        <f t="shared" si="15"/>
        <v>业态</v>
      </c>
      <c r="AA38" s="1253">
        <f t="shared" si="3"/>
        <v>0.98039215686274506</v>
      </c>
      <c r="AB38" s="1253">
        <f t="shared" si="4"/>
        <v>0.98039215686274506</v>
      </c>
      <c r="AC38" s="1253">
        <f t="shared" si="5"/>
        <v>0.98039215686274506</v>
      </c>
    </row>
    <row r="39" spans="1:29" ht="15">
      <c r="A39" s="408"/>
      <c r="B39" s="363" t="s">
        <v>1786</v>
      </c>
      <c r="C39" s="1749" t="s">
        <v>4061</v>
      </c>
      <c r="D39" s="373">
        <v>100</v>
      </c>
      <c r="E39" s="1749" t="s">
        <v>4070</v>
      </c>
      <c r="F39" s="399">
        <f>SUMIF(116:116,E39,117:117)-SUMIF(116:116,C39,117:117)+100</f>
        <v>90</v>
      </c>
      <c r="G39" s="1749" t="s">
        <v>4070</v>
      </c>
      <c r="H39" s="373">
        <f>SUMIF(116:116,G39,117:117)-SUMIF(116:116,C39,117:117)+100</f>
        <v>90</v>
      </c>
      <c r="I39" s="1749" t="s">
        <v>4070</v>
      </c>
      <c r="J39" s="373">
        <f>SUMIF(116:116,I39,117:117)-SUMIF(116:116,C39,117:117)+100</f>
        <v>90</v>
      </c>
      <c r="K39" s="537">
        <v>10</v>
      </c>
      <c r="L39" s="2480"/>
      <c r="M39" s="2475"/>
      <c r="N39" s="2475"/>
      <c r="O39" s="2475"/>
      <c r="P39" s="3427"/>
      <c r="Q39" s="1252" t="str">
        <f t="shared" si="11"/>
        <v>层高</v>
      </c>
      <c r="R39" s="663" t="s">
        <v>14</v>
      </c>
      <c r="S39" s="664">
        <f t="shared" si="12"/>
        <v>90</v>
      </c>
      <c r="T39" s="663" t="s">
        <v>14</v>
      </c>
      <c r="U39" s="664">
        <f t="shared" si="13"/>
        <v>90</v>
      </c>
      <c r="V39" s="663" t="s">
        <v>14</v>
      </c>
      <c r="W39" s="664">
        <f t="shared" si="14"/>
        <v>90</v>
      </c>
      <c r="X39" s="1254"/>
      <c r="Y39" s="3429"/>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427"/>
      <c r="Q40" s="1252" t="str">
        <f t="shared" si="11"/>
        <v>单套建筑面积</v>
      </c>
      <c r="R40" s="663" t="s">
        <v>14</v>
      </c>
      <c r="S40" s="664">
        <f t="shared" si="12"/>
        <v>100</v>
      </c>
      <c r="T40" s="663" t="s">
        <v>14</v>
      </c>
      <c r="U40" s="664">
        <f t="shared" si="13"/>
        <v>100</v>
      </c>
      <c r="V40" s="663" t="s">
        <v>14</v>
      </c>
      <c r="W40" s="664">
        <f t="shared" si="14"/>
        <v>100</v>
      </c>
      <c r="X40" s="1254"/>
      <c r="Y40" s="3429"/>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427"/>
      <c r="Q41" s="530" t="str">
        <f t="shared" si="11"/>
        <v>进深比</v>
      </c>
      <c r="R41" s="665" t="s">
        <v>14</v>
      </c>
      <c r="S41" s="666">
        <f t="shared" si="12"/>
        <v>100</v>
      </c>
      <c r="T41" s="665" t="s">
        <v>14</v>
      </c>
      <c r="U41" s="666">
        <f t="shared" si="13"/>
        <v>100</v>
      </c>
      <c r="V41" s="665" t="s">
        <v>14</v>
      </c>
      <c r="W41" s="666">
        <f t="shared" si="14"/>
        <v>100</v>
      </c>
      <c r="X41" s="667"/>
      <c r="Y41" s="3429"/>
      <c r="Z41" s="668" t="str">
        <f t="shared" si="15"/>
        <v>进深比</v>
      </c>
      <c r="AA41" s="1253">
        <f t="shared" si="3"/>
        <v>1</v>
      </c>
      <c r="AB41" s="1253">
        <f t="shared" si="4"/>
        <v>1</v>
      </c>
      <c r="AC41" s="1253">
        <f t="shared" si="5"/>
        <v>1</v>
      </c>
    </row>
    <row r="42" spans="1:29" ht="15">
      <c r="A42" s="408"/>
      <c r="B42" s="363" t="s">
        <v>1789</v>
      </c>
      <c r="C42" s="1749" t="s">
        <v>4014</v>
      </c>
      <c r="D42" s="373">
        <v>100</v>
      </c>
      <c r="E42" s="1749" t="s">
        <v>4014</v>
      </c>
      <c r="F42" s="399">
        <f>SUMIF(122:122,E42,123:123)-SUMIF(122:122,C42,123:123)+100</f>
        <v>100</v>
      </c>
      <c r="G42" s="1749" t="s">
        <v>4014</v>
      </c>
      <c r="H42" s="373">
        <f>SUMIF(122:122,G42,123:123)-SUMIF(122:122,C42,123:123)+100</f>
        <v>100</v>
      </c>
      <c r="I42" s="1749" t="s">
        <v>4014</v>
      </c>
      <c r="J42" s="373">
        <f>SUMIF(122:122,I42,123:123)-SUMIF(122:122,C42,123:123)+100</f>
        <v>100</v>
      </c>
      <c r="K42" s="537">
        <v>1</v>
      </c>
      <c r="L42" s="2480"/>
      <c r="M42" s="2475"/>
      <c r="N42" s="2475"/>
      <c r="O42" s="2475"/>
      <c r="P42" s="3427"/>
      <c r="Q42" s="1252" t="str">
        <f t="shared" si="11"/>
        <v>内部装修</v>
      </c>
      <c r="R42" s="663" t="s">
        <v>14</v>
      </c>
      <c r="S42" s="664">
        <f t="shared" si="12"/>
        <v>100</v>
      </c>
      <c r="T42" s="663" t="s">
        <v>14</v>
      </c>
      <c r="U42" s="664">
        <f t="shared" si="13"/>
        <v>100</v>
      </c>
      <c r="V42" s="663" t="s">
        <v>14</v>
      </c>
      <c r="W42" s="664">
        <f t="shared" si="14"/>
        <v>100</v>
      </c>
      <c r="X42" s="1254"/>
      <c r="Y42" s="3429"/>
      <c r="Z42" s="1253" t="str">
        <f t="shared" si="15"/>
        <v>内部装修</v>
      </c>
      <c r="AA42" s="1253">
        <f t="shared" si="3"/>
        <v>1</v>
      </c>
      <c r="AB42" s="1253">
        <f t="shared" si="4"/>
        <v>1</v>
      </c>
      <c r="AC42" s="1253">
        <f t="shared" si="5"/>
        <v>1</v>
      </c>
    </row>
    <row r="43" spans="1:29" ht="15">
      <c r="A43" s="408"/>
      <c r="B43" s="363" t="s">
        <v>1704</v>
      </c>
      <c r="C43" s="1749" t="s">
        <v>4024</v>
      </c>
      <c r="D43" s="373">
        <v>100</v>
      </c>
      <c r="E43" s="1749" t="s">
        <v>4024</v>
      </c>
      <c r="F43" s="399">
        <f>SUMIF(124:124,E43,125:125)-SUMIF(124:124,C43,125:125)+100</f>
        <v>100</v>
      </c>
      <c r="G43" s="1749" t="s">
        <v>4024</v>
      </c>
      <c r="H43" s="373">
        <f>SUMIF(124:124,G43,125:125)-SUMIF(124:124,C43,125:125)+100</f>
        <v>100</v>
      </c>
      <c r="I43" s="1749" t="s">
        <v>4024</v>
      </c>
      <c r="J43" s="373">
        <f>SUMIF(124:124,I43,125:125)-SUMIF(124:124,C43,125:125)+100</f>
        <v>100</v>
      </c>
      <c r="K43" s="537">
        <v>2</v>
      </c>
      <c r="L43" s="2480"/>
      <c r="M43" s="2475"/>
      <c r="N43" s="2475"/>
      <c r="O43" s="2475"/>
      <c r="P43" s="3427"/>
      <c r="Q43" s="1252" t="str">
        <f t="shared" si="11"/>
        <v>内部装修维护情况</v>
      </c>
      <c r="R43" s="663" t="s">
        <v>14</v>
      </c>
      <c r="S43" s="664">
        <f t="shared" si="12"/>
        <v>100</v>
      </c>
      <c r="T43" s="663" t="s">
        <v>14</v>
      </c>
      <c r="U43" s="664">
        <f t="shared" si="13"/>
        <v>100</v>
      </c>
      <c r="V43" s="663" t="s">
        <v>14</v>
      </c>
      <c r="W43" s="664">
        <f t="shared" si="14"/>
        <v>100</v>
      </c>
      <c r="X43" s="1254"/>
      <c r="Y43" s="3429"/>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427"/>
      <c r="Q44" s="529">
        <f t="shared" si="11"/>
        <v>111</v>
      </c>
      <c r="R44" s="660" t="s">
        <v>14</v>
      </c>
      <c r="S44" s="661">
        <f t="shared" si="12"/>
        <v>100</v>
      </c>
      <c r="T44" s="660" t="s">
        <v>14</v>
      </c>
      <c r="U44" s="661">
        <f t="shared" si="13"/>
        <v>100</v>
      </c>
      <c r="V44" s="660" t="s">
        <v>14</v>
      </c>
      <c r="W44" s="661">
        <f t="shared" si="14"/>
        <v>100</v>
      </c>
      <c r="X44" s="662"/>
      <c r="Y44" s="3429"/>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427"/>
      <c r="Q45" s="1252">
        <f t="shared" si="11"/>
        <v>111</v>
      </c>
      <c r="R45" s="663" t="s">
        <v>14</v>
      </c>
      <c r="S45" s="664">
        <f t="shared" si="12"/>
        <v>100</v>
      </c>
      <c r="T45" s="663" t="s">
        <v>14</v>
      </c>
      <c r="U45" s="664">
        <f t="shared" si="13"/>
        <v>100</v>
      </c>
      <c r="V45" s="663" t="s">
        <v>14</v>
      </c>
      <c r="W45" s="664">
        <f t="shared" si="14"/>
        <v>100</v>
      </c>
      <c r="X45" s="1254"/>
      <c r="Y45" s="3429"/>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428"/>
      <c r="Q46" s="1252">
        <f t="shared" si="11"/>
        <v>111</v>
      </c>
      <c r="R46" s="663" t="s">
        <v>14</v>
      </c>
      <c r="S46" s="664">
        <f t="shared" si="12"/>
        <v>100</v>
      </c>
      <c r="T46" s="663" t="s">
        <v>14</v>
      </c>
      <c r="U46" s="664">
        <f t="shared" si="13"/>
        <v>100</v>
      </c>
      <c r="V46" s="663" t="s">
        <v>14</v>
      </c>
      <c r="W46" s="664">
        <f t="shared" si="14"/>
        <v>100</v>
      </c>
      <c r="X46" s="1254"/>
      <c r="Y46" s="3430"/>
      <c r="Z46" s="1253">
        <f t="shared" si="15"/>
        <v>111</v>
      </c>
      <c r="AA46" s="1253">
        <f t="shared" si="3"/>
        <v>1</v>
      </c>
      <c r="AB46" s="1253">
        <f t="shared" si="4"/>
        <v>1</v>
      </c>
      <c r="AC46" s="1253">
        <f t="shared" si="5"/>
        <v>1</v>
      </c>
    </row>
    <row r="47" spans="1:29" ht="15">
      <c r="A47" s="415" t="s">
        <v>1705</v>
      </c>
      <c r="B47" s="416"/>
      <c r="C47" s="1071" t="s">
        <v>0</v>
      </c>
      <c r="D47" s="417"/>
      <c r="E47" s="418">
        <v>31586</v>
      </c>
      <c r="F47" s="419"/>
      <c r="G47" s="420">
        <v>27216</v>
      </c>
      <c r="H47" s="421"/>
      <c r="I47" s="418">
        <v>30500</v>
      </c>
      <c r="J47" s="421"/>
      <c r="K47" s="670"/>
      <c r="L47" s="2482"/>
      <c r="M47" s="2475"/>
      <c r="N47" s="2475"/>
      <c r="O47" s="2475"/>
      <c r="P47" s="3431" t="str">
        <f>A47</f>
        <v>成交单价（元/平方米）</v>
      </c>
      <c r="Q47" s="3431"/>
      <c r="R47" s="3419">
        <f>E47</f>
        <v>31586</v>
      </c>
      <c r="S47" s="3419"/>
      <c r="T47" s="3419">
        <f>G47</f>
        <v>27216</v>
      </c>
      <c r="U47" s="3419"/>
      <c r="V47" s="3419">
        <f>I47</f>
        <v>30500</v>
      </c>
      <c r="W47" s="3419"/>
      <c r="X47" s="384"/>
      <c r="Y47" s="669"/>
      <c r="Z47" s="384"/>
      <c r="AA47" s="384"/>
      <c r="AB47" s="384"/>
      <c r="AC47" s="384"/>
    </row>
    <row r="48" spans="1:29" ht="15.75" thickBot="1">
      <c r="A48" s="422" t="s">
        <v>1790</v>
      </c>
      <c r="B48" s="423"/>
      <c r="C48" s="1072">
        <f>R49</f>
        <v>30061</v>
      </c>
      <c r="D48" s="2130" t="s">
        <v>2130</v>
      </c>
      <c r="E48" s="1073">
        <f>R48</f>
        <v>32128</v>
      </c>
      <c r="F48" s="2131"/>
      <c r="G48" s="1072">
        <f>T48</f>
        <v>29401</v>
      </c>
      <c r="H48" s="2131"/>
      <c r="I48" s="1073">
        <f>V48</f>
        <v>28654</v>
      </c>
      <c r="J48" s="2131"/>
      <c r="K48" s="2133">
        <f>F48+H48+J48</f>
        <v>0</v>
      </c>
      <c r="L48" s="2482"/>
      <c r="M48" s="2475"/>
      <c r="N48" s="2475"/>
      <c r="O48" s="2475"/>
      <c r="P48" s="3431" t="str">
        <f>A48</f>
        <v>比较价值（元/平方米）</v>
      </c>
      <c r="Q48" s="3431"/>
      <c r="R48" s="3419">
        <f>IF(F1="售价",ROUND(PRODUCT(R47,AA7:AA46),0),ROUND(PRODUCT(R47,AA7:AA46),1))</f>
        <v>32128</v>
      </c>
      <c r="S48" s="3419"/>
      <c r="T48" s="3419">
        <f>IF(F1="售价",ROUND(PRODUCT(T47,AB7:AB46),0),ROUND(PRODUCT(T47,AB7:AB46),1))</f>
        <v>29401</v>
      </c>
      <c r="U48" s="3419"/>
      <c r="V48" s="3419">
        <f>IF(F1="售价",ROUND(PRODUCT(V47,AC7:AC46),0),ROUND(PRODUCT(V47,AC7:AC46),1))</f>
        <v>28654</v>
      </c>
      <c r="W48" s="3419"/>
      <c r="X48" s="384"/>
      <c r="Y48" s="384"/>
      <c r="Z48" s="384"/>
      <c r="AA48" s="384"/>
      <c r="AB48" s="384"/>
      <c r="AC48" s="384"/>
    </row>
    <row r="49" spans="1:29" ht="15.75" thickBot="1">
      <c r="A49" s="426" t="s">
        <v>1791</v>
      </c>
      <c r="B49" s="427"/>
      <c r="C49" s="350">
        <f>R49</f>
        <v>30061</v>
      </c>
      <c r="D49" s="350"/>
      <c r="E49" s="350"/>
      <c r="F49" s="350"/>
      <c r="G49" s="350"/>
      <c r="H49" s="350"/>
      <c r="I49" s="350"/>
      <c r="J49" s="350"/>
      <c r="K49" s="671"/>
      <c r="L49" s="2482"/>
      <c r="M49" s="2475"/>
      <c r="N49" s="2475"/>
      <c r="O49" s="2475"/>
      <c r="P49" s="3472" t="str">
        <f>A49</f>
        <v>估价对象XX用房的比较价值（楼面单价，元/平方米）</v>
      </c>
      <c r="Q49" s="3473"/>
      <c r="R49" s="3474">
        <f>IF(F1="售价",ROUND(IF(D48="简单平均",AVERAGE(R48:V48),R48*F48+T48*H48+V48*J48),0),ROUND(IF(D48="简单平均",AVERAGE(R48:V48),R48*F48+T48*H48+V48*J48),1))</f>
        <v>30061</v>
      </c>
      <c r="S49" s="3474"/>
      <c r="T49" s="3474"/>
      <c r="U49" s="3474"/>
      <c r="V49" s="3474"/>
      <c r="W49" s="3474"/>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1792</v>
      </c>
      <c r="D52" s="432"/>
      <c r="E52" s="433">
        <f>IF(E47&lt;E48,E48/E47-1,E47/E48-1)</f>
        <v>1.7159501044766712E-2</v>
      </c>
      <c r="F52" s="434" t="str">
        <f>IF(OR(E52&gt;=0.3,E52&lt;=-0.3),"超过30%","")</f>
        <v/>
      </c>
      <c r="G52" s="433">
        <f>IF(G47&lt;G48,G48/G47-1,G47/G48-1)</f>
        <v>8.0283656672545556E-2</v>
      </c>
      <c r="H52" s="434" t="str">
        <f>IF(OR(G52&gt;=0.3,G52&lt;=-0.3),"超过30%","")</f>
        <v/>
      </c>
      <c r="I52" s="433">
        <f>IF(I47&lt;I48,I48/I47-1,I47/I48-1)</f>
        <v>6.4423815174146748E-2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1793</v>
      </c>
      <c r="D53" s="435"/>
      <c r="E53" s="433">
        <f>IF(E48&lt;G48,G48/E48-1,E48/G48-1)</f>
        <v>9.2751947212679875E-2</v>
      </c>
      <c r="F53" s="434" t="str">
        <f>IF(OR(E53&gt;=0.2,E53&lt;=-0.2),"超过20%","")</f>
        <v/>
      </c>
      <c r="G53" s="433">
        <f>IF(G48&lt;I48,I48/G48-1,G48/I48-1)</f>
        <v>2.6069658686396213E-2</v>
      </c>
      <c r="H53" s="434" t="str">
        <f>IF(OR(G53&gt;=0.2,G53&lt;=-0.2),"超过20%","")</f>
        <v/>
      </c>
      <c r="I53" s="433">
        <f>IF(I48&lt;E48,E48/I48-1,I48/E48-1)</f>
        <v>0.12123961750540935</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1794</v>
      </c>
      <c r="D54" s="435"/>
      <c r="E54" s="433">
        <f>IF(E47&lt;G47,G47/E47-1,E47/G47-1)</f>
        <v>0.16056731334509111</v>
      </c>
      <c r="F54" s="434" t="str">
        <f>IF(OR(E54&gt;=0.3,E54&lt;=-0.3),"超过30%","")</f>
        <v/>
      </c>
      <c r="G54" s="433">
        <f>IF(G47&lt;I47,I47/G47-1,G47/I47-1)</f>
        <v>0.12066431510875963</v>
      </c>
      <c r="H54" s="434" t="str">
        <f>IF(OR(G54&gt;=0.3,G54&lt;=-0.3),"超过30%","")</f>
        <v/>
      </c>
      <c r="I54" s="433">
        <f>IF(I47&lt;E47,E47/I47-1,I47/E47-1)</f>
        <v>3.5606557377049208E-2</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1795</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2024-10</v>
      </c>
      <c r="D58" s="1094">
        <f>EDATE(C58,-1)</f>
        <v>45536</v>
      </c>
      <c r="E58" s="1094">
        <f t="shared" ref="E58:N58" si="16">EDATE(D58,-1)</f>
        <v>45505</v>
      </c>
      <c r="F58" s="1094">
        <f t="shared" si="16"/>
        <v>45474</v>
      </c>
      <c r="G58" s="1094">
        <f t="shared" si="16"/>
        <v>45444</v>
      </c>
      <c r="H58" s="1094">
        <f t="shared" si="16"/>
        <v>45413</v>
      </c>
      <c r="I58" s="1094">
        <f t="shared" si="16"/>
        <v>45383</v>
      </c>
      <c r="J58" s="1094">
        <f t="shared" si="16"/>
        <v>45352</v>
      </c>
      <c r="K58" s="1094">
        <f t="shared" si="16"/>
        <v>45323</v>
      </c>
      <c r="L58" s="1094">
        <f t="shared" si="16"/>
        <v>45292</v>
      </c>
      <c r="M58" s="1094">
        <f t="shared" si="16"/>
        <v>45261</v>
      </c>
      <c r="N58" s="1094">
        <f t="shared" si="16"/>
        <v>45231</v>
      </c>
      <c r="O58" s="1094">
        <f>EDATE(N58,-1)</f>
        <v>45200</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1773</v>
      </c>
      <c r="D61" s="3166" t="s">
        <v>4062</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0" t="s">
        <v>4063</v>
      </c>
      <c r="D86" s="3160" t="s">
        <v>4064</v>
      </c>
      <c r="E86" s="3160" t="s">
        <v>4052</v>
      </c>
      <c r="F86" s="3160" t="s">
        <v>4065</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4056</v>
      </c>
      <c r="D88" s="466" t="s">
        <v>4024</v>
      </c>
      <c r="E88" s="466" t="s">
        <v>4005</v>
      </c>
      <c r="F88" s="466" t="s">
        <v>4066</v>
      </c>
      <c r="G88" s="466" t="s">
        <v>4067</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4056</v>
      </c>
      <c r="D90" s="484" t="s">
        <v>4024</v>
      </c>
      <c r="E90" s="484" t="s">
        <v>4005</v>
      </c>
      <c r="F90" s="484" t="s">
        <v>4066</v>
      </c>
      <c r="G90" s="484" t="s">
        <v>4067</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0" t="s">
        <v>3399</v>
      </c>
      <c r="D92" s="484" t="s">
        <v>4068</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1" t="s">
        <v>4053</v>
      </c>
      <c r="D100" s="3161" t="s">
        <v>4059</v>
      </c>
      <c r="E100" s="3161" t="s">
        <v>4069</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0"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5">
        <f t="shared" si="25"/>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0" t="s">
        <v>4013</v>
      </c>
      <c r="D107" s="3160" t="s">
        <v>4014</v>
      </c>
      <c r="E107" s="3160" t="s">
        <v>4015</v>
      </c>
      <c r="F107" s="3162" t="s">
        <v>4016</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0" t="s">
        <v>4007</v>
      </c>
      <c r="D112" s="3160" t="s">
        <v>4019</v>
      </c>
      <c r="E112" s="3160" t="s">
        <v>4071</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0" t="s">
        <v>4072</v>
      </c>
      <c r="D114" s="3160" t="s">
        <v>4060</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0" t="s">
        <v>4061</v>
      </c>
      <c r="D116" s="3160" t="s">
        <v>4070</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0" t="s">
        <v>4013</v>
      </c>
      <c r="D122" s="3160" t="s">
        <v>4014</v>
      </c>
      <c r="E122" s="3160" t="s">
        <v>4015</v>
      </c>
      <c r="F122" s="3162" t="s">
        <v>4016</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AF68-1A93-4F3A-BD71-A3A76AA0869C}">
  <sheetPr>
    <tabColor rgb="FF92D050"/>
    <pageSetUpPr fitToPage="1"/>
  </sheetPr>
  <dimension ref="A1:AC131"/>
  <sheetViews>
    <sheetView view="pageBreakPreview" topLeftCell="C19" zoomScale="85" zoomScaleNormal="70" zoomScaleSheetLayoutView="85" workbookViewId="0">
      <selection activeCell="K35" sqref="K3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4026</v>
      </c>
      <c r="F1" s="1724" t="s">
        <v>4080</v>
      </c>
      <c r="G1" s="1142" t="s">
        <v>1660</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682</v>
      </c>
      <c r="B2" s="1075">
        <f>IF(E1="项目模式",IF(C2="——",ROUND(C49*D3/10000,0),ROUND(C49*D3/10000,0)-D2),IF(E1="单套模式",IF(C2="——",ROUND(C49*D3/10000,4),ROUND(C49*D3/10000,4)-D2)))</f>
        <v>6.9900000000000004E-2</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683</v>
      </c>
      <c r="B3" s="535">
        <f>IF(C2="——",C49,ROUND(B2*10000/D3,0))</f>
        <v>5.2</v>
      </c>
      <c r="C3" s="343" t="s">
        <v>1662</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1663</v>
      </c>
      <c r="B4" s="345"/>
      <c r="C4" s="3406" t="s">
        <v>1664</v>
      </c>
      <c r="D4" s="3407"/>
      <c r="E4" s="3408" t="s">
        <v>1665</v>
      </c>
      <c r="F4" s="3409"/>
      <c r="G4" s="3406" t="s">
        <v>1666</v>
      </c>
      <c r="H4" s="3407"/>
      <c r="I4" s="3406" t="s">
        <v>1667</v>
      </c>
      <c r="J4" s="3407"/>
      <c r="K4" s="536" t="s">
        <v>1668</v>
      </c>
      <c r="L4" s="2474"/>
      <c r="M4" s="2475"/>
      <c r="N4" s="2475"/>
      <c r="O4" s="2475"/>
      <c r="P4" s="3468" t="s">
        <v>1669</v>
      </c>
      <c r="Q4" s="3469"/>
      <c r="R4" s="3465" t="s">
        <v>1665</v>
      </c>
      <c r="S4" s="3466"/>
      <c r="T4" s="3465" t="s">
        <v>1666</v>
      </c>
      <c r="U4" s="3466"/>
      <c r="V4" s="3419" t="s">
        <v>1667</v>
      </c>
      <c r="W4" s="3419"/>
      <c r="X4" s="1254"/>
      <c r="Y4" s="3465" t="s">
        <v>1669</v>
      </c>
      <c r="Z4" s="3466"/>
      <c r="AA4" s="3464" t="s">
        <v>1665</v>
      </c>
      <c r="AB4" s="3419" t="s">
        <v>1666</v>
      </c>
      <c r="AC4" s="3464" t="s">
        <v>1667</v>
      </c>
    </row>
    <row r="5" spans="1:29" ht="15">
      <c r="A5" s="347"/>
      <c r="B5" s="348"/>
      <c r="C5" s="3395" t="s">
        <v>1670</v>
      </c>
      <c r="D5" s="3396"/>
      <c r="E5" s="3393" t="s">
        <v>4083</v>
      </c>
      <c r="F5" s="3394"/>
      <c r="G5" s="3399" t="s">
        <v>4085</v>
      </c>
      <c r="H5" s="3396"/>
      <c r="I5" s="3399" t="s">
        <v>4084</v>
      </c>
      <c r="J5" s="3396"/>
      <c r="K5" s="536"/>
      <c r="L5" s="2474"/>
      <c r="M5" s="2475"/>
      <c r="N5" s="2475"/>
      <c r="O5" s="2475"/>
      <c r="P5" s="3470"/>
      <c r="Q5" s="3413"/>
      <c r="R5" s="3391"/>
      <c r="S5" s="3392"/>
      <c r="T5" s="3391"/>
      <c r="U5" s="3392"/>
      <c r="V5" s="3419"/>
      <c r="W5" s="3419"/>
      <c r="X5" s="1254"/>
      <c r="Y5" s="3391"/>
      <c r="Z5" s="3392"/>
      <c r="AA5" s="3385"/>
      <c r="AB5" s="3419"/>
      <c r="AC5" s="3385"/>
    </row>
    <row r="6" spans="1:29" ht="15.75" thickBot="1">
      <c r="A6" s="349"/>
      <c r="B6" s="350"/>
      <c r="C6" s="3397" t="s">
        <v>1674</v>
      </c>
      <c r="D6" s="3398"/>
      <c r="E6" s="3400" t="s">
        <v>4051</v>
      </c>
      <c r="F6" s="3401"/>
      <c r="G6" s="3397" t="s">
        <v>4051</v>
      </c>
      <c r="H6" s="3398"/>
      <c r="I6" s="3397" t="s">
        <v>4051</v>
      </c>
      <c r="J6" s="3398"/>
      <c r="K6" s="536" t="s">
        <v>1675</v>
      </c>
      <c r="L6" s="2474"/>
      <c r="M6" s="2475"/>
      <c r="N6" s="2475"/>
      <c r="O6" s="2475"/>
      <c r="P6" s="3471"/>
      <c r="Q6" s="3415"/>
      <c r="R6" s="3391"/>
      <c r="S6" s="3392"/>
      <c r="T6" s="3416"/>
      <c r="U6" s="3417"/>
      <c r="V6" s="3419"/>
      <c r="W6" s="3419"/>
      <c r="X6" s="1254"/>
      <c r="Y6" s="3416"/>
      <c r="Z6" s="3417"/>
      <c r="AA6" s="3386"/>
      <c r="AB6" s="3419"/>
      <c r="AC6" s="3386"/>
    </row>
    <row r="7" spans="1:29" s="102" customFormat="1" ht="15.75" thickBot="1">
      <c r="A7" s="351" t="s">
        <v>1676</v>
      </c>
      <c r="B7" s="352"/>
      <c r="C7" s="353">
        <f>'数据-取费表'!B2</f>
        <v>45596</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387"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50">
        <f>D7/J7</f>
        <v>1</v>
      </c>
    </row>
    <row r="8" spans="1:29" s="102" customFormat="1" ht="15.75" thickBot="1">
      <c r="A8" s="351" t="s">
        <v>1678</v>
      </c>
      <c r="B8" s="352"/>
      <c r="C8" s="357" t="s">
        <v>4010</v>
      </c>
      <c r="D8" s="354">
        <v>100</v>
      </c>
      <c r="E8" s="357" t="s">
        <v>4028</v>
      </c>
      <c r="F8" s="356">
        <f>SUMIF(61:61,E8,62:62)-SUMIF(61:61,C8,62:62)+100</f>
        <v>102</v>
      </c>
      <c r="G8" s="357" t="s">
        <v>4028</v>
      </c>
      <c r="H8" s="354">
        <f>SUMIF(61:61,G8,62:62)-SUMIF(61:61,C8,62:62)+100</f>
        <v>102</v>
      </c>
      <c r="I8" s="357" t="s">
        <v>4028</v>
      </c>
      <c r="J8" s="354">
        <f>SUMIF(61:61,I8,62:62)-SUMIF(61:61,C8,62:62)+100</f>
        <v>102</v>
      </c>
      <c r="K8" s="38"/>
      <c r="L8" s="2476"/>
      <c r="M8" s="2427"/>
      <c r="N8" s="2427"/>
      <c r="O8" s="2427"/>
      <c r="P8" s="3387" t="s">
        <v>1680</v>
      </c>
      <c r="Q8" s="3388"/>
      <c r="R8" s="660" t="s">
        <v>14</v>
      </c>
      <c r="S8" s="661">
        <f t="shared" si="0"/>
        <v>102</v>
      </c>
      <c r="T8" s="660" t="s">
        <v>14</v>
      </c>
      <c r="U8" s="661">
        <f t="shared" si="1"/>
        <v>102</v>
      </c>
      <c r="V8" s="660" t="s">
        <v>14</v>
      </c>
      <c r="W8" s="661">
        <f t="shared" si="2"/>
        <v>102</v>
      </c>
      <c r="X8" s="662"/>
      <c r="Y8" s="3387" t="s">
        <v>1680</v>
      </c>
      <c r="Z8" s="3388"/>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4" t="s">
        <v>4057</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t="s">
        <v>4058</v>
      </c>
      <c r="D10" s="118">
        <v>100</v>
      </c>
      <c r="E10" s="3120" t="s">
        <v>4030</v>
      </c>
      <c r="F10" s="363">
        <f>SUMIF(65:65,E10,66:66)-SUMIF(65:65,C10,66:66)+100</f>
        <v>100</v>
      </c>
      <c r="G10" s="3119" t="s">
        <v>4030</v>
      </c>
      <c r="H10" s="118">
        <f>SUMIF(65:65,G10,66:66)-SUMIF(65:65,C10,66:66)+100</f>
        <v>100</v>
      </c>
      <c r="I10" s="3119" t="s">
        <v>4030</v>
      </c>
      <c r="J10" s="118">
        <f>SUMIF(65:65,I10,66:66)-SUMIF(65:65,C10,66:66)+100</f>
        <v>100</v>
      </c>
      <c r="K10" s="38"/>
      <c r="L10" s="2477"/>
      <c r="M10" s="2478"/>
      <c r="N10" s="2478"/>
      <c r="O10" s="2478"/>
      <c r="P10" s="3402"/>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100</v>
      </c>
      <c r="K15" s="539">
        <v>2</v>
      </c>
      <c r="L15" s="2480"/>
      <c r="M15" s="2475"/>
      <c r="N15" s="2475"/>
      <c r="O15" s="2475"/>
      <c r="P15" s="3422" t="s">
        <v>1688</v>
      </c>
      <c r="Q15" s="1252" t="str">
        <f t="shared" si="6"/>
        <v>商业繁华度</v>
      </c>
      <c r="R15" s="663" t="s">
        <v>14</v>
      </c>
      <c r="S15" s="664">
        <f t="shared" si="0"/>
        <v>102</v>
      </c>
      <c r="T15" s="663" t="s">
        <v>14</v>
      </c>
      <c r="U15" s="664">
        <f t="shared" si="1"/>
        <v>102</v>
      </c>
      <c r="V15" s="663" t="s">
        <v>14</v>
      </c>
      <c r="W15" s="664">
        <f t="shared" si="2"/>
        <v>100</v>
      </c>
      <c r="X15" s="1254"/>
      <c r="Y15" s="3424" t="s">
        <v>1688</v>
      </c>
      <c r="Z15" s="1253" t="str">
        <f t="shared" si="7"/>
        <v>商业繁华度</v>
      </c>
      <c r="AA15" s="1253">
        <f t="shared" si="3"/>
        <v>0.98039215686274506</v>
      </c>
      <c r="AB15" s="1253">
        <f t="shared" si="4"/>
        <v>0.98039215686274506</v>
      </c>
      <c r="AC15" s="1253">
        <f t="shared" si="5"/>
        <v>1</v>
      </c>
    </row>
    <row r="16" spans="1:29" ht="15">
      <c r="A16" s="366"/>
      <c r="B16" s="384"/>
      <c r="C16" s="385" t="s">
        <v>4005</v>
      </c>
      <c r="D16" s="386"/>
      <c r="E16" s="385" t="s">
        <v>4024</v>
      </c>
      <c r="F16" s="387"/>
      <c r="G16" s="385" t="s">
        <v>4024</v>
      </c>
      <c r="H16" s="388"/>
      <c r="I16" s="385" t="s">
        <v>4005</v>
      </c>
      <c r="J16" s="386"/>
      <c r="K16" s="540"/>
      <c r="L16" s="2480"/>
      <c r="M16" s="2475"/>
      <c r="N16" s="2475"/>
      <c r="O16" s="2475"/>
      <c r="P16" s="3423"/>
      <c r="Q16" s="1252"/>
      <c r="R16" s="663"/>
      <c r="S16" s="664"/>
      <c r="T16" s="663"/>
      <c r="U16" s="664"/>
      <c r="V16" s="663"/>
      <c r="W16" s="664"/>
      <c r="X16" s="1254"/>
      <c r="Y16" s="3425"/>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100</v>
      </c>
      <c r="K17" s="539">
        <v>2</v>
      </c>
      <c r="L17" s="2480"/>
      <c r="M17" s="2475"/>
      <c r="N17" s="2475"/>
      <c r="O17" s="2475"/>
      <c r="P17" s="3423"/>
      <c r="Q17" s="1252" t="str">
        <f>B17</f>
        <v>交通便捷度</v>
      </c>
      <c r="R17" s="663" t="s">
        <v>14</v>
      </c>
      <c r="S17" s="664">
        <f>F17</f>
        <v>102</v>
      </c>
      <c r="T17" s="663" t="s">
        <v>14</v>
      </c>
      <c r="U17" s="664">
        <f>H17</f>
        <v>102</v>
      </c>
      <c r="V17" s="663" t="s">
        <v>14</v>
      </c>
      <c r="W17" s="664">
        <f>J17</f>
        <v>100</v>
      </c>
      <c r="X17" s="1254"/>
      <c r="Y17" s="3425"/>
      <c r="Z17" s="1253" t="str">
        <f>Q17</f>
        <v>交通便捷度</v>
      </c>
      <c r="AA17" s="1253">
        <f t="shared" si="3"/>
        <v>0.98039215686274506</v>
      </c>
      <c r="AB17" s="1253">
        <f t="shared" si="4"/>
        <v>0.98039215686274506</v>
      </c>
      <c r="AC17" s="1253">
        <f t="shared" si="5"/>
        <v>1</v>
      </c>
    </row>
    <row r="18" spans="1:29" ht="15">
      <c r="A18" s="366"/>
      <c r="B18" s="394"/>
      <c r="C18" s="385" t="s">
        <v>4005</v>
      </c>
      <c r="D18" s="388"/>
      <c r="E18" s="1746" t="s">
        <v>4024</v>
      </c>
      <c r="F18" s="391"/>
      <c r="G18" s="1745" t="s">
        <v>4024</v>
      </c>
      <c r="H18" s="386"/>
      <c r="I18" s="385" t="s">
        <v>4005</v>
      </c>
      <c r="J18" s="386"/>
      <c r="K18" s="540"/>
      <c r="L18" s="2480"/>
      <c r="M18" s="2475"/>
      <c r="N18" s="2475"/>
      <c r="O18" s="2475"/>
      <c r="P18" s="3423"/>
      <c r="Q18" s="1252"/>
      <c r="R18" s="663"/>
      <c r="S18" s="664"/>
      <c r="T18" s="663"/>
      <c r="U18" s="664"/>
      <c r="V18" s="663"/>
      <c r="W18" s="664"/>
      <c r="X18" s="1254"/>
      <c r="Y18" s="3425"/>
      <c r="Z18" s="1253"/>
      <c r="AA18" s="1253">
        <v>1</v>
      </c>
      <c r="AB18" s="1253">
        <v>1</v>
      </c>
      <c r="AC18" s="1253">
        <v>1</v>
      </c>
    </row>
    <row r="19" spans="1:29" ht="15">
      <c r="A19" s="366"/>
      <c r="B19" s="389" t="s">
        <v>1775</v>
      </c>
      <c r="C19" s="174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253">
        <f t="shared" si="5"/>
        <v>1</v>
      </c>
    </row>
    <row r="20" spans="1:29" ht="15">
      <c r="A20" s="366"/>
      <c r="B20" s="394"/>
      <c r="C20" s="385" t="s">
        <v>4024</v>
      </c>
      <c r="D20" s="386"/>
      <c r="E20" s="1741" t="s">
        <v>4024</v>
      </c>
      <c r="F20" s="387"/>
      <c r="G20" s="1740" t="s">
        <v>4024</v>
      </c>
      <c r="H20" s="386"/>
      <c r="I20" s="1741" t="s">
        <v>4024</v>
      </c>
      <c r="J20" s="386"/>
      <c r="K20" s="540"/>
      <c r="L20" s="2480"/>
      <c r="M20" s="2475"/>
      <c r="N20" s="2475"/>
      <c r="O20" s="2475"/>
      <c r="P20" s="3423"/>
      <c r="Q20" s="1252"/>
      <c r="R20" s="663"/>
      <c r="S20" s="664"/>
      <c r="T20" s="663"/>
      <c r="U20" s="664"/>
      <c r="V20" s="663"/>
      <c r="W20" s="664"/>
      <c r="X20" s="1254"/>
      <c r="Y20" s="3425"/>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385" t="s">
        <v>4007</v>
      </c>
      <c r="D22" s="386"/>
      <c r="E22" s="385" t="s">
        <v>4007</v>
      </c>
      <c r="F22" s="387"/>
      <c r="G22" s="385" t="s">
        <v>4007</v>
      </c>
      <c r="H22" s="386"/>
      <c r="I22" s="385" t="s">
        <v>4007</v>
      </c>
      <c r="J22" s="386"/>
      <c r="K22" s="1054"/>
      <c r="L22" s="2480"/>
      <c r="M22" s="2475"/>
      <c r="N22" s="2475"/>
      <c r="O22" s="2475"/>
      <c r="P22" s="3423"/>
      <c r="Q22" s="1252"/>
      <c r="R22" s="663"/>
      <c r="S22" s="664"/>
      <c r="T22" s="663"/>
      <c r="U22" s="664"/>
      <c r="V22" s="663"/>
      <c r="W22" s="664"/>
      <c r="X22" s="1254"/>
      <c r="Y22" s="3425"/>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100</v>
      </c>
      <c r="K23" s="539">
        <v>2</v>
      </c>
      <c r="L23" s="2480"/>
      <c r="M23" s="2475"/>
      <c r="N23" s="2475"/>
      <c r="O23" s="2475"/>
      <c r="P23" s="3423"/>
      <c r="Q23" s="1252" t="str">
        <f>B23</f>
        <v>自然及人文环境</v>
      </c>
      <c r="R23" s="663" t="s">
        <v>14</v>
      </c>
      <c r="S23" s="664">
        <f>F23</f>
        <v>102</v>
      </c>
      <c r="T23" s="663" t="s">
        <v>14</v>
      </c>
      <c r="U23" s="664">
        <f>H23</f>
        <v>102</v>
      </c>
      <c r="V23" s="663" t="s">
        <v>14</v>
      </c>
      <c r="W23" s="664">
        <f>J23</f>
        <v>100</v>
      </c>
      <c r="X23" s="1254"/>
      <c r="Y23" s="3425"/>
      <c r="Z23" s="1253" t="str">
        <f>Q23</f>
        <v>自然及人文环境</v>
      </c>
      <c r="AA23" s="1253">
        <f t="shared" si="3"/>
        <v>0.98039215686274506</v>
      </c>
      <c r="AB23" s="1253">
        <f t="shared" si="4"/>
        <v>0.98039215686274506</v>
      </c>
      <c r="AC23" s="1253">
        <f t="shared" si="5"/>
        <v>1</v>
      </c>
    </row>
    <row r="24" spans="1:29" ht="15">
      <c r="A24" s="366"/>
      <c r="B24" s="394"/>
      <c r="C24" s="385" t="s">
        <v>4005</v>
      </c>
      <c r="D24" s="386"/>
      <c r="E24" s="1741" t="s">
        <v>4024</v>
      </c>
      <c r="F24" s="387"/>
      <c r="G24" s="1740" t="s">
        <v>4024</v>
      </c>
      <c r="H24" s="386"/>
      <c r="I24" s="385" t="s">
        <v>4005</v>
      </c>
      <c r="J24" s="386"/>
      <c r="K24" s="540"/>
      <c r="L24" s="2480"/>
      <c r="M24" s="2475"/>
      <c r="N24" s="2475"/>
      <c r="O24" s="2475"/>
      <c r="P24" s="3423"/>
      <c r="Q24" s="1252"/>
      <c r="R24" s="663"/>
      <c r="S24" s="664"/>
      <c r="T24" s="663"/>
      <c r="U24" s="664"/>
      <c r="V24" s="663"/>
      <c r="W24" s="664"/>
      <c r="X24" s="1254"/>
      <c r="Y24" s="3425"/>
      <c r="Z24" s="1253"/>
      <c r="AA24" s="1253">
        <v>1</v>
      </c>
      <c r="AB24" s="1253">
        <v>1</v>
      </c>
      <c r="AC24" s="1253">
        <v>1</v>
      </c>
    </row>
    <row r="25" spans="1:29" ht="15">
      <c r="A25" s="366"/>
      <c r="B25" s="363" t="s">
        <v>1777</v>
      </c>
      <c r="C25" s="541" t="s">
        <v>4052</v>
      </c>
      <c r="D25" s="373">
        <v>100</v>
      </c>
      <c r="E25" s="541" t="s">
        <v>4052</v>
      </c>
      <c r="F25" s="399">
        <f>SUMIF(86:86,E25,87:87)-SUMIF(86:86,C25,87:87)+100</f>
        <v>100</v>
      </c>
      <c r="G25" s="541" t="s">
        <v>4052</v>
      </c>
      <c r="H25" s="373">
        <f>SUMIF(86:86,G25,87:87)-SUMIF(86:86,C25,87:87)+100</f>
        <v>100</v>
      </c>
      <c r="I25" s="541" t="s">
        <v>4052</v>
      </c>
      <c r="J25" s="373">
        <f>SUMIF(86:86,I25,87:87)-SUMIF(86:86,C25,87:87)+100</f>
        <v>100</v>
      </c>
      <c r="K25" s="537">
        <v>3</v>
      </c>
      <c r="L25" s="2480"/>
      <c r="M25" s="2475"/>
      <c r="N25" s="2475"/>
      <c r="O25" s="2475"/>
      <c r="P25" s="3423"/>
      <c r="Q25" s="1252" t="str">
        <f t="shared" ref="Q25:Q46" si="11">B25</f>
        <v>临街状况</v>
      </c>
      <c r="R25" s="663" t="s">
        <v>14</v>
      </c>
      <c r="S25" s="664">
        <f>F25</f>
        <v>100</v>
      </c>
      <c r="T25" s="663" t="s">
        <v>14</v>
      </c>
      <c r="U25" s="664">
        <f>H25</f>
        <v>100</v>
      </c>
      <c r="V25" s="663" t="s">
        <v>14</v>
      </c>
      <c r="W25" s="664">
        <f>J25</f>
        <v>100</v>
      </c>
      <c r="X25" s="1254"/>
      <c r="Y25" s="3425"/>
      <c r="Z25" s="1253" t="str">
        <f>Q25</f>
        <v>临街状况</v>
      </c>
      <c r="AA25" s="1253">
        <f t="shared" si="3"/>
        <v>1</v>
      </c>
      <c r="AB25" s="1253">
        <f t="shared" si="4"/>
        <v>1</v>
      </c>
      <c r="AC25" s="1253">
        <f t="shared" si="5"/>
        <v>1</v>
      </c>
    </row>
    <row r="26" spans="1:29" ht="15">
      <c r="A26" s="366"/>
      <c r="B26" s="1056" t="s">
        <v>1778</v>
      </c>
      <c r="C26" s="372" t="s">
        <v>4024</v>
      </c>
      <c r="D26" s="373">
        <v>100</v>
      </c>
      <c r="E26" s="372" t="s">
        <v>4024</v>
      </c>
      <c r="F26" s="399">
        <f>SUMIF(88:88,E26,89:89)-SUMIF(88:88,C26,89:89)+100</f>
        <v>100</v>
      </c>
      <c r="G26" s="372" t="s">
        <v>4024</v>
      </c>
      <c r="H26" s="373">
        <f>SUMIF(88:88,G26,89:89)-SUMIF(88:88,C26,89:89)+100</f>
        <v>100</v>
      </c>
      <c r="I26" s="372" t="s">
        <v>4024</v>
      </c>
      <c r="J26" s="373">
        <f>SUMIF(88:88,I26,89:89)-SUMIF(88:88,C26,89:89)+100</f>
        <v>100</v>
      </c>
      <c r="K26" s="538"/>
      <c r="L26" s="2480"/>
      <c r="M26" s="2475"/>
      <c r="N26" s="2475"/>
      <c r="O26" s="2475"/>
      <c r="P26" s="3423"/>
      <c r="Q26" s="1252" t="str">
        <f t="shared" si="11"/>
        <v>平面位置/可视性</v>
      </c>
      <c r="R26" s="663" t="s">
        <v>14</v>
      </c>
      <c r="S26" s="664">
        <f>F26</f>
        <v>100</v>
      </c>
      <c r="T26" s="663" t="s">
        <v>14</v>
      </c>
      <c r="U26" s="664">
        <f>H26</f>
        <v>100</v>
      </c>
      <c r="V26" s="663" t="s">
        <v>14</v>
      </c>
      <c r="W26" s="664">
        <f>J26</f>
        <v>100</v>
      </c>
      <c r="X26" s="1254"/>
      <c r="Y26" s="3425"/>
      <c r="Z26" s="1253" t="str">
        <f>Q26</f>
        <v>平面位置/可视性</v>
      </c>
      <c r="AA26" s="1253">
        <f t="shared" si="3"/>
        <v>1</v>
      </c>
      <c r="AB26" s="1253">
        <f t="shared" si="4"/>
        <v>1</v>
      </c>
      <c r="AC26" s="1253">
        <f t="shared" si="5"/>
        <v>1</v>
      </c>
    </row>
    <row r="27" spans="1:29" s="102" customFormat="1" ht="15">
      <c r="A27" s="369"/>
      <c r="B27" s="389" t="s">
        <v>1779</v>
      </c>
      <c r="C27" s="1796" t="s">
        <v>4005</v>
      </c>
      <c r="D27" s="400">
        <v>100</v>
      </c>
      <c r="E27" s="1796" t="s">
        <v>4024</v>
      </c>
      <c r="F27" s="394">
        <f>SUMIF(90:90,E27,91:91)-SUMIF(90:90,C27,91:91)+100</f>
        <v>102</v>
      </c>
      <c r="G27" s="1796" t="s">
        <v>4024</v>
      </c>
      <c r="H27" s="400">
        <f>SUMIF(90:90,G27,91:91)-SUMIF(90:90,C27,91:91)+100</f>
        <v>102</v>
      </c>
      <c r="I27" s="385" t="s">
        <v>4005</v>
      </c>
      <c r="J27" s="400">
        <f>SUMIF(90:90,I27,91:91)-SUMIF(90:90,C27,91:91)+100</f>
        <v>100</v>
      </c>
      <c r="K27" s="537">
        <v>2</v>
      </c>
      <c r="L27" s="2476"/>
      <c r="M27" s="2427"/>
      <c r="N27" s="2427"/>
      <c r="O27" s="2427"/>
      <c r="P27" s="3423"/>
      <c r="Q27" s="529" t="str">
        <f t="shared" si="11"/>
        <v>人流量</v>
      </c>
      <c r="R27" s="660" t="s">
        <v>14</v>
      </c>
      <c r="S27" s="661">
        <f>F27</f>
        <v>102</v>
      </c>
      <c r="T27" s="660" t="s">
        <v>14</v>
      </c>
      <c r="U27" s="661">
        <f>H27</f>
        <v>102</v>
      </c>
      <c r="V27" s="660" t="s">
        <v>14</v>
      </c>
      <c r="W27" s="661">
        <f>J27</f>
        <v>100</v>
      </c>
      <c r="X27" s="662"/>
      <c r="Y27" s="3425"/>
      <c r="Z27" s="50" t="str">
        <f>Q27</f>
        <v>人流量</v>
      </c>
      <c r="AA27" s="1253">
        <f>D27/F27</f>
        <v>0.98039215686274506</v>
      </c>
      <c r="AB27" s="1253">
        <f>D27/H27</f>
        <v>0.98039215686274506</v>
      </c>
      <c r="AC27" s="1253">
        <f>D27/J27</f>
        <v>1</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423"/>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425"/>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423"/>
      <c r="Q29" s="1252">
        <f t="shared" si="11"/>
        <v>111</v>
      </c>
      <c r="R29" s="663" t="s">
        <v>14</v>
      </c>
      <c r="S29" s="664">
        <f t="shared" si="12"/>
        <v>100</v>
      </c>
      <c r="T29" s="663" t="s">
        <v>14</v>
      </c>
      <c r="U29" s="664">
        <f t="shared" si="13"/>
        <v>100</v>
      </c>
      <c r="V29" s="663" t="s">
        <v>14</v>
      </c>
      <c r="W29" s="664">
        <f t="shared" si="14"/>
        <v>100</v>
      </c>
      <c r="X29" s="1254"/>
      <c r="Y29" s="3425"/>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253">
        <f t="shared" si="5"/>
        <v>1</v>
      </c>
    </row>
    <row r="32" spans="1:29" ht="15">
      <c r="A32" s="378" t="s">
        <v>1691</v>
      </c>
      <c r="B32" s="60" t="s">
        <v>1781</v>
      </c>
      <c r="C32" s="1753" t="s">
        <v>4059</v>
      </c>
      <c r="D32" s="404">
        <v>100</v>
      </c>
      <c r="E32" s="1753" t="s">
        <v>4069</v>
      </c>
      <c r="F32" s="399">
        <f>SUMIF(100:100,E32,101:101)-SUMIF(100:100,C32,101:101)+100</f>
        <v>97</v>
      </c>
      <c r="G32" s="1753" t="s">
        <v>4069</v>
      </c>
      <c r="H32" s="373">
        <f>SUMIF(100:100,G32,101:101)-SUMIF(100:100,C32,101:101)+100</f>
        <v>97</v>
      </c>
      <c r="I32" s="1753" t="s">
        <v>4069</v>
      </c>
      <c r="J32" s="404">
        <f>SUMIF(100:100,I32,101:101)-SUMIF(100:100,C32,101:101)+100</f>
        <v>97</v>
      </c>
      <c r="K32" s="537">
        <v>3</v>
      </c>
      <c r="L32" s="2480"/>
      <c r="M32" s="2475"/>
      <c r="N32" s="2475"/>
      <c r="O32" s="2475"/>
      <c r="P32" s="3426" t="s">
        <v>1693</v>
      </c>
      <c r="Q32" s="1252" t="str">
        <f t="shared" si="11"/>
        <v>商业类型</v>
      </c>
      <c r="R32" s="663" t="s">
        <v>14</v>
      </c>
      <c r="S32" s="664">
        <f t="shared" si="12"/>
        <v>97</v>
      </c>
      <c r="T32" s="663" t="s">
        <v>14</v>
      </c>
      <c r="U32" s="664">
        <f t="shared" si="13"/>
        <v>97</v>
      </c>
      <c r="V32" s="663" t="s">
        <v>14</v>
      </c>
      <c r="W32" s="664">
        <f t="shared" si="14"/>
        <v>97</v>
      </c>
      <c r="X32" s="1254"/>
      <c r="Y32" s="3429" t="s">
        <v>1693</v>
      </c>
      <c r="Z32" s="1253" t="str">
        <f t="shared" si="15"/>
        <v>商业类型</v>
      </c>
      <c r="AA32" s="1253">
        <f t="shared" si="3"/>
        <v>1.0309278350515463</v>
      </c>
      <c r="AB32" s="1253">
        <f t="shared" si="4"/>
        <v>1.0309278350515463</v>
      </c>
      <c r="AC32" s="1253">
        <f t="shared" si="5"/>
        <v>1.0309278350515463</v>
      </c>
    </row>
    <row r="33" spans="1:29" s="407" customFormat="1" ht="15">
      <c r="A33" s="405"/>
      <c r="B33" s="363" t="s">
        <v>1694</v>
      </c>
      <c r="C33" s="406">
        <v>134.51</v>
      </c>
      <c r="D33" s="118">
        <v>100</v>
      </c>
      <c r="E33" s="368">
        <v>194</v>
      </c>
      <c r="F33" s="363">
        <f>LOOKUP(E33,103:103,104:104)-LOOKUP(C33,103:103,104:104)+100</f>
        <v>100</v>
      </c>
      <c r="G33" s="367">
        <v>50</v>
      </c>
      <c r="H33" s="118">
        <f>LOOKUP(G33,103:103,104:104)-LOOKUP(C33,103:103,104:104)+100</f>
        <v>102</v>
      </c>
      <c r="I33" s="367">
        <v>98</v>
      </c>
      <c r="J33" s="118">
        <f>LOOKUP(I33,103:103,104:104)-LOOKUP(C33,103:103,104:104)+100</f>
        <v>102</v>
      </c>
      <c r="K33" s="538"/>
      <c r="L33" s="2479"/>
      <c r="M33" s="2481"/>
      <c r="N33" s="2481"/>
      <c r="O33" s="2481"/>
      <c r="P33" s="3427"/>
      <c r="Q33" s="530" t="str">
        <f t="shared" si="11"/>
        <v>项目建筑规模</v>
      </c>
      <c r="R33" s="665" t="s">
        <v>14</v>
      </c>
      <c r="S33" s="666">
        <f t="shared" si="12"/>
        <v>100</v>
      </c>
      <c r="T33" s="665" t="s">
        <v>14</v>
      </c>
      <c r="U33" s="666">
        <f t="shared" si="13"/>
        <v>102</v>
      </c>
      <c r="V33" s="665" t="s">
        <v>14</v>
      </c>
      <c r="W33" s="666">
        <f t="shared" si="14"/>
        <v>102</v>
      </c>
      <c r="X33" s="667"/>
      <c r="Y33" s="3429"/>
      <c r="Z33" s="668" t="str">
        <f t="shared" si="15"/>
        <v>项目建筑规模</v>
      </c>
      <c r="AA33" s="1253">
        <f t="shared" si="3"/>
        <v>1</v>
      </c>
      <c r="AB33" s="1253">
        <f t="shared" si="4"/>
        <v>0.98039215686274506</v>
      </c>
      <c r="AC33" s="1253">
        <f t="shared" si="5"/>
        <v>0.98039215686274506</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2</v>
      </c>
      <c r="L34" s="2480"/>
      <c r="M34" s="2475"/>
      <c r="N34" s="2475"/>
      <c r="O34" s="2475"/>
      <c r="P34" s="3427"/>
      <c r="Q34" s="1252" t="str">
        <f t="shared" si="11"/>
        <v>建筑结构</v>
      </c>
      <c r="R34" s="663" t="s">
        <v>14</v>
      </c>
      <c r="S34" s="664">
        <f t="shared" si="12"/>
        <v>100</v>
      </c>
      <c r="T34" s="663" t="s">
        <v>14</v>
      </c>
      <c r="U34" s="664">
        <f t="shared" si="13"/>
        <v>100</v>
      </c>
      <c r="V34" s="663" t="s">
        <v>14</v>
      </c>
      <c r="W34" s="664">
        <f t="shared" si="14"/>
        <v>100</v>
      </c>
      <c r="X34" s="1254"/>
      <c r="Y34" s="3429"/>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427"/>
      <c r="Q35" s="1252" t="str">
        <f t="shared" si="11"/>
        <v>公共部分装修</v>
      </c>
      <c r="R35" s="663" t="s">
        <v>14</v>
      </c>
      <c r="S35" s="664">
        <f t="shared" si="12"/>
        <v>100</v>
      </c>
      <c r="T35" s="663" t="s">
        <v>14</v>
      </c>
      <c r="U35" s="664">
        <f t="shared" si="13"/>
        <v>100</v>
      </c>
      <c r="V35" s="663" t="s">
        <v>14</v>
      </c>
      <c r="W35" s="664">
        <f t="shared" si="14"/>
        <v>100</v>
      </c>
      <c r="X35" s="1254"/>
      <c r="Y35" s="3429"/>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427"/>
      <c r="Q36" s="1252" t="str">
        <f t="shared" si="11"/>
        <v>成新度</v>
      </c>
      <c r="R36" s="663" t="s">
        <v>14</v>
      </c>
      <c r="S36" s="664">
        <f t="shared" si="12"/>
        <v>100</v>
      </c>
      <c r="T36" s="663" t="s">
        <v>14</v>
      </c>
      <c r="U36" s="664">
        <f t="shared" si="13"/>
        <v>100</v>
      </c>
      <c r="V36" s="663" t="s">
        <v>14</v>
      </c>
      <c r="W36" s="664">
        <f t="shared" si="14"/>
        <v>100</v>
      </c>
      <c r="X36" s="1254"/>
      <c r="Y36" s="3429"/>
      <c r="Z36" s="1253" t="str">
        <f t="shared" si="15"/>
        <v>成新度</v>
      </c>
      <c r="AA36" s="1253">
        <f t="shared" si="3"/>
        <v>1</v>
      </c>
      <c r="AB36" s="1253">
        <f t="shared" si="4"/>
        <v>1</v>
      </c>
      <c r="AC36" s="1253">
        <f t="shared" si="5"/>
        <v>1</v>
      </c>
    </row>
    <row r="37" spans="1:29" s="102" customFormat="1" ht="15">
      <c r="A37" s="409"/>
      <c r="B37" s="363" t="s">
        <v>1784</v>
      </c>
      <c r="C37" s="1749" t="s">
        <v>4019</v>
      </c>
      <c r="D37" s="118">
        <v>100</v>
      </c>
      <c r="E37" s="1749" t="s">
        <v>4019</v>
      </c>
      <c r="F37" s="399">
        <f>SUMIF(112:112,E37,113:113)-SUMIF(112:112,C37,113:113)+100</f>
        <v>100</v>
      </c>
      <c r="G37" s="1749" t="s">
        <v>4019</v>
      </c>
      <c r="H37" s="373">
        <f>SUMIF(112:112,G37,113:113)-SUMIF(112:112,C37,113:113)+100</f>
        <v>100</v>
      </c>
      <c r="I37" s="1749" t="s">
        <v>4019</v>
      </c>
      <c r="J37" s="373">
        <f>SUMIF(112:112,I37,113:113)-SUMIF(112:112,C37,113:113)+100</f>
        <v>100</v>
      </c>
      <c r="K37" s="537">
        <v>1</v>
      </c>
      <c r="L37" s="2476"/>
      <c r="M37" s="2427"/>
      <c r="N37" s="2427"/>
      <c r="O37" s="2427"/>
      <c r="P37" s="3427"/>
      <c r="Q37" s="529" t="str">
        <f t="shared" si="11"/>
        <v>市政基础设施</v>
      </c>
      <c r="R37" s="660" t="s">
        <v>14</v>
      </c>
      <c r="S37" s="661">
        <f t="shared" si="12"/>
        <v>100</v>
      </c>
      <c r="T37" s="660" t="s">
        <v>14</v>
      </c>
      <c r="U37" s="661">
        <f t="shared" si="13"/>
        <v>100</v>
      </c>
      <c r="V37" s="660" t="s">
        <v>14</v>
      </c>
      <c r="W37" s="661">
        <f t="shared" si="14"/>
        <v>100</v>
      </c>
      <c r="X37" s="662"/>
      <c r="Y37" s="3429"/>
      <c r="Z37" s="50" t="str">
        <f t="shared" si="15"/>
        <v>市政基础设施</v>
      </c>
      <c r="AA37" s="50">
        <f t="shared" si="3"/>
        <v>1</v>
      </c>
      <c r="AB37" s="50">
        <f t="shared" si="4"/>
        <v>1</v>
      </c>
      <c r="AC37" s="50">
        <f t="shared" si="5"/>
        <v>1</v>
      </c>
    </row>
    <row r="38" spans="1:29" ht="15">
      <c r="A38" s="408"/>
      <c r="B38" s="363" t="s">
        <v>1785</v>
      </c>
      <c r="C38" s="1749" t="s">
        <v>4060</v>
      </c>
      <c r="D38" s="373">
        <v>100</v>
      </c>
      <c r="E38" s="1749" t="s">
        <v>4072</v>
      </c>
      <c r="F38" s="399">
        <f>SUMIF(114:114,E38,115:115)-SUMIF(114:114,C38,115:115)+100</f>
        <v>102</v>
      </c>
      <c r="G38" s="1749" t="s">
        <v>4072</v>
      </c>
      <c r="H38" s="373">
        <f>SUMIF(114:114,G38,115:115)-SUMIF(114:114,C38,115:115)+100</f>
        <v>102</v>
      </c>
      <c r="I38" s="1749" t="s">
        <v>4072</v>
      </c>
      <c r="J38" s="373">
        <f>SUMIF(114:114,I38,115:115)-SUMIF(114:114,C38,115:115)+100</f>
        <v>102</v>
      </c>
      <c r="K38" s="537">
        <v>2</v>
      </c>
      <c r="L38" s="2480"/>
      <c r="M38" s="2475"/>
      <c r="N38" s="2475"/>
      <c r="O38" s="2475"/>
      <c r="P38" s="3427" t="s">
        <v>1693</v>
      </c>
      <c r="Q38" s="1252" t="str">
        <f t="shared" si="11"/>
        <v>业态</v>
      </c>
      <c r="R38" s="663" t="s">
        <v>14</v>
      </c>
      <c r="S38" s="664">
        <f t="shared" si="12"/>
        <v>102</v>
      </c>
      <c r="T38" s="663" t="s">
        <v>14</v>
      </c>
      <c r="U38" s="664">
        <f t="shared" si="13"/>
        <v>102</v>
      </c>
      <c r="V38" s="663" t="s">
        <v>14</v>
      </c>
      <c r="W38" s="664">
        <f t="shared" si="14"/>
        <v>102</v>
      </c>
      <c r="X38" s="1254"/>
      <c r="Y38" s="3429" t="s">
        <v>1693</v>
      </c>
      <c r="Z38" s="1253" t="str">
        <f t="shared" si="15"/>
        <v>业态</v>
      </c>
      <c r="AA38" s="1253">
        <f t="shared" si="3"/>
        <v>0.98039215686274506</v>
      </c>
      <c r="AB38" s="1253">
        <f t="shared" si="4"/>
        <v>0.98039215686274506</v>
      </c>
      <c r="AC38" s="1253">
        <f t="shared" si="5"/>
        <v>0.98039215686274506</v>
      </c>
    </row>
    <row r="39" spans="1:29" ht="15">
      <c r="A39" s="408"/>
      <c r="B39" s="363" t="s">
        <v>1786</v>
      </c>
      <c r="C39" s="1749" t="s">
        <v>4061</v>
      </c>
      <c r="D39" s="373">
        <v>100</v>
      </c>
      <c r="E39" s="1749" t="s">
        <v>4070</v>
      </c>
      <c r="F39" s="399">
        <f>SUMIF(116:116,E39,117:117)-SUMIF(116:116,C39,117:117)+100</f>
        <v>90</v>
      </c>
      <c r="G39" s="1749" t="s">
        <v>4070</v>
      </c>
      <c r="H39" s="373">
        <f>SUMIF(116:116,G39,117:117)-SUMIF(116:116,C39,117:117)+100</f>
        <v>90</v>
      </c>
      <c r="I39" s="1749" t="s">
        <v>4070</v>
      </c>
      <c r="J39" s="373">
        <f>SUMIF(116:116,I39,117:117)-SUMIF(116:116,C39,117:117)+100</f>
        <v>90</v>
      </c>
      <c r="K39" s="537">
        <v>10</v>
      </c>
      <c r="L39" s="2480"/>
      <c r="M39" s="2475"/>
      <c r="N39" s="2475"/>
      <c r="O39" s="2475"/>
      <c r="P39" s="3427"/>
      <c r="Q39" s="1252" t="str">
        <f t="shared" si="11"/>
        <v>层高</v>
      </c>
      <c r="R39" s="663" t="s">
        <v>14</v>
      </c>
      <c r="S39" s="664">
        <f t="shared" si="12"/>
        <v>90</v>
      </c>
      <c r="T39" s="663" t="s">
        <v>14</v>
      </c>
      <c r="U39" s="664">
        <f t="shared" si="13"/>
        <v>90</v>
      </c>
      <c r="V39" s="663" t="s">
        <v>14</v>
      </c>
      <c r="W39" s="664">
        <f t="shared" si="14"/>
        <v>90</v>
      </c>
      <c r="X39" s="1254"/>
      <c r="Y39" s="3429"/>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427"/>
      <c r="Q40" s="1252" t="str">
        <f t="shared" si="11"/>
        <v>单套建筑面积</v>
      </c>
      <c r="R40" s="663" t="s">
        <v>14</v>
      </c>
      <c r="S40" s="664">
        <f t="shared" si="12"/>
        <v>100</v>
      </c>
      <c r="T40" s="663" t="s">
        <v>14</v>
      </c>
      <c r="U40" s="664">
        <f t="shared" si="13"/>
        <v>100</v>
      </c>
      <c r="V40" s="663" t="s">
        <v>14</v>
      </c>
      <c r="W40" s="664">
        <f t="shared" si="14"/>
        <v>100</v>
      </c>
      <c r="X40" s="1254"/>
      <c r="Y40" s="3429"/>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427"/>
      <c r="Q41" s="530" t="str">
        <f t="shared" si="11"/>
        <v>进深比</v>
      </c>
      <c r="R41" s="665" t="s">
        <v>14</v>
      </c>
      <c r="S41" s="666">
        <f t="shared" si="12"/>
        <v>100</v>
      </c>
      <c r="T41" s="665" t="s">
        <v>14</v>
      </c>
      <c r="U41" s="666">
        <f t="shared" si="13"/>
        <v>100</v>
      </c>
      <c r="V41" s="665" t="s">
        <v>14</v>
      </c>
      <c r="W41" s="666">
        <f t="shared" si="14"/>
        <v>100</v>
      </c>
      <c r="X41" s="667"/>
      <c r="Y41" s="3429"/>
      <c r="Z41" s="668" t="str">
        <f t="shared" si="15"/>
        <v>进深比</v>
      </c>
      <c r="AA41" s="1253">
        <f t="shared" si="3"/>
        <v>1</v>
      </c>
      <c r="AB41" s="1253">
        <f t="shared" si="4"/>
        <v>1</v>
      </c>
      <c r="AC41" s="1253">
        <f t="shared" si="5"/>
        <v>1</v>
      </c>
    </row>
    <row r="42" spans="1:29" ht="15">
      <c r="A42" s="408"/>
      <c r="B42" s="363" t="s">
        <v>1789</v>
      </c>
      <c r="C42" s="1749" t="s">
        <v>4054</v>
      </c>
      <c r="D42" s="373">
        <v>100</v>
      </c>
      <c r="E42" s="1749" t="s">
        <v>4055</v>
      </c>
      <c r="F42" s="399">
        <f>SUMIF(122:122,E42,123:123)-SUMIF(122:122,C42,123:123)+100</f>
        <v>100</v>
      </c>
      <c r="G42" s="1749" t="s">
        <v>4054</v>
      </c>
      <c r="H42" s="373">
        <f>SUMIF(122:122,G42,123:123)-SUMIF(122:122,C42,123:123)+100</f>
        <v>100</v>
      </c>
      <c r="I42" s="1749" t="s">
        <v>4054</v>
      </c>
      <c r="J42" s="373">
        <f>SUMIF(122:122,I42,123:123)-SUMIF(122:122,C42,123:123)+100</f>
        <v>100</v>
      </c>
      <c r="K42" s="537">
        <v>1</v>
      </c>
      <c r="L42" s="2480"/>
      <c r="M42" s="2475"/>
      <c r="N42" s="2475"/>
      <c r="O42" s="2475"/>
      <c r="P42" s="3427"/>
      <c r="Q42" s="1252" t="str">
        <f t="shared" si="11"/>
        <v>内部装修</v>
      </c>
      <c r="R42" s="663" t="s">
        <v>14</v>
      </c>
      <c r="S42" s="664">
        <f t="shared" si="12"/>
        <v>100</v>
      </c>
      <c r="T42" s="663" t="s">
        <v>14</v>
      </c>
      <c r="U42" s="664">
        <f t="shared" si="13"/>
        <v>100</v>
      </c>
      <c r="V42" s="663" t="s">
        <v>14</v>
      </c>
      <c r="W42" s="664">
        <f t="shared" si="14"/>
        <v>100</v>
      </c>
      <c r="X42" s="1254"/>
      <c r="Y42" s="3429"/>
      <c r="Z42" s="1253" t="str">
        <f t="shared" si="15"/>
        <v>内部装修</v>
      </c>
      <c r="AA42" s="1253">
        <f t="shared" si="3"/>
        <v>1</v>
      </c>
      <c r="AB42" s="1253">
        <f t="shared" si="4"/>
        <v>1</v>
      </c>
      <c r="AC42" s="1253">
        <f t="shared" si="5"/>
        <v>1</v>
      </c>
    </row>
    <row r="43" spans="1:29" ht="15">
      <c r="A43" s="408"/>
      <c r="B43" s="363" t="s">
        <v>1704</v>
      </c>
      <c r="C43" s="1749" t="s">
        <v>4024</v>
      </c>
      <c r="D43" s="373">
        <v>100</v>
      </c>
      <c r="E43" s="1749" t="s">
        <v>4024</v>
      </c>
      <c r="F43" s="399">
        <f>SUMIF(124:124,E43,125:125)-SUMIF(124:124,C43,125:125)+100</f>
        <v>100</v>
      </c>
      <c r="G43" s="1749" t="s">
        <v>4024</v>
      </c>
      <c r="H43" s="373">
        <f>SUMIF(124:124,G43,125:125)-SUMIF(124:124,C43,125:125)+100</f>
        <v>100</v>
      </c>
      <c r="I43" s="1749" t="s">
        <v>4024</v>
      </c>
      <c r="J43" s="373">
        <f>SUMIF(124:124,I43,125:125)-SUMIF(124:124,C43,125:125)+100</f>
        <v>100</v>
      </c>
      <c r="K43" s="537">
        <v>2</v>
      </c>
      <c r="L43" s="2480"/>
      <c r="M43" s="2475"/>
      <c r="N43" s="2475"/>
      <c r="O43" s="2475"/>
      <c r="P43" s="3427"/>
      <c r="Q43" s="1252" t="str">
        <f t="shared" si="11"/>
        <v>内部装修维护情况</v>
      </c>
      <c r="R43" s="663" t="s">
        <v>14</v>
      </c>
      <c r="S43" s="664">
        <f t="shared" si="12"/>
        <v>100</v>
      </c>
      <c r="T43" s="663" t="s">
        <v>14</v>
      </c>
      <c r="U43" s="664">
        <f t="shared" si="13"/>
        <v>100</v>
      </c>
      <c r="V43" s="663" t="s">
        <v>14</v>
      </c>
      <c r="W43" s="664">
        <f t="shared" si="14"/>
        <v>100</v>
      </c>
      <c r="X43" s="1254"/>
      <c r="Y43" s="3429"/>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427"/>
      <c r="Q44" s="529">
        <f t="shared" si="11"/>
        <v>111</v>
      </c>
      <c r="R44" s="660" t="s">
        <v>14</v>
      </c>
      <c r="S44" s="661">
        <f t="shared" si="12"/>
        <v>100</v>
      </c>
      <c r="T44" s="660" t="s">
        <v>14</v>
      </c>
      <c r="U44" s="661">
        <f t="shared" si="13"/>
        <v>100</v>
      </c>
      <c r="V44" s="660" t="s">
        <v>14</v>
      </c>
      <c r="W44" s="661">
        <f t="shared" si="14"/>
        <v>100</v>
      </c>
      <c r="X44" s="662"/>
      <c r="Y44" s="3429"/>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427"/>
      <c r="Q45" s="1252">
        <f t="shared" si="11"/>
        <v>111</v>
      </c>
      <c r="R45" s="663" t="s">
        <v>14</v>
      </c>
      <c r="S45" s="664">
        <f t="shared" si="12"/>
        <v>100</v>
      </c>
      <c r="T45" s="663" t="s">
        <v>14</v>
      </c>
      <c r="U45" s="664">
        <f t="shared" si="13"/>
        <v>100</v>
      </c>
      <c r="V45" s="663" t="s">
        <v>14</v>
      </c>
      <c r="W45" s="664">
        <f t="shared" si="14"/>
        <v>100</v>
      </c>
      <c r="X45" s="1254"/>
      <c r="Y45" s="3429"/>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428"/>
      <c r="Q46" s="1252">
        <f t="shared" si="11"/>
        <v>111</v>
      </c>
      <c r="R46" s="663" t="s">
        <v>14</v>
      </c>
      <c r="S46" s="664">
        <f t="shared" si="12"/>
        <v>100</v>
      </c>
      <c r="T46" s="663" t="s">
        <v>14</v>
      </c>
      <c r="U46" s="664">
        <f t="shared" si="13"/>
        <v>100</v>
      </c>
      <c r="V46" s="663" t="s">
        <v>14</v>
      </c>
      <c r="W46" s="664">
        <f t="shared" si="14"/>
        <v>100</v>
      </c>
      <c r="X46" s="1254"/>
      <c r="Y46" s="3430"/>
      <c r="Z46" s="1253">
        <f t="shared" si="15"/>
        <v>111</v>
      </c>
      <c r="AA46" s="1253">
        <f t="shared" si="3"/>
        <v>1</v>
      </c>
      <c r="AB46" s="1253">
        <f t="shared" si="4"/>
        <v>1</v>
      </c>
      <c r="AC46" s="1253">
        <f t="shared" si="5"/>
        <v>1</v>
      </c>
    </row>
    <row r="47" spans="1:29" ht="15">
      <c r="A47" s="415" t="s">
        <v>1705</v>
      </c>
      <c r="B47" s="416"/>
      <c r="C47" s="1071" t="s">
        <v>0</v>
      </c>
      <c r="D47" s="417"/>
      <c r="E47" s="418">
        <v>4.9800000000000004</v>
      </c>
      <c r="F47" s="419"/>
      <c r="G47" s="420">
        <v>5</v>
      </c>
      <c r="H47" s="421"/>
      <c r="I47" s="418">
        <v>5</v>
      </c>
      <c r="J47" s="421"/>
      <c r="K47" s="670"/>
      <c r="L47" s="2482"/>
      <c r="M47" s="2475"/>
      <c r="N47" s="2475"/>
      <c r="O47" s="2475"/>
      <c r="P47" s="3431" t="str">
        <f>A47</f>
        <v>成交单价（元/平方米）</v>
      </c>
      <c r="Q47" s="3431"/>
      <c r="R47" s="3419">
        <f>E47</f>
        <v>4.9800000000000004</v>
      </c>
      <c r="S47" s="3419"/>
      <c r="T47" s="3419">
        <f>G47</f>
        <v>5</v>
      </c>
      <c r="U47" s="3419"/>
      <c r="V47" s="3419">
        <f>I47</f>
        <v>5</v>
      </c>
      <c r="W47" s="3419"/>
      <c r="X47" s="384"/>
      <c r="Y47" s="669"/>
      <c r="Z47" s="384"/>
      <c r="AA47" s="384"/>
      <c r="AB47" s="384"/>
      <c r="AC47" s="384"/>
    </row>
    <row r="48" spans="1:29" ht="15.75" thickBot="1">
      <c r="A48" s="422" t="s">
        <v>1706</v>
      </c>
      <c r="B48" s="423"/>
      <c r="C48" s="1072">
        <f>R49</f>
        <v>5.2</v>
      </c>
      <c r="D48" s="2130" t="s">
        <v>2130</v>
      </c>
      <c r="E48" s="1073">
        <f>R48</f>
        <v>5.0999999999999996</v>
      </c>
      <c r="F48" s="2131"/>
      <c r="G48" s="1072">
        <f>T48</f>
        <v>5</v>
      </c>
      <c r="H48" s="2131"/>
      <c r="I48" s="1073">
        <f>V48</f>
        <v>5.4</v>
      </c>
      <c r="J48" s="2131"/>
      <c r="K48" s="2133">
        <f>F48+H48+J48</f>
        <v>0</v>
      </c>
      <c r="L48" s="2482"/>
      <c r="M48" s="2475"/>
      <c r="N48" s="2475"/>
      <c r="O48" s="2475"/>
      <c r="P48" s="3431" t="str">
        <f>A48</f>
        <v>比较价值（元/平方米）</v>
      </c>
      <c r="Q48" s="3431"/>
      <c r="R48" s="3419">
        <f>IF(F1="售价",ROUND(PRODUCT(R47,AA7:AA46),0),ROUND(PRODUCT(R47,AA7:AA46),1))</f>
        <v>5.0999999999999996</v>
      </c>
      <c r="S48" s="3419"/>
      <c r="T48" s="3419">
        <f>IF(F1="售价",ROUND(PRODUCT(T47,AB7:AB46),0),ROUND(PRODUCT(T47,AB7:AB46),1))</f>
        <v>5</v>
      </c>
      <c r="U48" s="3419"/>
      <c r="V48" s="3419">
        <f>IF(F1="售价",ROUND(PRODUCT(V47,AC7:AC46),0),ROUND(PRODUCT(V47,AC7:AC46),1))</f>
        <v>5.4</v>
      </c>
      <c r="W48" s="3419"/>
      <c r="X48" s="384"/>
      <c r="Y48" s="384"/>
      <c r="Z48" s="384"/>
      <c r="AA48" s="384"/>
      <c r="AB48" s="384"/>
      <c r="AC48" s="384"/>
    </row>
    <row r="49" spans="1:29" ht="15.75" thickBot="1">
      <c r="A49" s="426" t="s">
        <v>1707</v>
      </c>
      <c r="B49" s="427"/>
      <c r="C49" s="350">
        <f>R49</f>
        <v>5.2</v>
      </c>
      <c r="D49" s="350"/>
      <c r="E49" s="350"/>
      <c r="F49" s="350"/>
      <c r="G49" s="350"/>
      <c r="H49" s="350"/>
      <c r="I49" s="350"/>
      <c r="J49" s="350"/>
      <c r="K49" s="671"/>
      <c r="L49" s="2482"/>
      <c r="M49" s="2475"/>
      <c r="N49" s="2475"/>
      <c r="O49" s="2475"/>
      <c r="P49" s="3472" t="str">
        <f>A49</f>
        <v>估价对象XX用房的比较价值（楼面单价，元/平方米）</v>
      </c>
      <c r="Q49" s="3473"/>
      <c r="R49" s="3474">
        <f>IF(F1="售价",ROUND(IF(D48="简单平均",AVERAGE(R48:V48),R48*F48+T48*H48+V48*J48),0),ROUND(IF(D48="简单平均",AVERAGE(R48:V48),R48*F48+T48*H48+V48*J48),1))</f>
        <v>5.2</v>
      </c>
      <c r="S49" s="3474"/>
      <c r="T49" s="3474"/>
      <c r="U49" s="3474"/>
      <c r="V49" s="3474"/>
      <c r="W49" s="3474"/>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1708</v>
      </c>
      <c r="D52" s="432"/>
      <c r="E52" s="433">
        <f>IF(E47&lt;E48,E48/E47-1,E47/E48-1)</f>
        <v>2.409638554216853E-2</v>
      </c>
      <c r="F52" s="434" t="str">
        <f>IF(OR(E52&gt;=0.3,E52&lt;=-0.3),"超过30%","")</f>
        <v/>
      </c>
      <c r="G52" s="433">
        <f>IF(G47&lt;G48,G48/G47-1,G47/G48-1)</f>
        <v>0</v>
      </c>
      <c r="H52" s="434" t="str">
        <f>IF(OR(G52&gt;=0.3,G52&lt;=-0.3),"超过30%","")</f>
        <v/>
      </c>
      <c r="I52" s="433">
        <f>IF(I47&lt;I48,I48/I47-1,I47/I48-1)</f>
        <v>8.0000000000000071E-2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1709</v>
      </c>
      <c r="D53" s="435"/>
      <c r="E53" s="433">
        <f>IF(E48&lt;G48,G48/E48-1,E48/G48-1)</f>
        <v>2.0000000000000018E-2</v>
      </c>
      <c r="F53" s="434" t="str">
        <f>IF(OR(E53&gt;=0.2,E53&lt;=-0.2),"超过20%","")</f>
        <v/>
      </c>
      <c r="G53" s="433">
        <f>IF(G48&lt;I48,I48/G48-1,G48/I48-1)</f>
        <v>8.0000000000000071E-2</v>
      </c>
      <c r="H53" s="434" t="str">
        <f>IF(OR(G53&gt;=0.2,G53&lt;=-0.2),"超过20%","")</f>
        <v/>
      </c>
      <c r="I53" s="433">
        <f>IF(I48&lt;E48,E48/I48-1,I48/E48-1)</f>
        <v>5.8823529411764941E-2</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1710</v>
      </c>
      <c r="D54" s="435"/>
      <c r="E54" s="433">
        <f>IF(E47&lt;G47,G47/E47-1,E47/G47-1)</f>
        <v>4.0160642570279403E-3</v>
      </c>
      <c r="F54" s="434" t="str">
        <f>IF(OR(E54&gt;=0.3,E54&lt;=-0.3),"超过30%","")</f>
        <v/>
      </c>
      <c r="G54" s="433">
        <f>IF(G47&lt;I47,I47/G47-1,G47/I47-1)</f>
        <v>0</v>
      </c>
      <c r="H54" s="434" t="str">
        <f>IF(OR(G54&gt;=0.3,G54&lt;=-0.3),"超过30%","")</f>
        <v/>
      </c>
      <c r="I54" s="433">
        <f>IF(I47&lt;E47,E47/I47-1,I47/E47-1)</f>
        <v>4.0160642570279403E-3</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1711</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2024-10</v>
      </c>
      <c r="D58" s="1094">
        <f>EDATE(C58,-1)</f>
        <v>45536</v>
      </c>
      <c r="E58" s="1094">
        <f t="shared" ref="E58:N58" si="16">EDATE(D58,-1)</f>
        <v>45505</v>
      </c>
      <c r="F58" s="1094">
        <f t="shared" si="16"/>
        <v>45474</v>
      </c>
      <c r="G58" s="1094">
        <f t="shared" si="16"/>
        <v>45444</v>
      </c>
      <c r="H58" s="1094">
        <f t="shared" si="16"/>
        <v>45413</v>
      </c>
      <c r="I58" s="1094">
        <f t="shared" si="16"/>
        <v>45383</v>
      </c>
      <c r="J58" s="1094">
        <f t="shared" si="16"/>
        <v>45352</v>
      </c>
      <c r="K58" s="1094">
        <f t="shared" si="16"/>
        <v>45323</v>
      </c>
      <c r="L58" s="1094">
        <f t="shared" si="16"/>
        <v>45292</v>
      </c>
      <c r="M58" s="1094">
        <f t="shared" si="16"/>
        <v>45261</v>
      </c>
      <c r="N58" s="1094">
        <f t="shared" si="16"/>
        <v>45231</v>
      </c>
      <c r="O58" s="1094">
        <f>EDATE(N58,-1)</f>
        <v>45200</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1715</v>
      </c>
      <c r="D61" s="3166" t="s">
        <v>4062</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0" t="s">
        <v>4063</v>
      </c>
      <c r="D86" s="3160" t="s">
        <v>4064</v>
      </c>
      <c r="E86" s="3160" t="s">
        <v>4052</v>
      </c>
      <c r="F86" s="3160" t="s">
        <v>4065</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4056</v>
      </c>
      <c r="D88" s="466" t="s">
        <v>4024</v>
      </c>
      <c r="E88" s="466" t="s">
        <v>4005</v>
      </c>
      <c r="F88" s="466" t="s">
        <v>4066</v>
      </c>
      <c r="G88" s="466" t="s">
        <v>4067</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4056</v>
      </c>
      <c r="D90" s="484" t="s">
        <v>4024</v>
      </c>
      <c r="E90" s="484" t="s">
        <v>4005</v>
      </c>
      <c r="F90" s="484" t="s">
        <v>4066</v>
      </c>
      <c r="G90" s="484" t="s">
        <v>4067</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0" t="s">
        <v>3399</v>
      </c>
      <c r="D92" s="484" t="s">
        <v>4068</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1" t="s">
        <v>4053</v>
      </c>
      <c r="D100" s="3161" t="s">
        <v>4059</v>
      </c>
      <c r="E100" s="3161" t="s">
        <v>4069</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0"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0" t="s">
        <v>4013</v>
      </c>
      <c r="D107" s="3160" t="s">
        <v>4014</v>
      </c>
      <c r="E107" s="3160" t="s">
        <v>4015</v>
      </c>
      <c r="F107" s="3162" t="s">
        <v>4016</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0" t="s">
        <v>4007</v>
      </c>
      <c r="D112" s="3160" t="s">
        <v>4019</v>
      </c>
      <c r="E112" s="3160" t="s">
        <v>4071</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0" t="s">
        <v>4072</v>
      </c>
      <c r="D114" s="3160" t="s">
        <v>4060</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0" t="s">
        <v>4061</v>
      </c>
      <c r="D116" s="3160" t="s">
        <v>4070</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0" t="s">
        <v>4013</v>
      </c>
      <c r="D122" s="3160" t="s">
        <v>4014</v>
      </c>
      <c r="E122" s="3160" t="s">
        <v>4015</v>
      </c>
      <c r="F122" s="3162" t="s">
        <v>4016</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97" priority="14" stopIfTrue="1">
      <formula>$F$52="超过30%"</formula>
    </cfRule>
  </conditionalFormatting>
  <conditionalFormatting sqref="E53">
    <cfRule type="expression" dxfId="96" priority="13" stopIfTrue="1">
      <formula>$F$53="超过20%"</formula>
    </cfRule>
  </conditionalFormatting>
  <conditionalFormatting sqref="E54">
    <cfRule type="expression" dxfId="95" priority="12"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5" stopIfTrue="1" operator="containsText" text="超过">
      <formula>NOT(ISERROR(SEARCH("超过",F52)))</formula>
    </cfRule>
  </conditionalFormatting>
  <conditionalFormatting sqref="G52">
    <cfRule type="expression" dxfId="91" priority="10" stopIfTrue="1">
      <formula>$H$52="超过30%"</formula>
    </cfRule>
  </conditionalFormatting>
  <conditionalFormatting sqref="G53">
    <cfRule type="expression" dxfId="90" priority="9" stopIfTrue="1">
      <formula>$H$53="超过20%"</formula>
    </cfRule>
  </conditionalFormatting>
  <conditionalFormatting sqref="G54">
    <cfRule type="expression" dxfId="89" priority="11"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E1" xr:uid="{BD25B565-1628-4152-BA5A-7E09B28BE60F}">
      <formula1>"项目模式,单套模式"</formula1>
    </dataValidation>
    <dataValidation type="list" allowBlank="1" showInputMessage="1" showErrorMessage="1" sqref="D48" xr:uid="{7FC3838C-D4F8-4891-BE0F-38F013381513}">
      <formula1>"简单平均,加权平均"</formula1>
    </dataValidation>
    <dataValidation type="list" allowBlank="1" showInputMessage="1" showErrorMessage="1" sqref="F2" xr:uid="{791C2FCC-CF38-4448-945A-FDA8883BF885}">
      <formula1>估价方法</formula1>
    </dataValidation>
    <dataValidation type="list" allowBlank="1" showInputMessage="1" showErrorMessage="1" sqref="C2" xr:uid="{D15C1BB9-3FCE-4445-9F62-EABDB91FD995}">
      <formula1>"需扣减承租人权益,——"</formula1>
    </dataValidation>
    <dataValidation type="list" allowBlank="1" showInputMessage="1" showErrorMessage="1" sqref="F1" xr:uid="{9150CF53-5609-4177-AA9C-F02637D32360}">
      <formula1>"售价,租金"</formula1>
    </dataValidation>
    <dataValidation type="list" allowBlank="1" showInputMessage="1" showErrorMessage="1" sqref="C22 E22 G22 I22" xr:uid="{16AA81FA-614E-4AE7-A50E-57BA06244E1C}">
      <formula1>基础设施水平</formula1>
    </dataValidation>
    <dataValidation type="list" allowBlank="1" showInputMessage="1" showErrorMessage="1" sqref="C16 E16 G16 I16" xr:uid="{519EA0CF-7D78-437A-B59B-D7F777C13056}">
      <formula1>商业繁华度</formula1>
    </dataValidation>
    <dataValidation type="list" allowBlank="1" showInputMessage="1" showErrorMessage="1" sqref="C8 E8 G8 I8" xr:uid="{F7B5785A-2689-438A-937E-A0FCF1A1B398}">
      <formula1>商业交易情况</formula1>
    </dataValidation>
    <dataValidation type="list" allowBlank="1" showInputMessage="1" showErrorMessage="1" sqref="C39 E39 G39 I39" xr:uid="{90667341-8825-493D-83B9-260E8E011AA7}">
      <formula1>商业层高</formula1>
    </dataValidation>
    <dataValidation type="list" allowBlank="1" showInputMessage="1" showErrorMessage="1" sqref="C38 E38 G38 I38" xr:uid="{1173E786-1ED2-4D27-98BF-6BC7888F336A}">
      <formula1>商业业态</formula1>
    </dataValidation>
    <dataValidation type="list" allowBlank="1" showInputMessage="1" showErrorMessage="1" sqref="E9 G9 I9" xr:uid="{432AF809-80EC-4FB0-A8E7-E12933B9A34A}">
      <formula1>商业用途</formula1>
    </dataValidation>
    <dataValidation type="list" allowBlank="1" showInputMessage="1" showErrorMessage="1" sqref="C42 E42 G42 I42" xr:uid="{BABCB6A3-318B-4372-8D4D-D043B7117D95}">
      <formula1>商业内部装修</formula1>
    </dataValidation>
    <dataValidation type="list" allowBlank="1" showInputMessage="1" showErrorMessage="1" sqref="C41 E41 G41 I41" xr:uid="{8CED9A0D-5DE9-409D-952E-1A62C17508C1}">
      <formula1>商业进深比</formula1>
    </dataValidation>
    <dataValidation type="list" allowBlank="1" showInputMessage="1" showErrorMessage="1" sqref="C37 E37 G37 I37" xr:uid="{F8295954-6141-4B3B-8A0B-550AE90024EC}">
      <formula1>商业基础设施水平</formula1>
    </dataValidation>
    <dataValidation type="list" allowBlank="1" showInputMessage="1" showErrorMessage="1" sqref="C35 E35 G35 I35" xr:uid="{B9071B60-2E8F-45FE-9705-6DDBBB795168}">
      <formula1>商业公共部分装修</formula1>
    </dataValidation>
    <dataValidation type="list" allowBlank="1" showInputMessage="1" showErrorMessage="1" sqref="C34 E34 G34 I34" xr:uid="{AA29A82D-DAA9-4F01-9C3A-86731CD38635}">
      <formula1>商业建筑结构</formula1>
    </dataValidation>
    <dataValidation type="list" allowBlank="1" showInputMessage="1" showErrorMessage="1" sqref="C32 E32 G32 I32" xr:uid="{48F8B004-D47E-4DFF-96C2-42B18F735108}">
      <formula1>商业类型</formula1>
    </dataValidation>
    <dataValidation type="list" allowBlank="1" showInputMessage="1" showErrorMessage="1" sqref="C28 E28 G28 I28" xr:uid="{6788B2F9-9C3A-4458-9464-64DF7A9E5C9E}">
      <formula1>商业楼层</formula1>
    </dataValidation>
    <dataValidation type="list" allowBlank="1" showInputMessage="1" showErrorMessage="1" sqref="C27 E27 G27 I27" xr:uid="{C1F1621C-42DC-4532-8255-27053FB67B9D}">
      <formula1>商业人流量</formula1>
    </dataValidation>
    <dataValidation type="list" allowBlank="1" showInputMessage="1" showErrorMessage="1" sqref="C25 E25 G25 I25" xr:uid="{B3DD1C88-A90B-46AE-B88B-6FCC1711FEE5}">
      <formula1>商业临街状况</formula1>
    </dataValidation>
    <dataValidation type="list" allowBlank="1" showInputMessage="1" showErrorMessage="1" sqref="E24 G24 I24 C24" xr:uid="{9F5F1602-A5FD-4D06-A6A1-E244A4E647F3}">
      <formula1>环境</formula1>
    </dataValidation>
    <dataValidation type="list" allowBlank="1" showInputMessage="1" showErrorMessage="1" sqref="E18 G18 I18 C18" xr:uid="{18E8E1B2-928A-46EE-91CB-0970DD759A6D}">
      <formula1>交通便捷度</formula1>
    </dataValidation>
    <dataValidation type="list" allowBlank="1" showInputMessage="1" showErrorMessage="1" sqref="E20 I20 G20 C20" xr:uid="{94004D36-3FF4-48B4-AF4F-14BD43F6F9F0}">
      <formula1>公共配套设施</formula1>
    </dataValidation>
    <dataValidation type="list" allowBlank="1" showInputMessage="1" showErrorMessage="1" sqref="C43 E43 G43 I43" xr:uid="{E2B7471B-986D-4D40-A954-5B2937E1DFA8}">
      <formula1>内部装修维护情况</formula1>
    </dataValidation>
    <dataValidation type="list" allowBlank="1" showInputMessage="1" showErrorMessage="1" sqref="D1" xr:uid="{4981D3BD-FD50-49E5-807B-6FBE8C19FA2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3992</v>
      </c>
      <c r="D1" s="1260" t="s">
        <v>43</v>
      </c>
      <c r="E1" s="1261" t="s">
        <v>675</v>
      </c>
      <c r="F1" s="989">
        <f ca="1">J53</f>
        <v>15.53</v>
      </c>
      <c r="G1" s="1275">
        <f>MATCH(C1,'数据-取费表'!A6:A16,0)+5</f>
        <v>6</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3111">
        <f ca="1">ROUND(D2/10000,4)</f>
        <v>230.2466</v>
      </c>
      <c r="C2" s="1278" t="s">
        <v>802</v>
      </c>
      <c r="D2" s="1364">
        <f ca="1">C40+J29+L46</f>
        <v>2302466</v>
      </c>
      <c r="E2" s="1284" t="s">
        <v>877</v>
      </c>
      <c r="F2" s="1285"/>
      <c r="G2" s="2466"/>
      <c r="H2" s="2456"/>
      <c r="I2" s="2456"/>
      <c r="J2" s="2456"/>
      <c r="K2" s="2457"/>
      <c r="L2" s="2456"/>
      <c r="M2" s="2456"/>
    </row>
    <row r="3" spans="1:37" ht="18" customHeight="1" thickBot="1">
      <c r="A3" s="1286" t="s">
        <v>803</v>
      </c>
      <c r="B3" s="1287">
        <f ca="1">IF(ISERROR(D2/F43),0,ROUND(D2/F43,0))</f>
        <v>17117</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230057</v>
      </c>
      <c r="D5" s="1262" t="s">
        <v>690</v>
      </c>
      <c r="E5" s="998"/>
      <c r="F5" s="999"/>
      <c r="G5" s="1281"/>
      <c r="H5" s="290">
        <v>1</v>
      </c>
      <c r="I5" s="291" t="s">
        <v>689</v>
      </c>
      <c r="J5" s="997">
        <f ca="1">J6+J10+J12</f>
        <v>0</v>
      </c>
      <c r="K5" s="1262" t="s">
        <v>690</v>
      </c>
      <c r="L5" s="998"/>
      <c r="M5" s="999"/>
    </row>
    <row r="6" spans="1:37" ht="18" customHeight="1">
      <c r="A6" s="996" t="s">
        <v>398</v>
      </c>
      <c r="B6" s="3440" t="s">
        <v>691</v>
      </c>
      <c r="C6" s="1001">
        <f ca="1">ROUND(F6*F8*F7*(1-F9),0)</f>
        <v>229770</v>
      </c>
      <c r="D6" s="146" t="s">
        <v>2098</v>
      </c>
      <c r="E6" s="293" t="s">
        <v>693</v>
      </c>
      <c r="F6" s="294">
        <f ca="1">INDIRECT("'数据-取费表'!u"&amp;$G$1)</f>
        <v>5.2</v>
      </c>
      <c r="G6" s="1281"/>
      <c r="H6" s="996" t="s">
        <v>398</v>
      </c>
      <c r="I6" s="3440" t="s">
        <v>691</v>
      </c>
      <c r="J6" s="292">
        <f ca="1">ROUND(M6*M8*M7*(1-M9),0)</f>
        <v>0</v>
      </c>
      <c r="K6" s="1273" t="s">
        <v>2099</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134.51</v>
      </c>
      <c r="G7" s="1281"/>
      <c r="H7" s="295"/>
      <c r="I7" s="3441"/>
      <c r="J7" s="297"/>
      <c r="K7" s="298"/>
      <c r="L7" s="293" t="s">
        <v>694</v>
      </c>
      <c r="M7" s="294">
        <f ca="1">F7</f>
        <v>134.51</v>
      </c>
    </row>
    <row r="8" spans="1:37" ht="18" customHeight="1">
      <c r="A8" s="295"/>
      <c r="B8" s="3441"/>
      <c r="C8" s="297"/>
      <c r="D8" s="298"/>
      <c r="E8" s="293" t="s">
        <v>695</v>
      </c>
      <c r="F8" s="294">
        <f ca="1">INDIRECT("'数据-取费表'!ai"&amp;$G$1)</f>
        <v>365</v>
      </c>
      <c r="G8" s="1281"/>
      <c r="H8" s="295"/>
      <c r="I8" s="3441"/>
      <c r="J8" s="297"/>
      <c r="K8" s="298"/>
      <c r="L8" s="293" t="s">
        <v>695</v>
      </c>
      <c r="M8" s="294">
        <f ca="1">INDIRECT("'数据-取费表'!ai"&amp;$G$1)</f>
        <v>365</v>
      </c>
    </row>
    <row r="9" spans="1:37" ht="18" customHeight="1">
      <c r="A9" s="295"/>
      <c r="B9" s="3442"/>
      <c r="C9" s="297"/>
      <c r="D9" s="298"/>
      <c r="E9" s="293" t="s">
        <v>696</v>
      </c>
      <c r="F9" s="303">
        <f ca="1">INDIRECT("'数据-取费表'!w"&amp;$G$1)</f>
        <v>0.1</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287</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635864</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470785</v>
      </c>
      <c r="D14" s="1246" t="s">
        <v>705</v>
      </c>
      <c r="E14" s="1244"/>
      <c r="F14" s="310"/>
      <c r="G14" s="1281"/>
      <c r="H14" s="921" t="s">
        <v>398</v>
      </c>
      <c r="I14" s="293" t="s">
        <v>706</v>
      </c>
      <c r="J14" s="21">
        <f ca="1">C29</f>
        <v>722573</v>
      </c>
      <c r="K14" s="12"/>
      <c r="L14" s="753"/>
      <c r="M14" s="754"/>
    </row>
    <row r="15" spans="1:37" s="1293" customFormat="1" ht="18" customHeight="1" thickBot="1">
      <c r="A15" s="921" t="s">
        <v>399</v>
      </c>
      <c r="B15" s="293" t="s">
        <v>707</v>
      </c>
      <c r="C15" s="21">
        <f ca="1">ROUND(C14*F15,0)</f>
        <v>23539</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3613</v>
      </c>
      <c r="K16" s="1014" t="s">
        <v>712</v>
      </c>
      <c r="L16" s="1015"/>
      <c r="M16" s="999"/>
    </row>
    <row r="17" spans="1:37" s="1293" customFormat="1" ht="18" customHeight="1">
      <c r="A17" s="921" t="s">
        <v>678</v>
      </c>
      <c r="B17" s="293" t="s">
        <v>713</v>
      </c>
      <c r="C17" s="21">
        <f ca="1">ROUND(F17*(F43+INDIRECT("'数据-取费表'!S"&amp;$G$1)),0)</f>
        <v>26902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9416</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530642</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10613</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3613</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16779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709</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399</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680</v>
      </c>
      <c r="I24" s="1017" t="s">
        <v>725</v>
      </c>
      <c r="J24" s="1018">
        <f ca="1">ROUND(J5*M24,0)</f>
        <v>0</v>
      </c>
      <c r="K24" s="1019" t="s">
        <v>745</v>
      </c>
      <c r="L24" s="1017" t="s">
        <v>709</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-3613</v>
      </c>
      <c r="K25" s="1022" t="s">
        <v>750</v>
      </c>
      <c r="L25" s="1023"/>
      <c r="M25" s="1024"/>
    </row>
    <row r="26" spans="1:37" ht="18" customHeight="1">
      <c r="A26" s="921" t="s">
        <v>397</v>
      </c>
      <c r="B26" s="293" t="s">
        <v>751</v>
      </c>
      <c r="C26" s="21">
        <f ca="1">ROUND((C19+C20)*F26,0)</f>
        <v>108251</v>
      </c>
      <c r="D26" s="314" t="s">
        <v>752</v>
      </c>
      <c r="E26" s="304" t="s">
        <v>753</v>
      </c>
      <c r="F26" s="303">
        <f ca="1">INDIRECT("'数据-取费表'!q"&amp;$G$1)</f>
        <v>0.2</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4.0000000000000001E-3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5.33E-2</v>
      </c>
      <c r="D28" s="314" t="s">
        <v>762</v>
      </c>
      <c r="E28" s="293" t="s">
        <v>709</v>
      </c>
      <c r="F28" s="313">
        <f>'数据-取费表'!B41</f>
        <v>5.6000000000000001E-2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722573</v>
      </c>
      <c r="D29" s="1019"/>
      <c r="E29" s="1017"/>
      <c r="F29" s="1020"/>
      <c r="G29" s="1292"/>
      <c r="H29" s="324" t="s">
        <v>396</v>
      </c>
      <c r="I29" s="325" t="s">
        <v>765</v>
      </c>
      <c r="J29" s="326">
        <f ca="1">ROUND(J26/(1+F40)^F41,0)</f>
        <v>0</v>
      </c>
      <c r="K29" s="327" t="s">
        <v>766</v>
      </c>
      <c r="L29" s="328"/>
      <c r="M29" s="329">
        <f ca="1">INDIRECT("'数据-取费表'!k"&amp;$G$1)</f>
        <v>134.51</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45063</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38513</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12254</v>
      </c>
      <c r="D32" s="1245" t="s">
        <v>721</v>
      </c>
      <c r="E32" s="293" t="s">
        <v>709</v>
      </c>
      <c r="F32" s="321">
        <f>'数据-取费表'!B41</f>
        <v>5.6000000000000001E-2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26259</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3613</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636</v>
      </c>
      <c r="D37" s="1245" t="s">
        <v>740</v>
      </c>
      <c r="E37" s="293" t="s">
        <v>709</v>
      </c>
      <c r="F37" s="320">
        <f ca="1">INDIRECT("'数据-取费表'!Al"&amp;$G$1)</f>
        <v>1E-3</v>
      </c>
      <c r="G37" s="1281"/>
      <c r="H37" s="2461"/>
      <c r="I37" s="1294"/>
      <c r="J37" s="1295"/>
      <c r="K37" s="2318"/>
      <c r="L37" s="2461"/>
      <c r="M37" s="2461"/>
    </row>
    <row r="38" spans="1:18" ht="18" customHeight="1" thickBot="1">
      <c r="A38" s="1016" t="s">
        <v>680</v>
      </c>
      <c r="B38" s="1017" t="s">
        <v>725</v>
      </c>
      <c r="C38" s="1018">
        <f ca="1">ROUND(C5*F38,0)</f>
        <v>2301</v>
      </c>
      <c r="D38" s="1019" t="s">
        <v>745</v>
      </c>
      <c r="E38" s="1017" t="s">
        <v>709</v>
      </c>
      <c r="F38" s="1013">
        <f ca="1">INDIRECT("'数据-取费表'!Am"&amp;$G$1)</f>
        <v>0.01</v>
      </c>
      <c r="G38" s="1281"/>
      <c r="H38" s="2461"/>
      <c r="I38" s="1294"/>
      <c r="J38" s="1295"/>
      <c r="K38" s="2459"/>
      <c r="L38" s="2461"/>
      <c r="M38" s="2461"/>
    </row>
    <row r="39" spans="1:18" ht="24.6" customHeight="1" thickTop="1">
      <c r="A39" s="1006" t="s">
        <v>394</v>
      </c>
      <c r="B39" s="1021" t="s">
        <v>749</v>
      </c>
      <c r="C39" s="301">
        <f ca="1">C5-C30</f>
        <v>184994</v>
      </c>
      <c r="D39" s="1022" t="s">
        <v>750</v>
      </c>
      <c r="E39" s="1023"/>
      <c r="F39" s="1024"/>
      <c r="G39" s="1281"/>
      <c r="H39" s="2461"/>
      <c r="I39" s="1294"/>
      <c r="J39" s="1295"/>
      <c r="K39" s="2459"/>
      <c r="L39" s="2461"/>
      <c r="M39" s="2461"/>
    </row>
    <row r="40" spans="1:18" ht="18" customHeight="1">
      <c r="A40" s="290" t="s">
        <v>395</v>
      </c>
      <c r="B40" s="291" t="s">
        <v>771</v>
      </c>
      <c r="C40" s="292">
        <f ca="1">ROUND(C39*(1-((1+F42)/(1+F40))^F41)/(F40-F42),0)</f>
        <v>2155577</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15.53</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16025</v>
      </c>
      <c r="D43" s="327" t="s">
        <v>774</v>
      </c>
      <c r="E43" s="328" t="s">
        <v>775</v>
      </c>
      <c r="F43" s="329">
        <f ca="1">INDIRECT("'数据-取费表'!k"&amp;$G$1)</f>
        <v>134.51</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-219.9195</v>
      </c>
      <c r="D45" s="3117" t="s">
        <v>3343</v>
      </c>
      <c r="E45" s="1296"/>
      <c r="F45" s="1296"/>
      <c r="O45" s="1299" t="s">
        <v>805</v>
      </c>
      <c r="P45" s="1355"/>
      <c r="Q45" s="1355"/>
      <c r="R45" s="1355"/>
    </row>
    <row r="46" spans="1:18" s="1281" customFormat="1" ht="13.5" thickBot="1">
      <c r="A46" s="1300" t="s">
        <v>806</v>
      </c>
      <c r="C46" s="1301">
        <f ca="1">ROUND(C45,0)</f>
        <v>-220</v>
      </c>
      <c r="D46" s="1302" t="str">
        <f>C2</f>
        <v>万元</v>
      </c>
      <c r="I46" s="1303" t="s">
        <v>807</v>
      </c>
      <c r="J46" s="1304"/>
      <c r="K46" s="1305"/>
      <c r="L46" s="1306">
        <f ca="1">IF(M47="住宅",0,IF(L48&gt;J51,L60,J60))</f>
        <v>146889</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40</v>
      </c>
      <c r="M47" s="1277" t="str">
        <f>IF(ISNUMBER(FIND("住宅",C1)),"住宅","非住宅")</f>
        <v>非住宅</v>
      </c>
      <c r="O47" s="1314" t="s">
        <v>403</v>
      </c>
      <c r="P47" s="1315" t="s">
        <v>814</v>
      </c>
      <c r="Q47" s="1316">
        <f ca="1">C40+J29</f>
        <v>2155577</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15.53</v>
      </c>
      <c r="O48" s="1314" t="s">
        <v>404</v>
      </c>
      <c r="P48" s="1315" t="s">
        <v>818</v>
      </c>
      <c r="Q48" s="1316">
        <f ca="1">J60</f>
        <v>146889</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722573</v>
      </c>
      <c r="R49" s="1316" t="s">
        <v>815</v>
      </c>
    </row>
    <row r="50" spans="1:18" s="1281" customFormat="1" ht="13.5" thickBot="1">
      <c r="A50" s="915"/>
      <c r="B50" s="918"/>
      <c r="C50" s="919"/>
      <c r="D50" s="892"/>
      <c r="E50" s="983" t="s">
        <v>694</v>
      </c>
      <c r="F50" s="984">
        <f ca="1">F7</f>
        <v>134.51</v>
      </c>
      <c r="H50" s="678"/>
      <c r="I50" s="1317" t="s">
        <v>823</v>
      </c>
      <c r="J50" s="1324">
        <f>SUMPRODUCT((I63:I65=J47)*(J62:L62=J48)*(J63:L65))</f>
        <v>60</v>
      </c>
      <c r="K50" s="1319" t="s">
        <v>824</v>
      </c>
      <c r="L50" s="1322"/>
      <c r="M50" s="1325"/>
      <c r="O50" s="1323" t="s">
        <v>406</v>
      </c>
      <c r="P50" s="1315" t="s">
        <v>825</v>
      </c>
      <c r="Q50" s="1326">
        <f ca="1">J58</f>
        <v>0.625</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2598018</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15.53</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15.53</v>
      </c>
      <c r="K53" s="3438" t="s">
        <v>834</v>
      </c>
      <c r="L53" s="3439"/>
      <c r="O53" s="1314" t="s">
        <v>409</v>
      </c>
      <c r="P53" s="1315" t="s">
        <v>835</v>
      </c>
      <c r="Q53" s="1316">
        <f ca="1">Q47+Q48</f>
        <v>2302466</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0.625</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635864</v>
      </c>
      <c r="D56" s="1341"/>
      <c r="E56" s="1342"/>
      <c r="F56" s="1334"/>
      <c r="I56" s="1343" t="s">
        <v>839</v>
      </c>
      <c r="J56" s="1344" t="s">
        <v>4002</v>
      </c>
      <c r="K56" s="1317" t="s">
        <v>840</v>
      </c>
      <c r="L56" s="1320" t="str">
        <f ca="1">IF(L48&lt;J51,"——",L48-J51)</f>
        <v>——</v>
      </c>
      <c r="O56" s="1314" t="s">
        <v>403</v>
      </c>
      <c r="P56" s="1315" t="s">
        <v>814</v>
      </c>
      <c r="Q56" s="1316">
        <f ca="1">C40+J29</f>
        <v>2155577</v>
      </c>
      <c r="R56" s="1316" t="s">
        <v>815</v>
      </c>
    </row>
    <row r="57" spans="1:18" s="1281" customFormat="1" ht="24.75" thickBot="1">
      <c r="A57" s="1345"/>
      <c r="B57" s="889" t="s">
        <v>764</v>
      </c>
      <c r="C57" s="229">
        <f ca="1">C29</f>
        <v>722573</v>
      </c>
      <c r="D57" s="1346"/>
      <c r="E57" s="1347"/>
      <c r="F57" s="1348"/>
      <c r="I57" s="1349" t="s">
        <v>841</v>
      </c>
      <c r="J57" s="1350">
        <f ca="1">IF(OR(M47="住宅",J51&lt;L48,J56="是"),"——",J51-L48)</f>
        <v>37.47</v>
      </c>
      <c r="K57" s="1317" t="s">
        <v>889</v>
      </c>
      <c r="L57" s="1320" t="str">
        <f ca="1">IF(L48&lt;J51,"——",IF(L55="比较法",L49,IF(L55="基准地价",L50,L51)))</f>
        <v>——</v>
      </c>
      <c r="O57" s="1314" t="s">
        <v>404</v>
      </c>
      <c r="P57" s="1315" t="s">
        <v>843</v>
      </c>
      <c r="Q57" s="1316">
        <f ca="1">L60</f>
        <v>0</v>
      </c>
      <c r="R57" s="1316" t="s">
        <v>844</v>
      </c>
    </row>
    <row r="58" spans="1:18" s="1281" customFormat="1" ht="24.75" thickBot="1">
      <c r="A58" s="306" t="s">
        <v>393</v>
      </c>
      <c r="B58" s="897" t="s">
        <v>711</v>
      </c>
      <c r="C58" s="307">
        <f ca="1">ROUND(C59+C64+C65+C66,0)</f>
        <v>4249</v>
      </c>
      <c r="D58" s="899" t="s">
        <v>712</v>
      </c>
      <c r="E58" s="900"/>
      <c r="F58" s="901"/>
      <c r="I58" s="1349" t="s">
        <v>845</v>
      </c>
      <c r="J58" s="1351">
        <f ca="1">IF(J55&lt;0.4,0.4,J55)</f>
        <v>0.625</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451608</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5.6000000000000001E-2</v>
      </c>
      <c r="I60" s="1352" t="s">
        <v>850</v>
      </c>
      <c r="J60" s="1353">
        <f ca="1">IF(OR(M47="住宅",J51&lt;L48,J56="是"),"0",ROUND(J59/(1+J52)^J53,0))</f>
        <v>146889</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724</v>
      </c>
      <c r="C61" s="21">
        <f ca="1">IF(项目基本情况!B11="自然人","——",IF(D61="按租金收入计税",ROUND(C49*F61/(1+'数据-取费表'!C42),0),IF(D61="按房产原值计税",ROUND(C57*F61*0.7,0),INDIRECT("'数据-取费表'!Aj"&amp;$G$1))))</f>
        <v>0</v>
      </c>
      <c r="D61" s="1267" t="s">
        <v>3326</v>
      </c>
      <c r="E61" s="889" t="s">
        <v>709</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727</v>
      </c>
      <c r="C62" s="22">
        <f ca="1">IF(项目基本情况!B11="自然人","——",ROUND(F62*F63,0))</f>
        <v>0</v>
      </c>
      <c r="D62" s="904" t="s">
        <v>728</v>
      </c>
      <c r="E62" s="889" t="s">
        <v>729</v>
      </c>
      <c r="F62" s="316">
        <f t="shared" si="0"/>
        <v>1.5</v>
      </c>
      <c r="I62" s="1356" t="s">
        <v>855</v>
      </c>
      <c r="J62" s="609" t="s">
        <v>856</v>
      </c>
      <c r="K62" s="609" t="s">
        <v>857</v>
      </c>
      <c r="L62" s="609" t="s">
        <v>858</v>
      </c>
      <c r="M62" s="1357" t="s">
        <v>859</v>
      </c>
      <c r="O62" s="1314" t="s">
        <v>409</v>
      </c>
      <c r="P62" s="1315" t="s">
        <v>835</v>
      </c>
      <c r="Q62" s="1316">
        <f ca="1">Q56+Q57</f>
        <v>2155577</v>
      </c>
      <c r="R62" s="1316" t="s">
        <v>410</v>
      </c>
    </row>
    <row r="63" spans="1:18" s="1281" customFormat="1" ht="13.5" thickBot="1">
      <c r="A63" s="317"/>
      <c r="B63" s="895"/>
      <c r="C63" s="26"/>
      <c r="D63" s="905"/>
      <c r="E63" s="889" t="s">
        <v>733</v>
      </c>
      <c r="F63" s="294">
        <f t="shared" ca="1" si="0"/>
        <v>0</v>
      </c>
      <c r="I63" s="1356" t="s">
        <v>861</v>
      </c>
      <c r="J63" s="609">
        <v>70</v>
      </c>
      <c r="K63" s="609">
        <v>50</v>
      </c>
      <c r="L63" s="609">
        <v>80</v>
      </c>
      <c r="M63" s="1358">
        <v>0.02</v>
      </c>
      <c r="O63" s="1299" t="s">
        <v>862</v>
      </c>
      <c r="P63" s="1278"/>
      <c r="Q63" s="1278"/>
      <c r="R63" s="1278"/>
    </row>
    <row r="64" spans="1:18" s="1281" customFormat="1" ht="13.5" thickBot="1">
      <c r="A64" s="921" t="s">
        <v>402</v>
      </c>
      <c r="B64" s="889" t="s">
        <v>735</v>
      </c>
      <c r="C64" s="21">
        <f ca="1">ROUND(C57*F64,0)</f>
        <v>3613</v>
      </c>
      <c r="D64" s="903" t="s">
        <v>768</v>
      </c>
      <c r="E64" s="889" t="s">
        <v>709</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636</v>
      </c>
      <c r="D65" s="903" t="s">
        <v>740</v>
      </c>
      <c r="E65" s="889" t="s">
        <v>709</v>
      </c>
      <c r="F65" s="320">
        <f t="shared" ca="1" si="0"/>
        <v>1E-3</v>
      </c>
      <c r="I65" s="1356" t="s">
        <v>864</v>
      </c>
      <c r="J65" s="609">
        <v>40</v>
      </c>
      <c r="K65" s="609">
        <v>30</v>
      </c>
      <c r="L65" s="609">
        <v>50</v>
      </c>
      <c r="M65" s="1358">
        <v>0.02</v>
      </c>
      <c r="O65" s="1314" t="s">
        <v>403</v>
      </c>
      <c r="P65" s="1315" t="s">
        <v>814</v>
      </c>
      <c r="Q65" s="1316">
        <f ca="1">C40+J29</f>
        <v>2155577</v>
      </c>
      <c r="R65" s="1316" t="s">
        <v>815</v>
      </c>
    </row>
    <row r="66" spans="1:18" s="1281" customFormat="1" ht="16.5" thickBot="1">
      <c r="A66" s="921" t="s">
        <v>790</v>
      </c>
      <c r="B66" s="889" t="s">
        <v>725</v>
      </c>
      <c r="C66" s="21">
        <f ca="1">ROUND(C48*F66,0)</f>
        <v>0</v>
      </c>
      <c r="D66" s="903" t="s">
        <v>745</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-4249</v>
      </c>
      <c r="D67" s="902" t="s">
        <v>750</v>
      </c>
      <c r="E67" s="907"/>
      <c r="F67" s="908"/>
      <c r="O67" s="1323" t="s">
        <v>405</v>
      </c>
      <c r="P67" s="1315" t="s">
        <v>847</v>
      </c>
      <c r="Q67" s="1359">
        <f ca="1">L51</f>
        <v>2598018</v>
      </c>
      <c r="R67" s="1316" t="s">
        <v>867</v>
      </c>
    </row>
    <row r="68" spans="1:18" s="1281" customFormat="1" ht="16.5" thickBot="1">
      <c r="A68" s="886" t="s">
        <v>395</v>
      </c>
      <c r="B68" s="887" t="s">
        <v>771</v>
      </c>
      <c r="C68" s="292">
        <f ca="1">ROUND(C67*(1-((1+F70)/(1+F68))^F69)/(F68-F70),0)</f>
        <v>-43618</v>
      </c>
      <c r="D68" s="904" t="s">
        <v>755</v>
      </c>
      <c r="E68" s="889" t="s">
        <v>756</v>
      </c>
      <c r="F68" s="303">
        <f ca="1">F40</f>
        <v>5.5E-2</v>
      </c>
      <c r="O68" s="1323" t="s">
        <v>406</v>
      </c>
      <c r="P68" s="1360" t="s">
        <v>868</v>
      </c>
      <c r="Q68" s="1316">
        <f ca="1">ROUND(Q69-Q70*Q71,0)</f>
        <v>140484</v>
      </c>
      <c r="R68" s="1316" t="s">
        <v>414</v>
      </c>
    </row>
    <row r="69" spans="1:18" s="1281" customFormat="1" ht="13.5" thickBot="1">
      <c r="A69" s="890"/>
      <c r="B69" s="891"/>
      <c r="C69" s="297"/>
      <c r="D69" s="909" t="s">
        <v>759</v>
      </c>
      <c r="E69" s="889" t="s">
        <v>760</v>
      </c>
      <c r="F69" s="323">
        <f ca="1">F41</f>
        <v>15.53</v>
      </c>
      <c r="O69" s="1323" t="s">
        <v>411</v>
      </c>
      <c r="P69" s="1360" t="s">
        <v>869</v>
      </c>
      <c r="Q69" s="1316">
        <f ca="1">C39</f>
        <v>184994</v>
      </c>
      <c r="R69" s="1316" t="s">
        <v>815</v>
      </c>
    </row>
    <row r="70" spans="1:18" s="1281" customFormat="1" ht="13.5" thickBot="1">
      <c r="A70" s="893"/>
      <c r="B70" s="894"/>
      <c r="C70" s="301"/>
      <c r="D70" s="905"/>
      <c r="E70" s="889" t="s">
        <v>763</v>
      </c>
      <c r="F70" s="981"/>
      <c r="O70" s="1323" t="s">
        <v>412</v>
      </c>
      <c r="P70" s="1360" t="s">
        <v>870</v>
      </c>
      <c r="Q70" s="1316">
        <f ca="1">C13</f>
        <v>635864</v>
      </c>
      <c r="R70" s="1316" t="s">
        <v>815</v>
      </c>
    </row>
    <row r="71" spans="1:18" s="1281" customFormat="1" ht="13.5" thickBot="1">
      <c r="A71" s="910" t="s">
        <v>396</v>
      </c>
      <c r="B71" s="911" t="s">
        <v>773</v>
      </c>
      <c r="C71" s="326">
        <f ca="1">ROUND(C68/F71,0)</f>
        <v>-324</v>
      </c>
      <c r="D71" s="912" t="s">
        <v>774</v>
      </c>
      <c r="E71" s="913" t="s">
        <v>775</v>
      </c>
      <c r="F71" s="329">
        <f ca="1">F43</f>
        <v>134.51</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44510</v>
      </c>
      <c r="D75" s="1281"/>
      <c r="E75" s="1281"/>
      <c r="F75" s="1281"/>
      <c r="K75" s="1298"/>
      <c r="L75" s="1281"/>
      <c r="O75" s="1314" t="s">
        <v>409</v>
      </c>
      <c r="P75" s="1315" t="s">
        <v>835</v>
      </c>
      <c r="Q75" s="1316">
        <f ca="1">Q65+Q66</f>
        <v>2155577</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0.75900000000000001</v>
      </c>
    </row>
    <row r="80" spans="1:18">
      <c r="B80" s="330" t="s">
        <v>797</v>
      </c>
      <c r="C80" s="265">
        <f ca="1">ROUND(C75/C39,3)</f>
        <v>0.24099999999999999</v>
      </c>
    </row>
    <row r="81" spans="2:3">
      <c r="B81" s="261" t="s">
        <v>798</v>
      </c>
      <c r="C81" s="229"/>
    </row>
    <row r="82" spans="2:3">
      <c r="B82" s="264" t="s">
        <v>799</v>
      </c>
      <c r="C82" s="266">
        <f ca="1">1-C83</f>
        <v>0.70500000000000007</v>
      </c>
    </row>
    <row r="83" spans="2:3">
      <c r="B83" s="264" t="s">
        <v>800</v>
      </c>
      <c r="C83" s="265">
        <f ca="1">ROUND(C13/C40,3)</f>
        <v>0.29499999999999998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F10 F53 M10" xr:uid="{00000000-0002-0000-2000-000001000000}">
      <formula1>"押一,押二,押三,自定义"</formula1>
    </dataValidation>
    <dataValidation type="list" allowBlank="1" showInputMessage="1" showErrorMessage="1" sqref="K19" xr:uid="{00000000-0002-0000-2000-000002000000}">
      <formula1>"按租金收入计税,按房产原值计税"</formula1>
    </dataValidation>
    <dataValidation type="list" allowBlank="1" showInputMessage="1" showErrorMessage="1" sqref="D33 D61" xr:uid="{00000000-0002-0000-2000-000003000000}">
      <formula1>"按租金收入计税,按房产原值计税,按票据"</formula1>
    </dataValidation>
    <dataValidation type="list" allowBlank="1" showInputMessage="1" showErrorMessage="1" sqref="C1" xr:uid="{00000000-0002-0000-2000-000004000000}">
      <formula1>项目类型</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J56" xr:uid="{00000000-0002-0000-2000-000007000000}">
      <formula1>估价范围判定</formula1>
    </dataValidation>
    <dataValidation type="list" allowBlank="1" showInputMessage="1" showErrorMessage="1" sqref="L55" xr:uid="{00000000-0002-0000-2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1007"/>
  <sheetViews>
    <sheetView topLeftCell="E1" zoomScale="90" zoomScaleNormal="90" workbookViewId="0">
      <pane ySplit="24" topLeftCell="A25" activePane="bottomLeft" state="frozen"/>
      <selection activeCell="E1" sqref="E1"/>
      <selection pane="bottomLeft" activeCell="U35" sqref="U35"/>
    </sheetView>
  </sheetViews>
  <sheetFormatPr defaultColWidth="9" defaultRowHeight="12.75"/>
  <cols>
    <col min="1" max="1" width="11.5" style="121" customWidth="1"/>
    <col min="2" max="2" width="9.25" style="24" customWidth="1"/>
    <col min="3" max="3" width="9.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8"/>
    <col min="21" max="45" width="9" style="680"/>
    <col min="46" max="16384" width="9" style="121"/>
  </cols>
  <sheetData>
    <row r="1" spans="1:45" ht="14.25" customHeight="1" thickBot="1">
      <c r="A1" s="137"/>
      <c r="B1" s="922" t="s">
        <v>2080</v>
      </c>
      <c r="C1" s="3478" t="s">
        <v>2081</v>
      </c>
      <c r="D1" s="3479"/>
      <c r="E1" s="3479"/>
      <c r="F1" s="3479"/>
      <c r="G1" s="3479"/>
      <c r="H1" s="3479"/>
      <c r="I1" s="3479"/>
      <c r="J1" s="3479"/>
      <c r="K1" s="3479"/>
      <c r="L1" s="3479"/>
      <c r="M1" s="3479"/>
      <c r="N1" s="3479"/>
      <c r="O1" s="3479"/>
      <c r="P1" s="3479"/>
      <c r="Q1" s="3479"/>
      <c r="R1" s="3479"/>
      <c r="S1" s="3480"/>
      <c r="T1" s="3178" t="s">
        <v>4041</v>
      </c>
    </row>
    <row r="2" spans="1:45" s="623" customFormat="1" ht="38.25">
      <c r="A2" s="923"/>
      <c r="B2" s="621" t="s">
        <v>1062</v>
      </c>
      <c r="C2" s="14" t="str">
        <f t="shared" ref="C2:R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4" t="str">
        <f>S3&amp;"(含)"&amp;"-"</f>
        <v>(含)-</v>
      </c>
      <c r="T2" s="317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'比较法-商业'!C103</f>
        <v>0</v>
      </c>
      <c r="D3" s="625">
        <f>'比较法-商业'!D103</f>
        <v>100</v>
      </c>
      <c r="E3" s="625">
        <f>'比较法-商业'!E103</f>
        <v>200</v>
      </c>
      <c r="F3" s="625">
        <f>'比较法-商业'!F103</f>
        <v>300</v>
      </c>
      <c r="G3" s="625"/>
      <c r="H3" s="625"/>
      <c r="I3" s="625"/>
      <c r="J3" s="625"/>
      <c r="K3" s="625"/>
      <c r="L3" s="1211"/>
      <c r="M3" s="1212"/>
      <c r="N3" s="1212"/>
      <c r="O3" s="1210"/>
      <c r="P3" s="1210"/>
      <c r="Q3" s="1210"/>
      <c r="R3" s="1210"/>
      <c r="S3" s="1213"/>
      <c r="T3" s="3180"/>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'比较法-商业'!C104</f>
        <v>100</v>
      </c>
      <c r="D4" s="928">
        <f>'比较法-商业'!D104</f>
        <v>98</v>
      </c>
      <c r="E4" s="928">
        <f>'比较法-商业'!E104</f>
        <v>96</v>
      </c>
      <c r="F4" s="928">
        <f>'比较法-商业'!F104</f>
        <v>94</v>
      </c>
      <c r="G4" s="928"/>
      <c r="H4" s="928"/>
      <c r="I4" s="928"/>
      <c r="J4" s="928"/>
      <c r="K4" s="928"/>
      <c r="L4" s="1214"/>
      <c r="M4" s="1215"/>
      <c r="N4" s="1215"/>
      <c r="O4" s="1214"/>
      <c r="P4" s="1214"/>
      <c r="Q4" s="1214"/>
      <c r="R4" s="1214"/>
      <c r="S4" s="1216"/>
      <c r="T4" s="31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'[3]比较法-办公'!B123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2">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1">D6-$T5</f>
        <v>96</v>
      </c>
      <c r="F6" s="1221">
        <f t="shared" si="1"/>
        <v>94</v>
      </c>
      <c r="G6" s="1221">
        <f t="shared" si="1"/>
        <v>92</v>
      </c>
      <c r="H6" s="1221">
        <f t="shared" si="1"/>
        <v>90</v>
      </c>
      <c r="I6" s="1221">
        <f t="shared" si="1"/>
        <v>88</v>
      </c>
      <c r="J6" s="1221">
        <f t="shared" si="1"/>
        <v>86</v>
      </c>
      <c r="K6" s="1221">
        <f t="shared" si="1"/>
        <v>84</v>
      </c>
      <c r="L6" s="1221">
        <f t="shared" si="1"/>
        <v>82</v>
      </c>
      <c r="M6" s="1221">
        <f t="shared" si="1"/>
        <v>80</v>
      </c>
      <c r="N6" s="1221">
        <f t="shared" si="1"/>
        <v>78</v>
      </c>
      <c r="O6" s="1221">
        <f t="shared" si="1"/>
        <v>76</v>
      </c>
      <c r="P6" s="1221">
        <f t="shared" si="1"/>
        <v>74</v>
      </c>
      <c r="Q6" s="1221">
        <f t="shared" si="1"/>
        <v>72</v>
      </c>
      <c r="R6" s="1221">
        <f t="shared" si="1"/>
        <v>70</v>
      </c>
      <c r="S6" s="1221">
        <f t="shared" si="1"/>
        <v>68</v>
      </c>
      <c r="T6" s="31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18"/>
      <c r="B7" s="3172" t="s">
        <v>4074</v>
      </c>
      <c r="C7" s="3160" t="s">
        <v>4061</v>
      </c>
      <c r="D7" s="3160" t="s">
        <v>4070</v>
      </c>
      <c r="E7" s="839"/>
      <c r="F7" s="1222"/>
      <c r="G7" s="1222"/>
      <c r="H7" s="1222"/>
      <c r="I7" s="1222"/>
      <c r="J7" s="1222"/>
      <c r="K7" s="1222"/>
      <c r="L7" s="1222"/>
      <c r="M7" s="1223"/>
      <c r="N7" s="1224"/>
      <c r="O7" s="1225"/>
      <c r="P7" s="1225"/>
      <c r="Q7" s="1226"/>
      <c r="R7" s="1227"/>
      <c r="S7" s="1228"/>
      <c r="T7" s="3184">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2">D8-$T7</f>
        <v>90</v>
      </c>
      <c r="F8" s="1221">
        <f t="shared" si="2"/>
        <v>85</v>
      </c>
      <c r="G8" s="1221">
        <f t="shared" si="2"/>
        <v>80</v>
      </c>
      <c r="H8" s="1221">
        <f t="shared" si="2"/>
        <v>75</v>
      </c>
      <c r="I8" s="1221">
        <f t="shared" si="2"/>
        <v>70</v>
      </c>
      <c r="J8" s="1221">
        <f t="shared" si="2"/>
        <v>65</v>
      </c>
      <c r="K8" s="1221">
        <f t="shared" si="2"/>
        <v>60</v>
      </c>
      <c r="L8" s="1221">
        <f t="shared" si="2"/>
        <v>55</v>
      </c>
      <c r="M8" s="1221">
        <f t="shared" si="2"/>
        <v>50</v>
      </c>
      <c r="N8" s="1221">
        <f t="shared" si="2"/>
        <v>45</v>
      </c>
      <c r="O8" s="1221">
        <f t="shared" si="2"/>
        <v>40</v>
      </c>
      <c r="P8" s="1221">
        <f t="shared" si="2"/>
        <v>35</v>
      </c>
      <c r="Q8" s="1221">
        <f t="shared" si="2"/>
        <v>30</v>
      </c>
      <c r="R8" s="1221">
        <f t="shared" si="2"/>
        <v>25</v>
      </c>
      <c r="S8" s="1221">
        <f t="shared" si="2"/>
        <v>20</v>
      </c>
      <c r="T8" s="31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idden="1">
      <c r="A9" s="918"/>
      <c r="B9" s="3172"/>
      <c r="C9" s="844"/>
      <c r="D9" s="839"/>
      <c r="E9" s="839"/>
      <c r="F9" s="1222"/>
      <c r="G9" s="1222"/>
      <c r="H9" s="1222"/>
      <c r="I9" s="1222"/>
      <c r="J9" s="1222"/>
      <c r="K9" s="1222"/>
      <c r="L9" s="1229"/>
      <c r="M9" s="1223"/>
      <c r="N9" s="1224"/>
      <c r="O9" s="1225"/>
      <c r="P9" s="1225"/>
      <c r="Q9" s="1226"/>
      <c r="R9" s="1227"/>
      <c r="S9" s="1228"/>
      <c r="T9" s="3184">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hidden="1" thickBot="1">
      <c r="A10" s="918"/>
      <c r="B10" s="927"/>
      <c r="C10" s="936">
        <v>100</v>
      </c>
      <c r="D10" s="709">
        <f>C10-$T9</f>
        <v>95</v>
      </c>
      <c r="E10" s="709">
        <f t="shared" ref="E10:S10" si="3">D10-$T9</f>
        <v>90</v>
      </c>
      <c r="F10" s="1230">
        <f t="shared" si="3"/>
        <v>85</v>
      </c>
      <c r="G10" s="1230">
        <f t="shared" si="3"/>
        <v>80</v>
      </c>
      <c r="H10" s="1230">
        <f t="shared" si="3"/>
        <v>75</v>
      </c>
      <c r="I10" s="1230">
        <f t="shared" si="3"/>
        <v>70</v>
      </c>
      <c r="J10" s="1230">
        <f t="shared" si="3"/>
        <v>65</v>
      </c>
      <c r="K10" s="1230">
        <f t="shared" si="3"/>
        <v>60</v>
      </c>
      <c r="L10" s="1230">
        <f t="shared" si="3"/>
        <v>55</v>
      </c>
      <c r="M10" s="1230">
        <f t="shared" si="3"/>
        <v>50</v>
      </c>
      <c r="N10" s="1230">
        <f t="shared" si="3"/>
        <v>45</v>
      </c>
      <c r="O10" s="1230">
        <f t="shared" si="3"/>
        <v>40</v>
      </c>
      <c r="P10" s="1230">
        <f t="shared" si="3"/>
        <v>35</v>
      </c>
      <c r="Q10" s="1230">
        <f t="shared" si="3"/>
        <v>30</v>
      </c>
      <c r="R10" s="1230">
        <f t="shared" si="3"/>
        <v>25</v>
      </c>
      <c r="S10" s="1230">
        <f t="shared" si="3"/>
        <v>20</v>
      </c>
      <c r="T10" s="31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idden="1">
      <c r="A11" s="918"/>
      <c r="B11" s="1239" t="s">
        <v>2083</v>
      </c>
      <c r="C11" s="933"/>
      <c r="D11" s="934"/>
      <c r="E11" s="934"/>
      <c r="F11" s="934"/>
      <c r="G11" s="934"/>
      <c r="H11" s="934"/>
      <c r="I11" s="934"/>
      <c r="J11" s="934"/>
      <c r="K11" s="934"/>
      <c r="L11" s="934"/>
      <c r="M11" s="935"/>
      <c r="N11" s="937"/>
      <c r="O11" s="938"/>
      <c r="P11" s="938"/>
      <c r="Q11" s="939"/>
      <c r="R11" s="940"/>
      <c r="S11" s="941"/>
      <c r="T11" s="3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hidden="1" thickBot="1">
      <c r="A12" s="918"/>
      <c r="B12" s="840"/>
      <c r="C12" s="845">
        <v>100</v>
      </c>
      <c r="D12" s="842">
        <f>C12-$T11</f>
        <v>100</v>
      </c>
      <c r="E12" s="842">
        <f t="shared" ref="E12:S12" si="4">D12-$T11</f>
        <v>100</v>
      </c>
      <c r="F12" s="842">
        <f t="shared" si="4"/>
        <v>100</v>
      </c>
      <c r="G12" s="842">
        <f t="shared" si="4"/>
        <v>100</v>
      </c>
      <c r="H12" s="842">
        <f t="shared" si="4"/>
        <v>100</v>
      </c>
      <c r="I12" s="842">
        <f t="shared" si="4"/>
        <v>100</v>
      </c>
      <c r="J12" s="842">
        <f t="shared" si="4"/>
        <v>100</v>
      </c>
      <c r="K12" s="842">
        <f t="shared" si="4"/>
        <v>100</v>
      </c>
      <c r="L12" s="842">
        <f t="shared" si="4"/>
        <v>100</v>
      </c>
      <c r="M12" s="842">
        <f t="shared" si="4"/>
        <v>100</v>
      </c>
      <c r="N12" s="842">
        <f t="shared" si="4"/>
        <v>100</v>
      </c>
      <c r="O12" s="842">
        <f t="shared" si="4"/>
        <v>100</v>
      </c>
      <c r="P12" s="842">
        <f t="shared" si="4"/>
        <v>100</v>
      </c>
      <c r="Q12" s="842">
        <f t="shared" si="4"/>
        <v>100</v>
      </c>
      <c r="R12" s="842">
        <f>Q12-$T11</f>
        <v>100</v>
      </c>
      <c r="S12" s="842">
        <f t="shared" si="4"/>
        <v>100</v>
      </c>
      <c r="T12" s="31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hidden="1">
      <c r="A13" s="918"/>
      <c r="B13" s="1239" t="s">
        <v>2084</v>
      </c>
      <c r="C13" s="933"/>
      <c r="D13" s="934"/>
      <c r="E13" s="934"/>
      <c r="F13" s="934"/>
      <c r="G13" s="934"/>
      <c r="H13" s="934"/>
      <c r="I13" s="934"/>
      <c r="J13" s="934"/>
      <c r="K13" s="934"/>
      <c r="L13" s="934"/>
      <c r="M13" s="935"/>
      <c r="N13" s="937"/>
      <c r="O13" s="938"/>
      <c r="P13" s="938"/>
      <c r="Q13" s="939"/>
      <c r="R13" s="940"/>
      <c r="S13" s="941"/>
      <c r="T13" s="318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hidden="1" thickBot="1">
      <c r="A14" s="918"/>
      <c r="B14" s="840"/>
      <c r="C14" s="843"/>
      <c r="D14" s="841"/>
      <c r="E14" s="841"/>
      <c r="F14" s="841"/>
      <c r="G14" s="841"/>
      <c r="H14" s="841"/>
      <c r="I14" s="841"/>
      <c r="J14" s="841"/>
      <c r="K14" s="841"/>
      <c r="L14" s="841"/>
      <c r="M14" s="942"/>
      <c r="N14" s="942"/>
      <c r="O14" s="841"/>
      <c r="P14" s="841"/>
      <c r="Q14" s="841"/>
      <c r="R14" s="841"/>
      <c r="S14" s="943"/>
      <c r="T14" s="31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idden="1">
      <c r="A15" s="918"/>
      <c r="B15" s="1239" t="s">
        <v>2085</v>
      </c>
      <c r="C15" s="933"/>
      <c r="D15" s="934"/>
      <c r="E15" s="934"/>
      <c r="F15" s="934"/>
      <c r="G15" s="934"/>
      <c r="H15" s="934"/>
      <c r="I15" s="934"/>
      <c r="J15" s="934"/>
      <c r="K15" s="934"/>
      <c r="L15" s="934"/>
      <c r="M15" s="935"/>
      <c r="N15" s="937"/>
      <c r="O15" s="938"/>
      <c r="P15" s="938"/>
      <c r="Q15" s="939"/>
      <c r="R15" s="940"/>
      <c r="S15" s="941"/>
      <c r="T15" s="318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hidden="1" thickBot="1">
      <c r="A16" s="918"/>
      <c r="B16" s="927"/>
      <c r="C16" s="928"/>
      <c r="D16" s="929"/>
      <c r="E16" s="929"/>
      <c r="F16" s="929"/>
      <c r="G16" s="929"/>
      <c r="H16" s="929"/>
      <c r="I16" s="929"/>
      <c r="J16" s="929"/>
      <c r="K16" s="929"/>
      <c r="L16" s="929"/>
      <c r="M16" s="930"/>
      <c r="N16" s="930"/>
      <c r="O16" s="929"/>
      <c r="P16" s="929"/>
      <c r="Q16" s="929"/>
      <c r="R16" s="929"/>
      <c r="S16" s="931"/>
      <c r="T16" s="31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0" t="s">
        <v>3399</v>
      </c>
      <c r="D17" s="3171" t="s">
        <v>3393</v>
      </c>
      <c r="E17" s="3171"/>
      <c r="F17" s="944"/>
      <c r="G17" s="944"/>
      <c r="H17" s="944"/>
      <c r="I17" s="944"/>
      <c r="J17" s="944"/>
      <c r="K17" s="944"/>
      <c r="L17" s="945"/>
      <c r="M17" s="946"/>
      <c r="N17" s="947"/>
      <c r="O17" s="948"/>
      <c r="P17" s="948"/>
      <c r="Q17" s="949"/>
      <c r="R17" s="950"/>
      <c r="S17" s="951"/>
      <c r="T17" s="3186"/>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85</v>
      </c>
      <c r="E18" s="955"/>
      <c r="F18" s="955"/>
      <c r="G18" s="955"/>
      <c r="H18" s="955"/>
      <c r="I18" s="955"/>
      <c r="J18" s="955"/>
      <c r="K18" s="955"/>
      <c r="L18" s="955"/>
      <c r="M18" s="956"/>
      <c r="N18" s="956"/>
      <c r="O18" s="955"/>
      <c r="P18" s="955"/>
      <c r="Q18" s="955"/>
      <c r="R18" s="955"/>
      <c r="S18" s="957"/>
      <c r="T18" s="318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4084</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22501</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1815.06</v>
      </c>
      <c r="C22" s="3475" t="s">
        <v>27</v>
      </c>
      <c r="D22" s="3476"/>
      <c r="E22" s="3476"/>
      <c r="F22" s="3476"/>
      <c r="G22" s="3476"/>
      <c r="H22" s="3476"/>
      <c r="I22" s="3476"/>
      <c r="J22" s="3476"/>
      <c r="K22" s="3476"/>
      <c r="L22" s="3476"/>
      <c r="M22" s="3476"/>
      <c r="N22" s="3476"/>
      <c r="O22" s="3476"/>
      <c r="P22" s="3476"/>
      <c r="Q22" s="3477"/>
      <c r="R22" s="21">
        <f ca="1">ROUND(S22*10000/B22,0)</f>
        <v>22501</v>
      </c>
      <c r="S22" s="21">
        <f ca="1">SUM(S24:S10000)</f>
        <v>4084</v>
      </c>
    </row>
    <row r="23" spans="1:45" s="9" customFormat="1" ht="24">
      <c r="A23" s="8" t="s">
        <v>2093</v>
      </c>
      <c r="B23" s="8" t="s">
        <v>2094</v>
      </c>
      <c r="C23" s="8" t="s">
        <v>2095</v>
      </c>
      <c r="D23" s="8" t="str">
        <f>B5</f>
        <v>内部装修</v>
      </c>
      <c r="E23" s="8" t="s">
        <v>2095</v>
      </c>
      <c r="F23" s="8" t="str">
        <f>B7</f>
        <v>层高</v>
      </c>
      <c r="G23" s="8" t="s">
        <v>2095</v>
      </c>
      <c r="H23" s="8">
        <f>B9</f>
        <v>0</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89"/>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95">
        <f>面积表!D11</f>
        <v>9</v>
      </c>
      <c r="B24" s="3195">
        <f>面积表!E11</f>
        <v>134.51</v>
      </c>
      <c r="C24" s="2558">
        <v>1</v>
      </c>
      <c r="D24" s="2559" t="s">
        <v>4014</v>
      </c>
      <c r="E24" s="2558">
        <v>1</v>
      </c>
      <c r="F24" s="2559" t="s">
        <v>4061</v>
      </c>
      <c r="G24" s="2558">
        <v>1</v>
      </c>
      <c r="H24" s="2559"/>
      <c r="I24" s="2558">
        <v>1</v>
      </c>
      <c r="J24" s="2559"/>
      <c r="K24" s="2558">
        <v>1</v>
      </c>
      <c r="L24" s="2559"/>
      <c r="M24" s="2558">
        <v>1</v>
      </c>
      <c r="N24" s="2559"/>
      <c r="O24" s="2558">
        <v>1</v>
      </c>
      <c r="P24" s="2559" t="s">
        <v>3399</v>
      </c>
      <c r="Q24" s="2558">
        <v>1</v>
      </c>
      <c r="R24" s="629">
        <f ca="1">结果表商!G20</f>
        <v>26178</v>
      </c>
      <c r="S24" s="630">
        <f t="shared" ref="S24:S87" ca="1" si="5">ROUND(R24*B24/10000,0)</f>
        <v>352</v>
      </c>
      <c r="T24" s="3190"/>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96">
        <f>面积表!D3</f>
        <v>1</v>
      </c>
      <c r="B25" s="3196">
        <f>面积表!E3</f>
        <v>243.07</v>
      </c>
      <c r="C25" s="21">
        <f>IF(B25="",1,(LOOKUP(B25,$3:$3,$4:$4)-LOOKUP($B$24,$3:$3,$4:$4)+100)/100)</f>
        <v>0.98</v>
      </c>
      <c r="D25" s="2559" t="s">
        <v>4014</v>
      </c>
      <c r="E25" s="21">
        <f>(SUMIF($5:$5,D25,$6:$6)-SUMIF($5:$5,$D$24,$6:$6)+100)/100</f>
        <v>1</v>
      </c>
      <c r="F25" s="2559" t="s">
        <v>4061</v>
      </c>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2559" t="s">
        <v>3393</v>
      </c>
      <c r="Q25" s="21">
        <f>(SUMIF($17:$17,P25,$18:$18)-SUMIF($17:$17,$P$24,$18:$18)+100)/100</f>
        <v>0.85</v>
      </c>
      <c r="R25" s="21">
        <f ca="1">IF(B25="",0,ROUND($R$24*C25*E25*G25*I25*K25*M25*O25*Q25,0))</f>
        <v>21806</v>
      </c>
      <c r="S25" s="307">
        <f t="shared" ca="1" si="5"/>
        <v>530</v>
      </c>
      <c r="T25" s="3198" t="str">
        <f>面积表!C3</f>
        <v>1-2层</v>
      </c>
    </row>
    <row r="26" spans="1:45">
      <c r="A26" s="3196">
        <f>面积表!D4</f>
        <v>2</v>
      </c>
      <c r="B26" s="3196">
        <f>面积表!E4</f>
        <v>156.22</v>
      </c>
      <c r="C26" s="21">
        <f t="shared" ref="C26:C89" si="6">IF(B26="",1,(LOOKUP(B26,$3:$3,$4:$4)-LOOKUP($B$24,$3:$3,$4:$4)+100)/100)</f>
        <v>1</v>
      </c>
      <c r="D26" s="2559" t="s">
        <v>4014</v>
      </c>
      <c r="E26" s="21">
        <f t="shared" ref="E26:E89" si="7">(SUMIF($5:$5,D26,$6:$6)-SUMIF($5:$5,$D$24,$6:$6)+100)/100</f>
        <v>1</v>
      </c>
      <c r="F26" s="2559" t="s">
        <v>4061</v>
      </c>
      <c r="G26" s="21">
        <f t="shared" ref="G26:G89" si="8">(SUMIF($7:$7,F26,$8:$8)-SUMIF($7:$7,$F$24,$8:$8)+100)/100</f>
        <v>1</v>
      </c>
      <c r="H26" s="631"/>
      <c r="I26" s="21">
        <f t="shared" ref="I26:I89" si="9">(SUMIF($9:$9,H26,$10:$10)-SUMIF($9:$9,$H$24,$10:$10)+100)/100</f>
        <v>1</v>
      </c>
      <c r="J26" s="631"/>
      <c r="K26" s="21">
        <f t="shared" ref="K26:K89" si="10">(SUMIF($11:$11,J26,$12:$12)-SUMIF($11:$11,$J$24,$12:$12)+100)/100</f>
        <v>1</v>
      </c>
      <c r="L26" s="631"/>
      <c r="M26" s="21">
        <f t="shared" ref="M26:M89" si="11">(SUMIF($13:$13,L26,$14:$14)-SUMIF($13:$13,$L$24,$14:$14)+100)/100</f>
        <v>1</v>
      </c>
      <c r="N26" s="631"/>
      <c r="O26" s="21">
        <f t="shared" ref="O26:O89" si="12">(SUMIF($15:$15,N26,$16:$16)-SUMIF($15:$15,$N$24,$16:$16)+100)/100</f>
        <v>1</v>
      </c>
      <c r="P26" s="2559" t="s">
        <v>3393</v>
      </c>
      <c r="Q26" s="21">
        <f t="shared" ref="Q26:Q89" si="13">(SUMIF($17:$17,P26,$18:$18)-SUMIF($17:$17,$P$24,$18:$18)+100)/100</f>
        <v>0.85</v>
      </c>
      <c r="R26" s="21">
        <f t="shared" ref="R26:R89" ca="1" si="14">IF(B26="",0,ROUND($R$24*C26*E26*G26*I26*K26*M26*O26*Q26,0))</f>
        <v>22251</v>
      </c>
      <c r="S26" s="307">
        <f t="shared" ca="1" si="5"/>
        <v>348</v>
      </c>
      <c r="T26" s="3198" t="str">
        <f>面积表!C4</f>
        <v>1-2层</v>
      </c>
    </row>
    <row r="27" spans="1:45">
      <c r="A27" s="3196">
        <f>面积表!D5</f>
        <v>3</v>
      </c>
      <c r="B27" s="3196">
        <f>面积表!E5</f>
        <v>214.35</v>
      </c>
      <c r="C27" s="21">
        <f t="shared" si="6"/>
        <v>0.98</v>
      </c>
      <c r="D27" s="2559" t="s">
        <v>4014</v>
      </c>
      <c r="E27" s="21">
        <f t="shared" si="7"/>
        <v>1</v>
      </c>
      <c r="F27" s="2559" t="s">
        <v>4061</v>
      </c>
      <c r="G27" s="21">
        <f t="shared" si="8"/>
        <v>1</v>
      </c>
      <c r="H27" s="631"/>
      <c r="I27" s="21">
        <f t="shared" si="9"/>
        <v>1</v>
      </c>
      <c r="J27" s="631"/>
      <c r="K27" s="21">
        <f t="shared" si="10"/>
        <v>1</v>
      </c>
      <c r="L27" s="631"/>
      <c r="M27" s="21">
        <f t="shared" si="11"/>
        <v>1</v>
      </c>
      <c r="N27" s="631"/>
      <c r="O27" s="21">
        <f t="shared" si="12"/>
        <v>1</v>
      </c>
      <c r="P27" s="2559" t="s">
        <v>3393</v>
      </c>
      <c r="Q27" s="21">
        <f t="shared" si="13"/>
        <v>0.85</v>
      </c>
      <c r="R27" s="21">
        <f t="shared" ca="1" si="14"/>
        <v>21806</v>
      </c>
      <c r="S27" s="307">
        <f t="shared" ca="1" si="5"/>
        <v>467</v>
      </c>
      <c r="T27" s="3198" t="str">
        <f>面积表!C5</f>
        <v>1-2层</v>
      </c>
    </row>
    <row r="28" spans="1:45">
      <c r="A28" s="3196">
        <f>面积表!D6</f>
        <v>4</v>
      </c>
      <c r="B28" s="3196">
        <f>面积表!E6</f>
        <v>216.09</v>
      </c>
      <c r="C28" s="21">
        <f t="shared" si="6"/>
        <v>0.98</v>
      </c>
      <c r="D28" s="2559" t="s">
        <v>4014</v>
      </c>
      <c r="E28" s="21">
        <f t="shared" si="7"/>
        <v>1</v>
      </c>
      <c r="F28" s="2559" t="s">
        <v>4061</v>
      </c>
      <c r="G28" s="21">
        <f t="shared" si="8"/>
        <v>1</v>
      </c>
      <c r="H28" s="631"/>
      <c r="I28" s="21">
        <f t="shared" si="9"/>
        <v>1</v>
      </c>
      <c r="J28" s="631"/>
      <c r="K28" s="21">
        <f t="shared" si="10"/>
        <v>1</v>
      </c>
      <c r="L28" s="631"/>
      <c r="M28" s="21">
        <f t="shared" si="11"/>
        <v>1</v>
      </c>
      <c r="N28" s="631"/>
      <c r="O28" s="21">
        <f t="shared" si="12"/>
        <v>1</v>
      </c>
      <c r="P28" s="2559" t="s">
        <v>3393</v>
      </c>
      <c r="Q28" s="21">
        <f t="shared" si="13"/>
        <v>0.85</v>
      </c>
      <c r="R28" s="21">
        <f t="shared" ca="1" si="14"/>
        <v>21806</v>
      </c>
      <c r="S28" s="307">
        <f t="shared" ca="1" si="5"/>
        <v>471</v>
      </c>
      <c r="T28" s="3198" t="str">
        <f>面积表!C6</f>
        <v>1-2层</v>
      </c>
    </row>
    <row r="29" spans="1:45">
      <c r="A29" s="3196">
        <f>面积表!D7</f>
        <v>5</v>
      </c>
      <c r="B29" s="3196">
        <f>面积表!E7</f>
        <v>158.88999999999999</v>
      </c>
      <c r="C29" s="21">
        <f t="shared" si="6"/>
        <v>1</v>
      </c>
      <c r="D29" s="2559" t="s">
        <v>4014</v>
      </c>
      <c r="E29" s="21">
        <f t="shared" si="7"/>
        <v>1</v>
      </c>
      <c r="F29" s="2559" t="s">
        <v>4061</v>
      </c>
      <c r="G29" s="21">
        <f t="shared" si="8"/>
        <v>1</v>
      </c>
      <c r="H29" s="631"/>
      <c r="I29" s="21">
        <f t="shared" si="9"/>
        <v>1</v>
      </c>
      <c r="J29" s="631"/>
      <c r="K29" s="21">
        <f t="shared" si="10"/>
        <v>1</v>
      </c>
      <c r="L29" s="631"/>
      <c r="M29" s="21">
        <f t="shared" si="11"/>
        <v>1</v>
      </c>
      <c r="N29" s="631"/>
      <c r="O29" s="21">
        <f t="shared" si="12"/>
        <v>1</v>
      </c>
      <c r="P29" s="2559" t="s">
        <v>3393</v>
      </c>
      <c r="Q29" s="21">
        <f t="shared" si="13"/>
        <v>0.85</v>
      </c>
      <c r="R29" s="21">
        <f t="shared" ca="1" si="14"/>
        <v>22251</v>
      </c>
      <c r="S29" s="307">
        <f t="shared" ca="1" si="5"/>
        <v>354</v>
      </c>
      <c r="T29" s="3198" t="str">
        <f>面积表!C7</f>
        <v>1-2层</v>
      </c>
    </row>
    <row r="30" spans="1:45">
      <c r="A30" s="3196">
        <f>面积表!D8</f>
        <v>6</v>
      </c>
      <c r="B30" s="3196">
        <f>面积表!E8</f>
        <v>158.35</v>
      </c>
      <c r="C30" s="21">
        <f t="shared" si="6"/>
        <v>1</v>
      </c>
      <c r="D30" s="2559" t="s">
        <v>4014</v>
      </c>
      <c r="E30" s="21">
        <f t="shared" si="7"/>
        <v>1</v>
      </c>
      <c r="F30" s="2559" t="s">
        <v>4061</v>
      </c>
      <c r="G30" s="21">
        <f t="shared" si="8"/>
        <v>1</v>
      </c>
      <c r="H30" s="631"/>
      <c r="I30" s="21">
        <f t="shared" si="9"/>
        <v>1</v>
      </c>
      <c r="J30" s="631"/>
      <c r="K30" s="21">
        <f t="shared" si="10"/>
        <v>1</v>
      </c>
      <c r="L30" s="631"/>
      <c r="M30" s="21">
        <f t="shared" si="11"/>
        <v>1</v>
      </c>
      <c r="N30" s="631"/>
      <c r="O30" s="21">
        <f t="shared" si="12"/>
        <v>1</v>
      </c>
      <c r="P30" s="2559" t="s">
        <v>3393</v>
      </c>
      <c r="Q30" s="21">
        <f t="shared" si="13"/>
        <v>0.85</v>
      </c>
      <c r="R30" s="21">
        <f t="shared" ca="1" si="14"/>
        <v>22251</v>
      </c>
      <c r="S30" s="307">
        <f t="shared" ca="1" si="5"/>
        <v>352</v>
      </c>
      <c r="T30" s="3198" t="str">
        <f>面积表!C8</f>
        <v>1-2层</v>
      </c>
    </row>
    <row r="31" spans="1:45">
      <c r="A31" s="3196">
        <f>面积表!D9</f>
        <v>7</v>
      </c>
      <c r="B31" s="3196">
        <f>面积表!E9</f>
        <v>155.35</v>
      </c>
      <c r="C31" s="21">
        <f t="shared" si="6"/>
        <v>1</v>
      </c>
      <c r="D31" s="2559" t="s">
        <v>4014</v>
      </c>
      <c r="E31" s="21">
        <f t="shared" si="7"/>
        <v>1</v>
      </c>
      <c r="F31" s="2559" t="s">
        <v>4061</v>
      </c>
      <c r="G31" s="21">
        <f t="shared" si="8"/>
        <v>1</v>
      </c>
      <c r="H31" s="631"/>
      <c r="I31" s="21">
        <f t="shared" si="9"/>
        <v>1</v>
      </c>
      <c r="J31" s="631"/>
      <c r="K31" s="21">
        <f t="shared" si="10"/>
        <v>1</v>
      </c>
      <c r="L31" s="631"/>
      <c r="M31" s="21">
        <f t="shared" si="11"/>
        <v>1</v>
      </c>
      <c r="N31" s="631"/>
      <c r="O31" s="21">
        <f t="shared" si="12"/>
        <v>1</v>
      </c>
      <c r="P31" s="2559" t="s">
        <v>3393</v>
      </c>
      <c r="Q31" s="21">
        <f t="shared" si="13"/>
        <v>0.85</v>
      </c>
      <c r="R31" s="21">
        <f t="shared" ca="1" si="14"/>
        <v>22251</v>
      </c>
      <c r="S31" s="307">
        <f t="shared" ca="1" si="5"/>
        <v>346</v>
      </c>
      <c r="T31" s="3198" t="str">
        <f>面积表!C9</f>
        <v>1-2层</v>
      </c>
    </row>
    <row r="32" spans="1:45">
      <c r="A32" s="3196">
        <f>面积表!D10</f>
        <v>8</v>
      </c>
      <c r="B32" s="3196">
        <f>面积表!E10</f>
        <v>298.8</v>
      </c>
      <c r="C32" s="21">
        <f t="shared" si="6"/>
        <v>0.98</v>
      </c>
      <c r="D32" s="2559" t="s">
        <v>4014</v>
      </c>
      <c r="E32" s="21">
        <f t="shared" si="7"/>
        <v>1</v>
      </c>
      <c r="F32" s="2559" t="s">
        <v>4061</v>
      </c>
      <c r="G32" s="21">
        <f t="shared" si="8"/>
        <v>1</v>
      </c>
      <c r="H32" s="631"/>
      <c r="I32" s="21">
        <f t="shared" si="9"/>
        <v>1</v>
      </c>
      <c r="J32" s="631"/>
      <c r="K32" s="21">
        <f t="shared" si="10"/>
        <v>1</v>
      </c>
      <c r="L32" s="631"/>
      <c r="M32" s="21">
        <f t="shared" si="11"/>
        <v>1</v>
      </c>
      <c r="N32" s="631"/>
      <c r="O32" s="21">
        <f t="shared" si="12"/>
        <v>1</v>
      </c>
      <c r="P32" s="2559" t="s">
        <v>3393</v>
      </c>
      <c r="Q32" s="21">
        <f t="shared" si="13"/>
        <v>0.85</v>
      </c>
      <c r="R32" s="21">
        <f t="shared" ca="1" si="14"/>
        <v>21806</v>
      </c>
      <c r="S32" s="307">
        <f t="shared" ca="1" si="5"/>
        <v>652</v>
      </c>
      <c r="T32" s="3198" t="str">
        <f>面积表!C10</f>
        <v>1-2层</v>
      </c>
    </row>
    <row r="33" spans="1:20">
      <c r="A33" s="3197">
        <f>面积表!D11</f>
        <v>9</v>
      </c>
      <c r="B33" s="3197"/>
      <c r="C33" s="21">
        <f t="shared" si="6"/>
        <v>1</v>
      </c>
      <c r="D33" s="2559" t="s">
        <v>4014</v>
      </c>
      <c r="E33" s="21">
        <f t="shared" si="7"/>
        <v>1</v>
      </c>
      <c r="F33" s="2559" t="s">
        <v>4061</v>
      </c>
      <c r="G33" s="21">
        <f t="shared" si="8"/>
        <v>1</v>
      </c>
      <c r="H33" s="631"/>
      <c r="I33" s="21">
        <f t="shared" si="9"/>
        <v>1</v>
      </c>
      <c r="J33" s="631"/>
      <c r="K33" s="21">
        <f t="shared" si="10"/>
        <v>1</v>
      </c>
      <c r="L33" s="631"/>
      <c r="M33" s="21">
        <f t="shared" si="11"/>
        <v>1</v>
      </c>
      <c r="N33" s="631"/>
      <c r="O33" s="21">
        <f t="shared" si="12"/>
        <v>1</v>
      </c>
      <c r="P33" s="2559" t="s">
        <v>3399</v>
      </c>
      <c r="Q33" s="21">
        <f t="shared" si="13"/>
        <v>1</v>
      </c>
      <c r="R33" s="21">
        <f t="shared" si="14"/>
        <v>0</v>
      </c>
      <c r="S33" s="307">
        <f t="shared" si="5"/>
        <v>0</v>
      </c>
      <c r="T33" s="3198" t="str">
        <f>面积表!C11</f>
        <v>1层</v>
      </c>
    </row>
    <row r="34" spans="1:20">
      <c r="A34" s="3196">
        <f>面积表!D12</f>
        <v>12</v>
      </c>
      <c r="B34" s="3196">
        <f>面积表!E12</f>
        <v>79.430000000000007</v>
      </c>
      <c r="C34" s="21">
        <f t="shared" si="6"/>
        <v>1.02</v>
      </c>
      <c r="D34" s="2559" t="s">
        <v>4014</v>
      </c>
      <c r="E34" s="21">
        <f t="shared" si="7"/>
        <v>1</v>
      </c>
      <c r="F34" s="2559" t="s">
        <v>4061</v>
      </c>
      <c r="G34" s="21">
        <f t="shared" si="8"/>
        <v>1</v>
      </c>
      <c r="H34" s="631"/>
      <c r="I34" s="21">
        <f t="shared" si="9"/>
        <v>1</v>
      </c>
      <c r="J34" s="631"/>
      <c r="K34" s="21">
        <f t="shared" si="10"/>
        <v>1</v>
      </c>
      <c r="L34" s="631"/>
      <c r="M34" s="21">
        <f t="shared" si="11"/>
        <v>1</v>
      </c>
      <c r="N34" s="631"/>
      <c r="O34" s="21">
        <f t="shared" si="12"/>
        <v>1</v>
      </c>
      <c r="P34" s="2559" t="s">
        <v>3399</v>
      </c>
      <c r="Q34" s="21">
        <f t="shared" si="13"/>
        <v>1</v>
      </c>
      <c r="R34" s="21">
        <f t="shared" ca="1" si="14"/>
        <v>26702</v>
      </c>
      <c r="S34" s="307">
        <f t="shared" ca="1" si="5"/>
        <v>212</v>
      </c>
      <c r="T34" s="3198" t="str">
        <f>面积表!C12</f>
        <v>1层</v>
      </c>
    </row>
    <row r="35" spans="1:20">
      <c r="A35" s="3196"/>
      <c r="B35" s="3196"/>
      <c r="C35" s="21">
        <f t="shared" si="6"/>
        <v>1</v>
      </c>
      <c r="D35" s="2559"/>
      <c r="E35" s="21">
        <f t="shared" si="7"/>
        <v>0.02</v>
      </c>
      <c r="F35" s="2559"/>
      <c r="G35" s="21">
        <f t="shared" si="8"/>
        <v>0</v>
      </c>
      <c r="H35" s="631"/>
      <c r="I35" s="21">
        <f t="shared" si="9"/>
        <v>1</v>
      </c>
      <c r="J35" s="631"/>
      <c r="K35" s="21">
        <f t="shared" si="10"/>
        <v>1</v>
      </c>
      <c r="L35" s="631"/>
      <c r="M35" s="21">
        <f t="shared" si="11"/>
        <v>1</v>
      </c>
      <c r="N35" s="631"/>
      <c r="O35" s="21">
        <f t="shared" si="12"/>
        <v>1</v>
      </c>
      <c r="P35" s="2559"/>
      <c r="Q35" s="21">
        <f t="shared" si="13"/>
        <v>0</v>
      </c>
      <c r="R35" s="21">
        <f t="shared" si="14"/>
        <v>0</v>
      </c>
      <c r="S35" s="307">
        <f t="shared" si="5"/>
        <v>0</v>
      </c>
      <c r="T35" s="3190"/>
    </row>
    <row r="36" spans="1:20">
      <c r="A36" s="3196"/>
      <c r="B36" s="3196"/>
      <c r="C36" s="21">
        <f t="shared" si="6"/>
        <v>1</v>
      </c>
      <c r="D36" s="2559"/>
      <c r="E36" s="21">
        <f t="shared" si="7"/>
        <v>0.02</v>
      </c>
      <c r="F36" s="2559"/>
      <c r="G36" s="21">
        <f t="shared" si="8"/>
        <v>0</v>
      </c>
      <c r="H36" s="631"/>
      <c r="I36" s="21">
        <f t="shared" si="9"/>
        <v>1</v>
      </c>
      <c r="J36" s="631"/>
      <c r="K36" s="21">
        <f t="shared" si="10"/>
        <v>1</v>
      </c>
      <c r="L36" s="631"/>
      <c r="M36" s="21">
        <f t="shared" si="11"/>
        <v>1</v>
      </c>
      <c r="N36" s="631"/>
      <c r="O36" s="21">
        <f t="shared" si="12"/>
        <v>1</v>
      </c>
      <c r="P36" s="2559"/>
      <c r="Q36" s="21">
        <f t="shared" si="13"/>
        <v>0</v>
      </c>
      <c r="R36" s="21">
        <f t="shared" si="14"/>
        <v>0</v>
      </c>
      <c r="S36" s="307">
        <f t="shared" si="5"/>
        <v>0</v>
      </c>
      <c r="T36" s="3190"/>
    </row>
    <row r="37" spans="1:20">
      <c r="A37" s="3196"/>
      <c r="B37" s="3196"/>
      <c r="C37" s="21">
        <f t="shared" si="6"/>
        <v>1</v>
      </c>
      <c r="D37" s="2559"/>
      <c r="E37" s="21">
        <f t="shared" si="7"/>
        <v>0.02</v>
      </c>
      <c r="F37" s="2559"/>
      <c r="G37" s="21">
        <f t="shared" si="8"/>
        <v>0</v>
      </c>
      <c r="H37" s="631"/>
      <c r="I37" s="21">
        <f t="shared" si="9"/>
        <v>1</v>
      </c>
      <c r="J37" s="631"/>
      <c r="K37" s="21">
        <f t="shared" si="10"/>
        <v>1</v>
      </c>
      <c r="L37" s="631"/>
      <c r="M37" s="21">
        <f t="shared" si="11"/>
        <v>1</v>
      </c>
      <c r="N37" s="631"/>
      <c r="O37" s="21">
        <f t="shared" si="12"/>
        <v>1</v>
      </c>
      <c r="P37" s="2559"/>
      <c r="Q37" s="21">
        <f t="shared" si="13"/>
        <v>0</v>
      </c>
      <c r="R37" s="21">
        <f t="shared" si="14"/>
        <v>0</v>
      </c>
      <c r="S37" s="307">
        <f t="shared" si="5"/>
        <v>0</v>
      </c>
      <c r="T37" s="3190"/>
    </row>
    <row r="38" spans="1:20">
      <c r="A38" s="3169"/>
      <c r="B38" s="52"/>
      <c r="C38" s="21">
        <f t="shared" si="6"/>
        <v>1</v>
      </c>
      <c r="D38" s="2559"/>
      <c r="E38" s="21">
        <f t="shared" si="7"/>
        <v>0.02</v>
      </c>
      <c r="F38" s="2559"/>
      <c r="G38" s="21">
        <f t="shared" si="8"/>
        <v>0</v>
      </c>
      <c r="H38" s="631"/>
      <c r="I38" s="21">
        <f t="shared" si="9"/>
        <v>1</v>
      </c>
      <c r="J38" s="631"/>
      <c r="K38" s="21">
        <f t="shared" si="10"/>
        <v>1</v>
      </c>
      <c r="L38" s="631"/>
      <c r="M38" s="21">
        <f t="shared" si="11"/>
        <v>1</v>
      </c>
      <c r="N38" s="631"/>
      <c r="O38" s="21">
        <f t="shared" si="12"/>
        <v>1</v>
      </c>
      <c r="P38" s="2559"/>
      <c r="Q38" s="21">
        <f t="shared" si="13"/>
        <v>0</v>
      </c>
      <c r="R38" s="21">
        <f t="shared" si="14"/>
        <v>0</v>
      </c>
      <c r="S38" s="307">
        <f t="shared" si="5"/>
        <v>0</v>
      </c>
      <c r="T38" s="3190"/>
    </row>
    <row r="39" spans="1:20">
      <c r="A39" s="3169"/>
      <c r="B39" s="52"/>
      <c r="C39" s="21">
        <f t="shared" si="6"/>
        <v>1</v>
      </c>
      <c r="D39" s="2559"/>
      <c r="E39" s="21">
        <f t="shared" si="7"/>
        <v>0.02</v>
      </c>
      <c r="F39" s="2559"/>
      <c r="G39" s="21">
        <f t="shared" si="8"/>
        <v>0</v>
      </c>
      <c r="H39" s="631"/>
      <c r="I39" s="21">
        <f t="shared" si="9"/>
        <v>1</v>
      </c>
      <c r="J39" s="631"/>
      <c r="K39" s="21">
        <f t="shared" si="10"/>
        <v>1</v>
      </c>
      <c r="L39" s="631"/>
      <c r="M39" s="21">
        <f t="shared" si="11"/>
        <v>1</v>
      </c>
      <c r="N39" s="631"/>
      <c r="O39" s="21">
        <f t="shared" si="12"/>
        <v>1</v>
      </c>
      <c r="P39" s="2559"/>
      <c r="Q39" s="21">
        <f t="shared" si="13"/>
        <v>0</v>
      </c>
      <c r="R39" s="21">
        <f t="shared" si="14"/>
        <v>0</v>
      </c>
      <c r="S39" s="307">
        <f t="shared" si="5"/>
        <v>0</v>
      </c>
      <c r="T39" s="3190">
        <f>面积表!A34</f>
        <v>0</v>
      </c>
    </row>
    <row r="40" spans="1:20">
      <c r="A40" s="3169"/>
      <c r="B40" s="52"/>
      <c r="C40" s="21">
        <f t="shared" si="6"/>
        <v>1</v>
      </c>
      <c r="D40" s="2559"/>
      <c r="E40" s="21">
        <f t="shared" si="7"/>
        <v>0.02</v>
      </c>
      <c r="F40" s="2559"/>
      <c r="G40" s="21">
        <f t="shared" si="8"/>
        <v>0</v>
      </c>
      <c r="H40" s="631"/>
      <c r="I40" s="21">
        <f t="shared" si="9"/>
        <v>1</v>
      </c>
      <c r="J40" s="631"/>
      <c r="K40" s="21">
        <f t="shared" si="10"/>
        <v>1</v>
      </c>
      <c r="L40" s="631"/>
      <c r="M40" s="21">
        <f t="shared" si="11"/>
        <v>1</v>
      </c>
      <c r="N40" s="631"/>
      <c r="O40" s="21">
        <f t="shared" si="12"/>
        <v>1</v>
      </c>
      <c r="P40" s="2559"/>
      <c r="Q40" s="21">
        <f t="shared" si="13"/>
        <v>0</v>
      </c>
      <c r="R40" s="21">
        <f t="shared" si="14"/>
        <v>0</v>
      </c>
      <c r="S40" s="307">
        <f t="shared" si="5"/>
        <v>0</v>
      </c>
      <c r="T40" s="3190">
        <f>面积表!A35</f>
        <v>0</v>
      </c>
    </row>
    <row r="41" spans="1:20">
      <c r="A41" s="3169"/>
      <c r="B41" s="52"/>
      <c r="C41" s="21">
        <f t="shared" si="6"/>
        <v>1</v>
      </c>
      <c r="D41" s="2559"/>
      <c r="E41" s="21">
        <f t="shared" si="7"/>
        <v>0.02</v>
      </c>
      <c r="F41" s="2559"/>
      <c r="G41" s="21">
        <f t="shared" si="8"/>
        <v>0</v>
      </c>
      <c r="H41" s="631"/>
      <c r="I41" s="21">
        <f t="shared" si="9"/>
        <v>1</v>
      </c>
      <c r="J41" s="631"/>
      <c r="K41" s="21">
        <f t="shared" si="10"/>
        <v>1</v>
      </c>
      <c r="L41" s="631"/>
      <c r="M41" s="21">
        <f t="shared" si="11"/>
        <v>1</v>
      </c>
      <c r="N41" s="631"/>
      <c r="O41" s="21">
        <f t="shared" si="12"/>
        <v>1</v>
      </c>
      <c r="P41" s="2559"/>
      <c r="Q41" s="21">
        <f t="shared" si="13"/>
        <v>0</v>
      </c>
      <c r="R41" s="21">
        <f t="shared" si="14"/>
        <v>0</v>
      </c>
      <c r="S41" s="307">
        <f t="shared" si="5"/>
        <v>0</v>
      </c>
      <c r="T41" s="3190">
        <f>面积表!A36</f>
        <v>0</v>
      </c>
    </row>
    <row r="42" spans="1:20">
      <c r="A42" s="3169"/>
      <c r="B42" s="52"/>
      <c r="C42" s="21">
        <f t="shared" si="6"/>
        <v>1</v>
      </c>
      <c r="D42" s="2559"/>
      <c r="E42" s="21">
        <f t="shared" si="7"/>
        <v>0.02</v>
      </c>
      <c r="F42" s="2559"/>
      <c r="G42" s="21">
        <f t="shared" si="8"/>
        <v>0</v>
      </c>
      <c r="H42" s="631"/>
      <c r="I42" s="21">
        <f t="shared" si="9"/>
        <v>1</v>
      </c>
      <c r="J42" s="631"/>
      <c r="K42" s="21">
        <f t="shared" si="10"/>
        <v>1</v>
      </c>
      <c r="L42" s="631"/>
      <c r="M42" s="21">
        <f t="shared" si="11"/>
        <v>1</v>
      </c>
      <c r="N42" s="631"/>
      <c r="O42" s="21">
        <f t="shared" si="12"/>
        <v>1</v>
      </c>
      <c r="P42" s="2559"/>
      <c r="Q42" s="21">
        <f t="shared" si="13"/>
        <v>0</v>
      </c>
      <c r="R42" s="21">
        <f t="shared" si="14"/>
        <v>0</v>
      </c>
      <c r="S42" s="307">
        <f t="shared" si="5"/>
        <v>0</v>
      </c>
      <c r="T42" s="3190">
        <f>面积表!A37</f>
        <v>0</v>
      </c>
    </row>
    <row r="43" spans="1:20">
      <c r="A43" s="3169"/>
      <c r="B43" s="52"/>
      <c r="C43" s="21">
        <f t="shared" si="6"/>
        <v>1</v>
      </c>
      <c r="D43" s="2559"/>
      <c r="E43" s="21">
        <f t="shared" si="7"/>
        <v>0.02</v>
      </c>
      <c r="F43" s="2559"/>
      <c r="G43" s="21">
        <f t="shared" si="8"/>
        <v>0</v>
      </c>
      <c r="H43" s="631"/>
      <c r="I43" s="21">
        <f t="shared" si="9"/>
        <v>1</v>
      </c>
      <c r="J43" s="631"/>
      <c r="K43" s="21">
        <f t="shared" si="10"/>
        <v>1</v>
      </c>
      <c r="L43" s="631"/>
      <c r="M43" s="21">
        <f t="shared" si="11"/>
        <v>1</v>
      </c>
      <c r="N43" s="631"/>
      <c r="O43" s="21">
        <f t="shared" si="12"/>
        <v>1</v>
      </c>
      <c r="P43" s="2559"/>
      <c r="Q43" s="21">
        <f t="shared" si="13"/>
        <v>0</v>
      </c>
      <c r="R43" s="21">
        <f t="shared" si="14"/>
        <v>0</v>
      </c>
      <c r="S43" s="307">
        <f t="shared" si="5"/>
        <v>0</v>
      </c>
      <c r="T43" s="3190">
        <f>面积表!A38</f>
        <v>0</v>
      </c>
    </row>
    <row r="44" spans="1:20">
      <c r="A44" s="3169"/>
      <c r="B44" s="52"/>
      <c r="C44" s="21">
        <f t="shared" si="6"/>
        <v>1</v>
      </c>
      <c r="D44" s="2559"/>
      <c r="E44" s="21">
        <f t="shared" si="7"/>
        <v>0.02</v>
      </c>
      <c r="F44" s="2559"/>
      <c r="G44" s="21">
        <f t="shared" si="8"/>
        <v>0</v>
      </c>
      <c r="H44" s="631"/>
      <c r="I44" s="21">
        <f t="shared" si="9"/>
        <v>1</v>
      </c>
      <c r="J44" s="631"/>
      <c r="K44" s="21">
        <f t="shared" si="10"/>
        <v>1</v>
      </c>
      <c r="L44" s="631"/>
      <c r="M44" s="21">
        <f t="shared" si="11"/>
        <v>1</v>
      </c>
      <c r="N44" s="631"/>
      <c r="O44" s="21">
        <f t="shared" si="12"/>
        <v>1</v>
      </c>
      <c r="P44" s="2559"/>
      <c r="Q44" s="21">
        <f t="shared" si="13"/>
        <v>0</v>
      </c>
      <c r="R44" s="21">
        <f t="shared" si="14"/>
        <v>0</v>
      </c>
      <c r="S44" s="307">
        <f t="shared" si="5"/>
        <v>0</v>
      </c>
      <c r="T44" s="3190">
        <f>面积表!A39</f>
        <v>0</v>
      </c>
    </row>
    <row r="45" spans="1:20">
      <c r="A45" s="3169"/>
      <c r="B45" s="52"/>
      <c r="C45" s="21">
        <f t="shared" si="6"/>
        <v>1</v>
      </c>
      <c r="D45" s="2559"/>
      <c r="E45" s="21">
        <f t="shared" si="7"/>
        <v>0.02</v>
      </c>
      <c r="F45" s="2559"/>
      <c r="G45" s="21">
        <f t="shared" si="8"/>
        <v>0</v>
      </c>
      <c r="H45" s="631"/>
      <c r="I45" s="21">
        <f t="shared" si="9"/>
        <v>1</v>
      </c>
      <c r="J45" s="631"/>
      <c r="K45" s="21">
        <f t="shared" si="10"/>
        <v>1</v>
      </c>
      <c r="L45" s="631"/>
      <c r="M45" s="21">
        <f t="shared" si="11"/>
        <v>1</v>
      </c>
      <c r="N45" s="631"/>
      <c r="O45" s="21">
        <f t="shared" si="12"/>
        <v>1</v>
      </c>
      <c r="P45" s="2559"/>
      <c r="Q45" s="21">
        <f t="shared" si="13"/>
        <v>0</v>
      </c>
      <c r="R45" s="21">
        <f t="shared" si="14"/>
        <v>0</v>
      </c>
      <c r="S45" s="307">
        <f t="shared" si="5"/>
        <v>0</v>
      </c>
      <c r="T45" s="3190">
        <f>面积表!A40</f>
        <v>0</v>
      </c>
    </row>
    <row r="46" spans="1:20">
      <c r="A46" s="3169"/>
      <c r="B46" s="52"/>
      <c r="C46" s="21">
        <f t="shared" si="6"/>
        <v>1</v>
      </c>
      <c r="D46" s="2559"/>
      <c r="E46" s="21">
        <f t="shared" si="7"/>
        <v>0.02</v>
      </c>
      <c r="F46" s="2559"/>
      <c r="G46" s="21">
        <f t="shared" si="8"/>
        <v>0</v>
      </c>
      <c r="H46" s="631"/>
      <c r="I46" s="21">
        <f t="shared" si="9"/>
        <v>1</v>
      </c>
      <c r="J46" s="631"/>
      <c r="K46" s="21">
        <f t="shared" si="10"/>
        <v>1</v>
      </c>
      <c r="L46" s="631"/>
      <c r="M46" s="21">
        <f t="shared" si="11"/>
        <v>1</v>
      </c>
      <c r="N46" s="631"/>
      <c r="O46" s="21">
        <f t="shared" si="12"/>
        <v>1</v>
      </c>
      <c r="P46" s="2559"/>
      <c r="Q46" s="21">
        <f t="shared" si="13"/>
        <v>0</v>
      </c>
      <c r="R46" s="21">
        <f t="shared" si="14"/>
        <v>0</v>
      </c>
      <c r="S46" s="307">
        <f t="shared" si="5"/>
        <v>0</v>
      </c>
      <c r="T46" s="3190">
        <f>面积表!A41</f>
        <v>0</v>
      </c>
    </row>
    <row r="47" spans="1:20">
      <c r="A47" s="3169"/>
      <c r="B47" s="52"/>
      <c r="C47" s="21">
        <f t="shared" si="6"/>
        <v>1</v>
      </c>
      <c r="D47" s="2559"/>
      <c r="E47" s="21">
        <f t="shared" si="7"/>
        <v>0.02</v>
      </c>
      <c r="F47" s="2559"/>
      <c r="G47" s="21">
        <f t="shared" si="8"/>
        <v>0</v>
      </c>
      <c r="H47" s="631"/>
      <c r="I47" s="21">
        <f t="shared" si="9"/>
        <v>1</v>
      </c>
      <c r="J47" s="631"/>
      <c r="K47" s="21">
        <f t="shared" si="10"/>
        <v>1</v>
      </c>
      <c r="L47" s="631"/>
      <c r="M47" s="21">
        <f t="shared" si="11"/>
        <v>1</v>
      </c>
      <c r="N47" s="631"/>
      <c r="O47" s="21">
        <f t="shared" si="12"/>
        <v>1</v>
      </c>
      <c r="P47" s="2559"/>
      <c r="Q47" s="21">
        <f t="shared" si="13"/>
        <v>0</v>
      </c>
      <c r="R47" s="21">
        <f t="shared" si="14"/>
        <v>0</v>
      </c>
      <c r="S47" s="307">
        <f t="shared" si="5"/>
        <v>0</v>
      </c>
      <c r="T47" s="3190">
        <f>面积表!A42</f>
        <v>0</v>
      </c>
    </row>
    <row r="48" spans="1:20">
      <c r="A48" s="3169"/>
      <c r="B48" s="52"/>
      <c r="C48" s="21">
        <f t="shared" si="6"/>
        <v>1</v>
      </c>
      <c r="D48" s="2559"/>
      <c r="E48" s="21">
        <f t="shared" si="7"/>
        <v>0.02</v>
      </c>
      <c r="F48" s="2559"/>
      <c r="G48" s="21">
        <f t="shared" si="8"/>
        <v>0</v>
      </c>
      <c r="H48" s="631"/>
      <c r="I48" s="21">
        <f t="shared" si="9"/>
        <v>1</v>
      </c>
      <c r="J48" s="631"/>
      <c r="K48" s="21">
        <f t="shared" si="10"/>
        <v>1</v>
      </c>
      <c r="L48" s="631"/>
      <c r="M48" s="21">
        <f t="shared" si="11"/>
        <v>1</v>
      </c>
      <c r="N48" s="631"/>
      <c r="O48" s="21">
        <f t="shared" si="12"/>
        <v>1</v>
      </c>
      <c r="P48" s="2559"/>
      <c r="Q48" s="21">
        <f t="shared" si="13"/>
        <v>0</v>
      </c>
      <c r="R48" s="21">
        <f t="shared" si="14"/>
        <v>0</v>
      </c>
      <c r="S48" s="307">
        <f t="shared" si="5"/>
        <v>0</v>
      </c>
      <c r="T48" s="3190">
        <f>面积表!A43</f>
        <v>0</v>
      </c>
    </row>
    <row r="49" spans="1:20">
      <c r="A49" s="3169"/>
      <c r="B49" s="52"/>
      <c r="C49" s="21">
        <f t="shared" si="6"/>
        <v>1</v>
      </c>
      <c r="D49" s="2559"/>
      <c r="E49" s="21">
        <f t="shared" si="7"/>
        <v>0.02</v>
      </c>
      <c r="F49" s="2559"/>
      <c r="G49" s="21">
        <f t="shared" si="8"/>
        <v>0</v>
      </c>
      <c r="H49" s="631"/>
      <c r="I49" s="21">
        <f t="shared" si="9"/>
        <v>1</v>
      </c>
      <c r="J49" s="631"/>
      <c r="K49" s="21">
        <f t="shared" si="10"/>
        <v>1</v>
      </c>
      <c r="L49" s="631"/>
      <c r="M49" s="21">
        <f t="shared" si="11"/>
        <v>1</v>
      </c>
      <c r="N49" s="631"/>
      <c r="O49" s="21">
        <f t="shared" si="12"/>
        <v>1</v>
      </c>
      <c r="P49" s="2559"/>
      <c r="Q49" s="21">
        <f t="shared" si="13"/>
        <v>0</v>
      </c>
      <c r="R49" s="21">
        <f t="shared" si="14"/>
        <v>0</v>
      </c>
      <c r="S49" s="307">
        <f t="shared" si="5"/>
        <v>0</v>
      </c>
      <c r="T49" s="3190">
        <f>面积表!A44</f>
        <v>0</v>
      </c>
    </row>
    <row r="50" spans="1:20">
      <c r="A50" s="3169"/>
      <c r="B50" s="52"/>
      <c r="C50" s="21">
        <f t="shared" si="6"/>
        <v>1</v>
      </c>
      <c r="D50" s="2559"/>
      <c r="E50" s="21">
        <f t="shared" si="7"/>
        <v>0.02</v>
      </c>
      <c r="F50" s="2559"/>
      <c r="G50" s="21">
        <f t="shared" si="8"/>
        <v>0</v>
      </c>
      <c r="H50" s="631"/>
      <c r="I50" s="21">
        <f t="shared" si="9"/>
        <v>1</v>
      </c>
      <c r="J50" s="631"/>
      <c r="K50" s="21">
        <f t="shared" si="10"/>
        <v>1</v>
      </c>
      <c r="L50" s="631"/>
      <c r="M50" s="21">
        <f t="shared" si="11"/>
        <v>1</v>
      </c>
      <c r="N50" s="631"/>
      <c r="O50" s="21">
        <f t="shared" si="12"/>
        <v>1</v>
      </c>
      <c r="P50" s="2559"/>
      <c r="Q50" s="21">
        <f t="shared" si="13"/>
        <v>0</v>
      </c>
      <c r="R50" s="21">
        <f t="shared" si="14"/>
        <v>0</v>
      </c>
      <c r="S50" s="307">
        <f t="shared" si="5"/>
        <v>0</v>
      </c>
      <c r="T50" s="3190">
        <f>面积表!A45</f>
        <v>0</v>
      </c>
    </row>
    <row r="51" spans="1:20">
      <c r="A51" s="3169"/>
      <c r="B51" s="52"/>
      <c r="C51" s="21">
        <f t="shared" si="6"/>
        <v>1</v>
      </c>
      <c r="D51" s="2559"/>
      <c r="E51" s="21">
        <f t="shared" si="7"/>
        <v>0.02</v>
      </c>
      <c r="F51" s="2559"/>
      <c r="G51" s="21">
        <f t="shared" si="8"/>
        <v>0</v>
      </c>
      <c r="H51" s="631"/>
      <c r="I51" s="21">
        <f t="shared" si="9"/>
        <v>1</v>
      </c>
      <c r="J51" s="631"/>
      <c r="K51" s="21">
        <f t="shared" si="10"/>
        <v>1</v>
      </c>
      <c r="L51" s="631"/>
      <c r="M51" s="21">
        <f t="shared" si="11"/>
        <v>1</v>
      </c>
      <c r="N51" s="631"/>
      <c r="O51" s="21">
        <f t="shared" si="12"/>
        <v>1</v>
      </c>
      <c r="P51" s="2559"/>
      <c r="Q51" s="21">
        <f t="shared" si="13"/>
        <v>0</v>
      </c>
      <c r="R51" s="21">
        <f t="shared" si="14"/>
        <v>0</v>
      </c>
      <c r="S51" s="307">
        <f t="shared" si="5"/>
        <v>0</v>
      </c>
      <c r="T51" s="3190">
        <f>面积表!A46</f>
        <v>0</v>
      </c>
    </row>
    <row r="52" spans="1:20">
      <c r="A52" s="3169"/>
      <c r="B52" s="52"/>
      <c r="C52" s="21">
        <f t="shared" si="6"/>
        <v>1</v>
      </c>
      <c r="D52" s="2559"/>
      <c r="E52" s="21">
        <f t="shared" si="7"/>
        <v>0.02</v>
      </c>
      <c r="F52" s="2559"/>
      <c r="G52" s="21">
        <f t="shared" si="8"/>
        <v>0</v>
      </c>
      <c r="H52" s="631"/>
      <c r="I52" s="21">
        <f t="shared" si="9"/>
        <v>1</v>
      </c>
      <c r="J52" s="631"/>
      <c r="K52" s="21">
        <f t="shared" si="10"/>
        <v>1</v>
      </c>
      <c r="L52" s="631"/>
      <c r="M52" s="21">
        <f t="shared" si="11"/>
        <v>1</v>
      </c>
      <c r="N52" s="631"/>
      <c r="O52" s="21">
        <f t="shared" si="12"/>
        <v>1</v>
      </c>
      <c r="P52" s="2559"/>
      <c r="Q52" s="21">
        <f t="shared" si="13"/>
        <v>0</v>
      </c>
      <c r="R52" s="21">
        <f t="shared" si="14"/>
        <v>0</v>
      </c>
      <c r="S52" s="307">
        <f t="shared" si="5"/>
        <v>0</v>
      </c>
      <c r="T52" s="3190">
        <f>面积表!A47</f>
        <v>0</v>
      </c>
    </row>
    <row r="53" spans="1:20">
      <c r="A53" s="3169"/>
      <c r="B53" s="52"/>
      <c r="C53" s="21">
        <f t="shared" si="6"/>
        <v>1</v>
      </c>
      <c r="D53" s="2559"/>
      <c r="E53" s="21">
        <f t="shared" si="7"/>
        <v>0.02</v>
      </c>
      <c r="F53" s="2559"/>
      <c r="G53" s="21">
        <f t="shared" si="8"/>
        <v>0</v>
      </c>
      <c r="H53" s="631"/>
      <c r="I53" s="21">
        <f t="shared" si="9"/>
        <v>1</v>
      </c>
      <c r="J53" s="631"/>
      <c r="K53" s="21">
        <f t="shared" si="10"/>
        <v>1</v>
      </c>
      <c r="L53" s="631"/>
      <c r="M53" s="21">
        <f t="shared" si="11"/>
        <v>1</v>
      </c>
      <c r="N53" s="631"/>
      <c r="O53" s="21">
        <f t="shared" si="12"/>
        <v>1</v>
      </c>
      <c r="P53" s="2559"/>
      <c r="Q53" s="21">
        <f t="shared" si="13"/>
        <v>0</v>
      </c>
      <c r="R53" s="21">
        <f t="shared" si="14"/>
        <v>0</v>
      </c>
      <c r="S53" s="307">
        <f t="shared" si="5"/>
        <v>0</v>
      </c>
      <c r="T53" s="3190">
        <f>面积表!A48</f>
        <v>0</v>
      </c>
    </row>
    <row r="54" spans="1:20">
      <c r="A54" s="3169"/>
      <c r="B54" s="52"/>
      <c r="C54" s="21">
        <f t="shared" si="6"/>
        <v>1</v>
      </c>
      <c r="D54" s="2559"/>
      <c r="E54" s="21">
        <f t="shared" si="7"/>
        <v>0.02</v>
      </c>
      <c r="F54" s="2559"/>
      <c r="G54" s="21">
        <f t="shared" si="8"/>
        <v>0</v>
      </c>
      <c r="H54" s="631"/>
      <c r="I54" s="21">
        <f t="shared" si="9"/>
        <v>1</v>
      </c>
      <c r="J54" s="631"/>
      <c r="K54" s="21">
        <f t="shared" si="10"/>
        <v>1</v>
      </c>
      <c r="L54" s="631"/>
      <c r="M54" s="21">
        <f t="shared" si="11"/>
        <v>1</v>
      </c>
      <c r="N54" s="631"/>
      <c r="O54" s="21">
        <f t="shared" si="12"/>
        <v>1</v>
      </c>
      <c r="P54" s="2559"/>
      <c r="Q54" s="21">
        <f t="shared" si="13"/>
        <v>0</v>
      </c>
      <c r="R54" s="21">
        <f t="shared" si="14"/>
        <v>0</v>
      </c>
      <c r="S54" s="307">
        <f t="shared" si="5"/>
        <v>0</v>
      </c>
      <c r="T54" s="3190">
        <f>面积表!A49</f>
        <v>0</v>
      </c>
    </row>
    <row r="55" spans="1:20">
      <c r="A55" s="3169"/>
      <c r="B55" s="52"/>
      <c r="C55" s="21">
        <f t="shared" si="6"/>
        <v>1</v>
      </c>
      <c r="D55" s="2559"/>
      <c r="E55" s="21">
        <f t="shared" si="7"/>
        <v>0.02</v>
      </c>
      <c r="F55" s="2559"/>
      <c r="G55" s="21">
        <f t="shared" si="8"/>
        <v>0</v>
      </c>
      <c r="H55" s="631"/>
      <c r="I55" s="21">
        <f t="shared" si="9"/>
        <v>1</v>
      </c>
      <c r="J55" s="631"/>
      <c r="K55" s="21">
        <f t="shared" si="10"/>
        <v>1</v>
      </c>
      <c r="L55" s="631"/>
      <c r="M55" s="21">
        <f t="shared" si="11"/>
        <v>1</v>
      </c>
      <c r="N55" s="631"/>
      <c r="O55" s="21">
        <f t="shared" si="12"/>
        <v>1</v>
      </c>
      <c r="P55" s="2559"/>
      <c r="Q55" s="21">
        <f t="shared" si="13"/>
        <v>0</v>
      </c>
      <c r="R55" s="21">
        <f t="shared" si="14"/>
        <v>0</v>
      </c>
      <c r="S55" s="307">
        <f t="shared" si="5"/>
        <v>0</v>
      </c>
      <c r="T55" s="3190">
        <f>面积表!A50</f>
        <v>0</v>
      </c>
    </row>
    <row r="56" spans="1:20">
      <c r="A56" s="3169"/>
      <c r="B56" s="52"/>
      <c r="C56" s="21">
        <f t="shared" si="6"/>
        <v>1</v>
      </c>
      <c r="D56" s="2559"/>
      <c r="E56" s="21">
        <f t="shared" si="7"/>
        <v>0.02</v>
      </c>
      <c r="F56" s="2559"/>
      <c r="G56" s="21">
        <f t="shared" si="8"/>
        <v>0</v>
      </c>
      <c r="H56" s="631"/>
      <c r="I56" s="21">
        <f t="shared" si="9"/>
        <v>1</v>
      </c>
      <c r="J56" s="631"/>
      <c r="K56" s="21">
        <f t="shared" si="10"/>
        <v>1</v>
      </c>
      <c r="L56" s="631"/>
      <c r="M56" s="21">
        <f t="shared" si="11"/>
        <v>1</v>
      </c>
      <c r="N56" s="631"/>
      <c r="O56" s="21">
        <f t="shared" si="12"/>
        <v>1</v>
      </c>
      <c r="P56" s="2559"/>
      <c r="Q56" s="21">
        <f t="shared" si="13"/>
        <v>0</v>
      </c>
      <c r="R56" s="21">
        <f t="shared" si="14"/>
        <v>0</v>
      </c>
      <c r="S56" s="307">
        <f t="shared" si="5"/>
        <v>0</v>
      </c>
      <c r="T56" s="3190">
        <f>面积表!A51</f>
        <v>0</v>
      </c>
    </row>
    <row r="57" spans="1:20">
      <c r="A57" s="3169"/>
      <c r="B57" s="52"/>
      <c r="C57" s="21">
        <f t="shared" si="6"/>
        <v>1</v>
      </c>
      <c r="D57" s="2559"/>
      <c r="E57" s="21">
        <f t="shared" si="7"/>
        <v>0.02</v>
      </c>
      <c r="F57" s="2559"/>
      <c r="G57" s="21">
        <f t="shared" si="8"/>
        <v>0</v>
      </c>
      <c r="H57" s="631"/>
      <c r="I57" s="21">
        <f t="shared" si="9"/>
        <v>1</v>
      </c>
      <c r="J57" s="631"/>
      <c r="K57" s="21">
        <f t="shared" si="10"/>
        <v>1</v>
      </c>
      <c r="L57" s="631"/>
      <c r="M57" s="21">
        <f t="shared" si="11"/>
        <v>1</v>
      </c>
      <c r="N57" s="631"/>
      <c r="O57" s="21">
        <f t="shared" si="12"/>
        <v>1</v>
      </c>
      <c r="P57" s="2559"/>
      <c r="Q57" s="21">
        <f t="shared" si="13"/>
        <v>0</v>
      </c>
      <c r="R57" s="21">
        <f t="shared" si="14"/>
        <v>0</v>
      </c>
      <c r="S57" s="307">
        <f t="shared" si="5"/>
        <v>0</v>
      </c>
      <c r="T57" s="3190">
        <f>面积表!A52</f>
        <v>0</v>
      </c>
    </row>
    <row r="58" spans="1:20">
      <c r="A58" s="3169"/>
      <c r="B58" s="52"/>
      <c r="C58" s="21">
        <f t="shared" si="6"/>
        <v>1</v>
      </c>
      <c r="D58" s="2559"/>
      <c r="E58" s="21">
        <f t="shared" si="7"/>
        <v>0.02</v>
      </c>
      <c r="F58" s="2559"/>
      <c r="G58" s="21">
        <f t="shared" si="8"/>
        <v>0</v>
      </c>
      <c r="H58" s="631"/>
      <c r="I58" s="21">
        <f t="shared" si="9"/>
        <v>1</v>
      </c>
      <c r="J58" s="631"/>
      <c r="K58" s="21">
        <f t="shared" si="10"/>
        <v>1</v>
      </c>
      <c r="L58" s="631"/>
      <c r="M58" s="21">
        <f t="shared" si="11"/>
        <v>1</v>
      </c>
      <c r="N58" s="631"/>
      <c r="O58" s="21">
        <f t="shared" si="12"/>
        <v>1</v>
      </c>
      <c r="P58" s="2559"/>
      <c r="Q58" s="21">
        <f t="shared" si="13"/>
        <v>0</v>
      </c>
      <c r="R58" s="21">
        <f t="shared" si="14"/>
        <v>0</v>
      </c>
      <c r="S58" s="307">
        <f t="shared" si="5"/>
        <v>0</v>
      </c>
      <c r="T58" s="3190">
        <f>面积表!A53</f>
        <v>0</v>
      </c>
    </row>
    <row r="59" spans="1:20">
      <c r="A59" s="3169"/>
      <c r="B59" s="52"/>
      <c r="C59" s="21">
        <f t="shared" si="6"/>
        <v>1</v>
      </c>
      <c r="D59" s="2559"/>
      <c r="E59" s="21">
        <f t="shared" si="7"/>
        <v>0.02</v>
      </c>
      <c r="F59" s="2559"/>
      <c r="G59" s="21">
        <f t="shared" si="8"/>
        <v>0</v>
      </c>
      <c r="H59" s="631"/>
      <c r="I59" s="21">
        <f t="shared" si="9"/>
        <v>1</v>
      </c>
      <c r="J59" s="631"/>
      <c r="K59" s="21">
        <f t="shared" si="10"/>
        <v>1</v>
      </c>
      <c r="L59" s="631"/>
      <c r="M59" s="21">
        <f t="shared" si="11"/>
        <v>1</v>
      </c>
      <c r="N59" s="631"/>
      <c r="O59" s="21">
        <f t="shared" si="12"/>
        <v>1</v>
      </c>
      <c r="P59" s="2559"/>
      <c r="Q59" s="21">
        <f t="shared" si="13"/>
        <v>0</v>
      </c>
      <c r="R59" s="21">
        <f t="shared" si="14"/>
        <v>0</v>
      </c>
      <c r="S59" s="307">
        <f t="shared" si="5"/>
        <v>0</v>
      </c>
      <c r="T59" s="3190">
        <f>面积表!A54</f>
        <v>0</v>
      </c>
    </row>
    <row r="60" spans="1:20">
      <c r="A60" s="3169"/>
      <c r="B60" s="52"/>
      <c r="C60" s="21">
        <f t="shared" si="6"/>
        <v>1</v>
      </c>
      <c r="D60" s="2559"/>
      <c r="E60" s="21">
        <f t="shared" si="7"/>
        <v>0.02</v>
      </c>
      <c r="F60" s="2559"/>
      <c r="G60" s="21">
        <f t="shared" si="8"/>
        <v>0</v>
      </c>
      <c r="H60" s="631"/>
      <c r="I60" s="21">
        <f t="shared" si="9"/>
        <v>1</v>
      </c>
      <c r="J60" s="631"/>
      <c r="K60" s="21">
        <f t="shared" si="10"/>
        <v>1</v>
      </c>
      <c r="L60" s="631"/>
      <c r="M60" s="21">
        <f t="shared" si="11"/>
        <v>1</v>
      </c>
      <c r="N60" s="631"/>
      <c r="O60" s="21">
        <f t="shared" si="12"/>
        <v>1</v>
      </c>
      <c r="P60" s="2559"/>
      <c r="Q60" s="21">
        <f t="shared" si="13"/>
        <v>0</v>
      </c>
      <c r="R60" s="21">
        <f t="shared" si="14"/>
        <v>0</v>
      </c>
      <c r="S60" s="307">
        <f t="shared" si="5"/>
        <v>0</v>
      </c>
      <c r="T60" s="3190">
        <f>面积表!A55</f>
        <v>0</v>
      </c>
    </row>
    <row r="61" spans="1:20">
      <c r="A61" s="3169"/>
      <c r="B61" s="52"/>
      <c r="C61" s="21">
        <f t="shared" si="6"/>
        <v>1</v>
      </c>
      <c r="D61" s="2559"/>
      <c r="E61" s="21">
        <f t="shared" si="7"/>
        <v>0.02</v>
      </c>
      <c r="F61" s="2559"/>
      <c r="G61" s="21">
        <f t="shared" si="8"/>
        <v>0</v>
      </c>
      <c r="H61" s="631"/>
      <c r="I61" s="21">
        <f t="shared" si="9"/>
        <v>1</v>
      </c>
      <c r="J61" s="631"/>
      <c r="K61" s="21">
        <f t="shared" si="10"/>
        <v>1</v>
      </c>
      <c r="L61" s="631"/>
      <c r="M61" s="21">
        <f t="shared" si="11"/>
        <v>1</v>
      </c>
      <c r="N61" s="631"/>
      <c r="O61" s="21">
        <f t="shared" si="12"/>
        <v>1</v>
      </c>
      <c r="P61" s="2559"/>
      <c r="Q61" s="21">
        <f t="shared" si="13"/>
        <v>0</v>
      </c>
      <c r="R61" s="21">
        <f t="shared" si="14"/>
        <v>0</v>
      </c>
      <c r="S61" s="307">
        <f t="shared" si="5"/>
        <v>0</v>
      </c>
      <c r="T61" s="3190">
        <f>面积表!A56</f>
        <v>0</v>
      </c>
    </row>
    <row r="62" spans="1:20">
      <c r="A62" s="3169"/>
      <c r="B62" s="52"/>
      <c r="C62" s="21">
        <f t="shared" si="6"/>
        <v>1</v>
      </c>
      <c r="D62" s="2559"/>
      <c r="E62" s="21">
        <f t="shared" si="7"/>
        <v>0.02</v>
      </c>
      <c r="F62" s="2559"/>
      <c r="G62" s="21">
        <f t="shared" si="8"/>
        <v>0</v>
      </c>
      <c r="H62" s="631"/>
      <c r="I62" s="21">
        <f t="shared" si="9"/>
        <v>1</v>
      </c>
      <c r="J62" s="631"/>
      <c r="K62" s="21">
        <f t="shared" si="10"/>
        <v>1</v>
      </c>
      <c r="L62" s="631"/>
      <c r="M62" s="21">
        <f t="shared" si="11"/>
        <v>1</v>
      </c>
      <c r="N62" s="631"/>
      <c r="O62" s="21">
        <f t="shared" si="12"/>
        <v>1</v>
      </c>
      <c r="P62" s="2559"/>
      <c r="Q62" s="21">
        <f t="shared" si="13"/>
        <v>0</v>
      </c>
      <c r="R62" s="21">
        <f t="shared" si="14"/>
        <v>0</v>
      </c>
      <c r="S62" s="307">
        <f t="shared" si="5"/>
        <v>0</v>
      </c>
      <c r="T62" s="3190">
        <f>面积表!A57</f>
        <v>0</v>
      </c>
    </row>
    <row r="63" spans="1:20">
      <c r="A63" s="3169"/>
      <c r="B63" s="52"/>
      <c r="C63" s="21">
        <f t="shared" si="6"/>
        <v>1</v>
      </c>
      <c r="D63" s="2559"/>
      <c r="E63" s="21">
        <f t="shared" si="7"/>
        <v>0.02</v>
      </c>
      <c r="F63" s="2559"/>
      <c r="G63" s="21">
        <f t="shared" si="8"/>
        <v>0</v>
      </c>
      <c r="H63" s="631"/>
      <c r="I63" s="21">
        <f t="shared" si="9"/>
        <v>1</v>
      </c>
      <c r="J63" s="631"/>
      <c r="K63" s="21">
        <f t="shared" si="10"/>
        <v>1</v>
      </c>
      <c r="L63" s="631"/>
      <c r="M63" s="21">
        <f t="shared" si="11"/>
        <v>1</v>
      </c>
      <c r="N63" s="631"/>
      <c r="O63" s="21">
        <f t="shared" si="12"/>
        <v>1</v>
      </c>
      <c r="P63" s="2559"/>
      <c r="Q63" s="21">
        <f t="shared" si="13"/>
        <v>0</v>
      </c>
      <c r="R63" s="21">
        <f t="shared" si="14"/>
        <v>0</v>
      </c>
      <c r="S63" s="307">
        <f t="shared" si="5"/>
        <v>0</v>
      </c>
      <c r="T63" s="3190">
        <f>面积表!A58</f>
        <v>0</v>
      </c>
    </row>
    <row r="64" spans="1:20">
      <c r="A64" s="3169"/>
      <c r="B64" s="52"/>
      <c r="C64" s="21">
        <f t="shared" si="6"/>
        <v>1</v>
      </c>
      <c r="D64" s="2559"/>
      <c r="E64" s="21">
        <f t="shared" si="7"/>
        <v>0.02</v>
      </c>
      <c r="F64" s="2559"/>
      <c r="G64" s="21">
        <f t="shared" si="8"/>
        <v>0</v>
      </c>
      <c r="H64" s="631"/>
      <c r="I64" s="21">
        <f t="shared" si="9"/>
        <v>1</v>
      </c>
      <c r="J64" s="631"/>
      <c r="K64" s="21">
        <f t="shared" si="10"/>
        <v>1</v>
      </c>
      <c r="L64" s="631"/>
      <c r="M64" s="21">
        <f t="shared" si="11"/>
        <v>1</v>
      </c>
      <c r="N64" s="631"/>
      <c r="O64" s="21">
        <f t="shared" si="12"/>
        <v>1</v>
      </c>
      <c r="P64" s="2559"/>
      <c r="Q64" s="21">
        <f t="shared" si="13"/>
        <v>0</v>
      </c>
      <c r="R64" s="21">
        <f t="shared" si="14"/>
        <v>0</v>
      </c>
      <c r="S64" s="307">
        <f t="shared" si="5"/>
        <v>0</v>
      </c>
      <c r="T64" s="3190">
        <f>面积表!A59</f>
        <v>0</v>
      </c>
    </row>
    <row r="65" spans="1:20">
      <c r="A65" s="3169"/>
      <c r="B65" s="52"/>
      <c r="C65" s="21">
        <f t="shared" si="6"/>
        <v>1</v>
      </c>
      <c r="D65" s="2559"/>
      <c r="E65" s="21">
        <f t="shared" si="7"/>
        <v>0.02</v>
      </c>
      <c r="F65" s="2559"/>
      <c r="G65" s="21">
        <f t="shared" si="8"/>
        <v>0</v>
      </c>
      <c r="H65" s="631"/>
      <c r="I65" s="21">
        <f t="shared" si="9"/>
        <v>1</v>
      </c>
      <c r="J65" s="631"/>
      <c r="K65" s="21">
        <f t="shared" si="10"/>
        <v>1</v>
      </c>
      <c r="L65" s="631"/>
      <c r="M65" s="21">
        <f t="shared" si="11"/>
        <v>1</v>
      </c>
      <c r="N65" s="631"/>
      <c r="O65" s="21">
        <f t="shared" si="12"/>
        <v>1</v>
      </c>
      <c r="P65" s="2559"/>
      <c r="Q65" s="21">
        <f t="shared" si="13"/>
        <v>0</v>
      </c>
      <c r="R65" s="21">
        <f t="shared" si="14"/>
        <v>0</v>
      </c>
      <c r="S65" s="307">
        <f t="shared" si="5"/>
        <v>0</v>
      </c>
      <c r="T65" s="3190">
        <f>面积表!A60</f>
        <v>0</v>
      </c>
    </row>
    <row r="66" spans="1:20">
      <c r="A66" s="3169"/>
      <c r="B66" s="52"/>
      <c r="C66" s="21">
        <f t="shared" si="6"/>
        <v>1</v>
      </c>
      <c r="D66" s="2559"/>
      <c r="E66" s="21">
        <f t="shared" si="7"/>
        <v>0.02</v>
      </c>
      <c r="F66" s="2559"/>
      <c r="G66" s="21">
        <f t="shared" si="8"/>
        <v>0</v>
      </c>
      <c r="H66" s="631"/>
      <c r="I66" s="21">
        <f t="shared" si="9"/>
        <v>1</v>
      </c>
      <c r="J66" s="631"/>
      <c r="K66" s="21">
        <f t="shared" si="10"/>
        <v>1</v>
      </c>
      <c r="L66" s="631"/>
      <c r="M66" s="21">
        <f t="shared" si="11"/>
        <v>1</v>
      </c>
      <c r="N66" s="631"/>
      <c r="O66" s="21">
        <f t="shared" si="12"/>
        <v>1</v>
      </c>
      <c r="P66" s="2559"/>
      <c r="Q66" s="21">
        <f t="shared" si="13"/>
        <v>0</v>
      </c>
      <c r="R66" s="21">
        <f t="shared" si="14"/>
        <v>0</v>
      </c>
      <c r="S66" s="307">
        <f t="shared" si="5"/>
        <v>0</v>
      </c>
      <c r="T66" s="3190">
        <f>面积表!A61</f>
        <v>0</v>
      </c>
    </row>
    <row r="67" spans="1:20">
      <c r="A67" s="3169"/>
      <c r="B67" s="52"/>
      <c r="C67" s="21">
        <f t="shared" si="6"/>
        <v>1</v>
      </c>
      <c r="D67" s="2559"/>
      <c r="E67" s="21">
        <f t="shared" si="7"/>
        <v>0.02</v>
      </c>
      <c r="F67" s="2559"/>
      <c r="G67" s="21">
        <f t="shared" si="8"/>
        <v>0</v>
      </c>
      <c r="H67" s="631"/>
      <c r="I67" s="21">
        <f t="shared" si="9"/>
        <v>1</v>
      </c>
      <c r="J67" s="631"/>
      <c r="K67" s="21">
        <f t="shared" si="10"/>
        <v>1</v>
      </c>
      <c r="L67" s="631"/>
      <c r="M67" s="21">
        <f t="shared" si="11"/>
        <v>1</v>
      </c>
      <c r="N67" s="631"/>
      <c r="O67" s="21">
        <f t="shared" si="12"/>
        <v>1</v>
      </c>
      <c r="P67" s="2559"/>
      <c r="Q67" s="21">
        <f t="shared" si="13"/>
        <v>0</v>
      </c>
      <c r="R67" s="21">
        <f t="shared" si="14"/>
        <v>0</v>
      </c>
      <c r="S67" s="307">
        <f t="shared" si="5"/>
        <v>0</v>
      </c>
      <c r="T67" s="3190">
        <f>面积表!A62</f>
        <v>0</v>
      </c>
    </row>
    <row r="68" spans="1:20">
      <c r="A68" s="3169"/>
      <c r="B68" s="52"/>
      <c r="C68" s="21">
        <f t="shared" si="6"/>
        <v>1</v>
      </c>
      <c r="D68" s="2559"/>
      <c r="E68" s="21">
        <f t="shared" si="7"/>
        <v>0.02</v>
      </c>
      <c r="F68" s="2559"/>
      <c r="G68" s="21">
        <f t="shared" si="8"/>
        <v>0</v>
      </c>
      <c r="H68" s="631"/>
      <c r="I68" s="21">
        <f t="shared" si="9"/>
        <v>1</v>
      </c>
      <c r="J68" s="631"/>
      <c r="K68" s="21">
        <f t="shared" si="10"/>
        <v>1</v>
      </c>
      <c r="L68" s="631"/>
      <c r="M68" s="21">
        <f t="shared" si="11"/>
        <v>1</v>
      </c>
      <c r="N68" s="631"/>
      <c r="O68" s="21">
        <f t="shared" si="12"/>
        <v>1</v>
      </c>
      <c r="P68" s="2559"/>
      <c r="Q68" s="21">
        <f t="shared" si="13"/>
        <v>0</v>
      </c>
      <c r="R68" s="21">
        <f t="shared" si="14"/>
        <v>0</v>
      </c>
      <c r="S68" s="307">
        <f t="shared" si="5"/>
        <v>0</v>
      </c>
      <c r="T68" s="3190">
        <f>面积表!A63</f>
        <v>0</v>
      </c>
    </row>
    <row r="69" spans="1:20">
      <c r="A69" s="3169"/>
      <c r="B69" s="52"/>
      <c r="C69" s="21">
        <f t="shared" si="6"/>
        <v>1</v>
      </c>
      <c r="D69" s="2559"/>
      <c r="E69" s="21">
        <f t="shared" si="7"/>
        <v>0.02</v>
      </c>
      <c r="F69" s="2559"/>
      <c r="G69" s="21">
        <f t="shared" si="8"/>
        <v>0</v>
      </c>
      <c r="H69" s="631"/>
      <c r="I69" s="21">
        <f t="shared" si="9"/>
        <v>1</v>
      </c>
      <c r="J69" s="631"/>
      <c r="K69" s="21">
        <f t="shared" si="10"/>
        <v>1</v>
      </c>
      <c r="L69" s="631"/>
      <c r="M69" s="21">
        <f t="shared" si="11"/>
        <v>1</v>
      </c>
      <c r="N69" s="631"/>
      <c r="O69" s="21">
        <f t="shared" si="12"/>
        <v>1</v>
      </c>
      <c r="P69" s="2559"/>
      <c r="Q69" s="21">
        <f t="shared" si="13"/>
        <v>0</v>
      </c>
      <c r="R69" s="21">
        <f t="shared" si="14"/>
        <v>0</v>
      </c>
      <c r="S69" s="307">
        <f t="shared" si="5"/>
        <v>0</v>
      </c>
      <c r="T69" s="3190">
        <f>面积表!A64</f>
        <v>0</v>
      </c>
    </row>
    <row r="70" spans="1:20">
      <c r="A70" s="3169"/>
      <c r="B70" s="52"/>
      <c r="C70" s="21">
        <f t="shared" si="6"/>
        <v>1</v>
      </c>
      <c r="D70" s="2559"/>
      <c r="E70" s="21">
        <f t="shared" si="7"/>
        <v>0.02</v>
      </c>
      <c r="F70" s="2559"/>
      <c r="G70" s="21">
        <f t="shared" si="8"/>
        <v>0</v>
      </c>
      <c r="H70" s="631"/>
      <c r="I70" s="21">
        <f t="shared" si="9"/>
        <v>1</v>
      </c>
      <c r="J70" s="631"/>
      <c r="K70" s="21">
        <f t="shared" si="10"/>
        <v>1</v>
      </c>
      <c r="L70" s="631"/>
      <c r="M70" s="21">
        <f t="shared" si="11"/>
        <v>1</v>
      </c>
      <c r="N70" s="631"/>
      <c r="O70" s="21">
        <f t="shared" si="12"/>
        <v>1</v>
      </c>
      <c r="P70" s="2559"/>
      <c r="Q70" s="21">
        <f t="shared" si="13"/>
        <v>0</v>
      </c>
      <c r="R70" s="21">
        <f t="shared" si="14"/>
        <v>0</v>
      </c>
      <c r="S70" s="307">
        <f t="shared" si="5"/>
        <v>0</v>
      </c>
      <c r="T70" s="3190">
        <f>面积表!A65</f>
        <v>0</v>
      </c>
    </row>
    <row r="71" spans="1:20">
      <c r="A71" s="3169"/>
      <c r="B71" s="52"/>
      <c r="C71" s="21">
        <f t="shared" si="6"/>
        <v>1</v>
      </c>
      <c r="D71" s="2559"/>
      <c r="E71" s="21">
        <f t="shared" si="7"/>
        <v>0.02</v>
      </c>
      <c r="F71" s="2559"/>
      <c r="G71" s="21">
        <f t="shared" si="8"/>
        <v>0</v>
      </c>
      <c r="H71" s="631"/>
      <c r="I71" s="21">
        <f t="shared" si="9"/>
        <v>1</v>
      </c>
      <c r="J71" s="631"/>
      <c r="K71" s="21">
        <f t="shared" si="10"/>
        <v>1</v>
      </c>
      <c r="L71" s="631"/>
      <c r="M71" s="21">
        <f t="shared" si="11"/>
        <v>1</v>
      </c>
      <c r="N71" s="631"/>
      <c r="O71" s="21">
        <f t="shared" si="12"/>
        <v>1</v>
      </c>
      <c r="P71" s="2559"/>
      <c r="Q71" s="21">
        <f t="shared" si="13"/>
        <v>0</v>
      </c>
      <c r="R71" s="21">
        <f t="shared" si="14"/>
        <v>0</v>
      </c>
      <c r="S71" s="307">
        <f t="shared" si="5"/>
        <v>0</v>
      </c>
      <c r="T71" s="3190">
        <f>面积表!A66</f>
        <v>0</v>
      </c>
    </row>
    <row r="72" spans="1:20">
      <c r="A72" s="3169"/>
      <c r="B72" s="52"/>
      <c r="C72" s="21">
        <f t="shared" si="6"/>
        <v>1</v>
      </c>
      <c r="D72" s="2559"/>
      <c r="E72" s="21">
        <f t="shared" si="7"/>
        <v>0.02</v>
      </c>
      <c r="F72" s="2559"/>
      <c r="G72" s="21">
        <f t="shared" si="8"/>
        <v>0</v>
      </c>
      <c r="H72" s="631"/>
      <c r="I72" s="21">
        <f t="shared" si="9"/>
        <v>1</v>
      </c>
      <c r="J72" s="631"/>
      <c r="K72" s="21">
        <f t="shared" si="10"/>
        <v>1</v>
      </c>
      <c r="L72" s="631"/>
      <c r="M72" s="21">
        <f t="shared" si="11"/>
        <v>1</v>
      </c>
      <c r="N72" s="631"/>
      <c r="O72" s="21">
        <f t="shared" si="12"/>
        <v>1</v>
      </c>
      <c r="P72" s="2559"/>
      <c r="Q72" s="21">
        <f t="shared" si="13"/>
        <v>0</v>
      </c>
      <c r="R72" s="21">
        <f t="shared" si="14"/>
        <v>0</v>
      </c>
      <c r="S72" s="307">
        <f t="shared" si="5"/>
        <v>0</v>
      </c>
      <c r="T72" s="3190">
        <f>面积表!A67</f>
        <v>0</v>
      </c>
    </row>
    <row r="73" spans="1:20">
      <c r="A73" s="3169"/>
      <c r="B73" s="52"/>
      <c r="C73" s="21">
        <f t="shared" si="6"/>
        <v>1</v>
      </c>
      <c r="D73" s="2559"/>
      <c r="E73" s="21">
        <f t="shared" si="7"/>
        <v>0.02</v>
      </c>
      <c r="F73" s="2559"/>
      <c r="G73" s="21">
        <f t="shared" si="8"/>
        <v>0</v>
      </c>
      <c r="H73" s="631"/>
      <c r="I73" s="21">
        <f t="shared" si="9"/>
        <v>1</v>
      </c>
      <c r="J73" s="631"/>
      <c r="K73" s="21">
        <f t="shared" si="10"/>
        <v>1</v>
      </c>
      <c r="L73" s="631"/>
      <c r="M73" s="21">
        <f t="shared" si="11"/>
        <v>1</v>
      </c>
      <c r="N73" s="631"/>
      <c r="O73" s="21">
        <f t="shared" si="12"/>
        <v>1</v>
      </c>
      <c r="P73" s="2559"/>
      <c r="Q73" s="21">
        <f t="shared" si="13"/>
        <v>0</v>
      </c>
      <c r="R73" s="21">
        <f t="shared" si="14"/>
        <v>0</v>
      </c>
      <c r="S73" s="307">
        <f t="shared" si="5"/>
        <v>0</v>
      </c>
      <c r="T73" s="3190">
        <f>面积表!A68</f>
        <v>0</v>
      </c>
    </row>
    <row r="74" spans="1:20">
      <c r="A74" s="3169"/>
      <c r="B74" s="52"/>
      <c r="C74" s="21">
        <f t="shared" si="6"/>
        <v>1</v>
      </c>
      <c r="D74" s="2559"/>
      <c r="E74" s="21">
        <f t="shared" si="7"/>
        <v>0.02</v>
      </c>
      <c r="F74" s="2559"/>
      <c r="G74" s="21">
        <f t="shared" si="8"/>
        <v>0</v>
      </c>
      <c r="H74" s="631"/>
      <c r="I74" s="21">
        <f t="shared" si="9"/>
        <v>1</v>
      </c>
      <c r="J74" s="631"/>
      <c r="K74" s="21">
        <f t="shared" si="10"/>
        <v>1</v>
      </c>
      <c r="L74" s="631"/>
      <c r="M74" s="21">
        <f t="shared" si="11"/>
        <v>1</v>
      </c>
      <c r="N74" s="631"/>
      <c r="O74" s="21">
        <f t="shared" si="12"/>
        <v>1</v>
      </c>
      <c r="P74" s="2559"/>
      <c r="Q74" s="21">
        <f t="shared" si="13"/>
        <v>0</v>
      </c>
      <c r="R74" s="21">
        <f t="shared" si="14"/>
        <v>0</v>
      </c>
      <c r="S74" s="307">
        <f t="shared" si="5"/>
        <v>0</v>
      </c>
      <c r="T74" s="3190">
        <f>面积表!A69</f>
        <v>0</v>
      </c>
    </row>
    <row r="75" spans="1:20">
      <c r="A75" s="3169"/>
      <c r="B75" s="52"/>
      <c r="C75" s="21">
        <f t="shared" si="6"/>
        <v>1</v>
      </c>
      <c r="D75" s="2559"/>
      <c r="E75" s="21">
        <f t="shared" si="7"/>
        <v>0.02</v>
      </c>
      <c r="F75" s="2559"/>
      <c r="G75" s="21">
        <f t="shared" si="8"/>
        <v>0</v>
      </c>
      <c r="H75" s="631"/>
      <c r="I75" s="21">
        <f t="shared" si="9"/>
        <v>1</v>
      </c>
      <c r="J75" s="631"/>
      <c r="K75" s="21">
        <f t="shared" si="10"/>
        <v>1</v>
      </c>
      <c r="L75" s="631"/>
      <c r="M75" s="21">
        <f t="shared" si="11"/>
        <v>1</v>
      </c>
      <c r="N75" s="631"/>
      <c r="O75" s="21">
        <f t="shared" si="12"/>
        <v>1</v>
      </c>
      <c r="P75" s="2559"/>
      <c r="Q75" s="21">
        <f t="shared" si="13"/>
        <v>0</v>
      </c>
      <c r="R75" s="21">
        <f t="shared" si="14"/>
        <v>0</v>
      </c>
      <c r="S75" s="307">
        <f t="shared" si="5"/>
        <v>0</v>
      </c>
      <c r="T75" s="3190">
        <f>面积表!A70</f>
        <v>0</v>
      </c>
    </row>
    <row r="76" spans="1:20">
      <c r="A76" s="3169"/>
      <c r="B76" s="52"/>
      <c r="C76" s="21">
        <f t="shared" si="6"/>
        <v>1</v>
      </c>
      <c r="D76" s="2559"/>
      <c r="E76" s="21">
        <f t="shared" si="7"/>
        <v>0.02</v>
      </c>
      <c r="F76" s="2559"/>
      <c r="G76" s="21">
        <f t="shared" si="8"/>
        <v>0</v>
      </c>
      <c r="H76" s="631"/>
      <c r="I76" s="21">
        <f t="shared" si="9"/>
        <v>1</v>
      </c>
      <c r="J76" s="631"/>
      <c r="K76" s="21">
        <f t="shared" si="10"/>
        <v>1</v>
      </c>
      <c r="L76" s="631"/>
      <c r="M76" s="21">
        <f t="shared" si="11"/>
        <v>1</v>
      </c>
      <c r="N76" s="631"/>
      <c r="O76" s="21">
        <f t="shared" si="12"/>
        <v>1</v>
      </c>
      <c r="P76" s="2559"/>
      <c r="Q76" s="21">
        <f t="shared" si="13"/>
        <v>0</v>
      </c>
      <c r="R76" s="21">
        <f t="shared" si="14"/>
        <v>0</v>
      </c>
      <c r="S76" s="307">
        <f t="shared" si="5"/>
        <v>0</v>
      </c>
      <c r="T76" s="3190">
        <f>面积表!A71</f>
        <v>0</v>
      </c>
    </row>
    <row r="77" spans="1:20">
      <c r="A77" s="3169"/>
      <c r="B77" s="52"/>
      <c r="C77" s="21">
        <f t="shared" si="6"/>
        <v>1</v>
      </c>
      <c r="D77" s="2559"/>
      <c r="E77" s="21">
        <f t="shared" si="7"/>
        <v>0.02</v>
      </c>
      <c r="F77" s="2559"/>
      <c r="G77" s="21">
        <f t="shared" si="8"/>
        <v>0</v>
      </c>
      <c r="H77" s="631"/>
      <c r="I77" s="21">
        <f t="shared" si="9"/>
        <v>1</v>
      </c>
      <c r="J77" s="631"/>
      <c r="K77" s="21">
        <f t="shared" si="10"/>
        <v>1</v>
      </c>
      <c r="L77" s="631"/>
      <c r="M77" s="21">
        <f t="shared" si="11"/>
        <v>1</v>
      </c>
      <c r="N77" s="631"/>
      <c r="O77" s="21">
        <f t="shared" si="12"/>
        <v>1</v>
      </c>
      <c r="P77" s="2559"/>
      <c r="Q77" s="21">
        <f t="shared" si="13"/>
        <v>0</v>
      </c>
      <c r="R77" s="21">
        <f t="shared" si="14"/>
        <v>0</v>
      </c>
      <c r="S77" s="307">
        <f t="shared" si="5"/>
        <v>0</v>
      </c>
      <c r="T77" s="3190">
        <f>面积表!A72</f>
        <v>0</v>
      </c>
    </row>
    <row r="78" spans="1:20">
      <c r="A78" s="3169"/>
      <c r="B78" s="52"/>
      <c r="C78" s="21">
        <f t="shared" si="6"/>
        <v>1</v>
      </c>
      <c r="D78" s="2559"/>
      <c r="E78" s="21">
        <f t="shared" si="7"/>
        <v>0.02</v>
      </c>
      <c r="F78" s="2559"/>
      <c r="G78" s="21">
        <f t="shared" si="8"/>
        <v>0</v>
      </c>
      <c r="H78" s="631"/>
      <c r="I78" s="21">
        <f t="shared" si="9"/>
        <v>1</v>
      </c>
      <c r="J78" s="631"/>
      <c r="K78" s="21">
        <f t="shared" si="10"/>
        <v>1</v>
      </c>
      <c r="L78" s="631"/>
      <c r="M78" s="21">
        <f t="shared" si="11"/>
        <v>1</v>
      </c>
      <c r="N78" s="631"/>
      <c r="O78" s="21">
        <f t="shared" si="12"/>
        <v>1</v>
      </c>
      <c r="P78" s="2559"/>
      <c r="Q78" s="21">
        <f t="shared" si="13"/>
        <v>0</v>
      </c>
      <c r="R78" s="21">
        <f t="shared" si="14"/>
        <v>0</v>
      </c>
      <c r="S78" s="307">
        <f t="shared" si="5"/>
        <v>0</v>
      </c>
      <c r="T78" s="3190">
        <f>面积表!A73</f>
        <v>0</v>
      </c>
    </row>
    <row r="79" spans="1:20">
      <c r="A79" s="3169"/>
      <c r="B79" s="52"/>
      <c r="C79" s="21">
        <f t="shared" si="6"/>
        <v>1</v>
      </c>
      <c r="D79" s="2559"/>
      <c r="E79" s="21">
        <f t="shared" si="7"/>
        <v>0.02</v>
      </c>
      <c r="F79" s="2559"/>
      <c r="G79" s="21">
        <f t="shared" si="8"/>
        <v>0</v>
      </c>
      <c r="H79" s="631"/>
      <c r="I79" s="21">
        <f t="shared" si="9"/>
        <v>1</v>
      </c>
      <c r="J79" s="631"/>
      <c r="K79" s="21">
        <f t="shared" si="10"/>
        <v>1</v>
      </c>
      <c r="L79" s="631"/>
      <c r="M79" s="21">
        <f t="shared" si="11"/>
        <v>1</v>
      </c>
      <c r="N79" s="631"/>
      <c r="O79" s="21">
        <f t="shared" si="12"/>
        <v>1</v>
      </c>
      <c r="P79" s="2559"/>
      <c r="Q79" s="21">
        <f t="shared" si="13"/>
        <v>0</v>
      </c>
      <c r="R79" s="21">
        <f t="shared" si="14"/>
        <v>0</v>
      </c>
      <c r="S79" s="307">
        <f t="shared" si="5"/>
        <v>0</v>
      </c>
      <c r="T79" s="3190">
        <f>面积表!A74</f>
        <v>0</v>
      </c>
    </row>
    <row r="80" spans="1:20">
      <c r="A80" s="3169"/>
      <c r="B80" s="52"/>
      <c r="C80" s="21">
        <f t="shared" si="6"/>
        <v>1</v>
      </c>
      <c r="D80" s="2559"/>
      <c r="E80" s="21">
        <f t="shared" si="7"/>
        <v>0.02</v>
      </c>
      <c r="F80" s="2559"/>
      <c r="G80" s="21">
        <f t="shared" si="8"/>
        <v>0</v>
      </c>
      <c r="H80" s="631"/>
      <c r="I80" s="21">
        <f t="shared" si="9"/>
        <v>1</v>
      </c>
      <c r="J80" s="631"/>
      <c r="K80" s="21">
        <f t="shared" si="10"/>
        <v>1</v>
      </c>
      <c r="L80" s="631"/>
      <c r="M80" s="21">
        <f t="shared" si="11"/>
        <v>1</v>
      </c>
      <c r="N80" s="631"/>
      <c r="O80" s="21">
        <f t="shared" si="12"/>
        <v>1</v>
      </c>
      <c r="P80" s="2559"/>
      <c r="Q80" s="21">
        <f t="shared" si="13"/>
        <v>0</v>
      </c>
      <c r="R80" s="21">
        <f t="shared" si="14"/>
        <v>0</v>
      </c>
      <c r="S80" s="307">
        <f t="shared" si="5"/>
        <v>0</v>
      </c>
      <c r="T80" s="3190">
        <f>面积表!A75</f>
        <v>0</v>
      </c>
    </row>
    <row r="81" spans="1:20">
      <c r="A81" s="3169"/>
      <c r="B81" s="52"/>
      <c r="C81" s="21">
        <f t="shared" si="6"/>
        <v>1</v>
      </c>
      <c r="D81" s="2559"/>
      <c r="E81" s="21">
        <f t="shared" si="7"/>
        <v>0.02</v>
      </c>
      <c r="F81" s="2559"/>
      <c r="G81" s="21">
        <f t="shared" si="8"/>
        <v>0</v>
      </c>
      <c r="H81" s="631"/>
      <c r="I81" s="21">
        <f t="shared" si="9"/>
        <v>1</v>
      </c>
      <c r="J81" s="631"/>
      <c r="K81" s="21">
        <f t="shared" si="10"/>
        <v>1</v>
      </c>
      <c r="L81" s="631"/>
      <c r="M81" s="21">
        <f t="shared" si="11"/>
        <v>1</v>
      </c>
      <c r="N81" s="631"/>
      <c r="O81" s="21">
        <f t="shared" si="12"/>
        <v>1</v>
      </c>
      <c r="P81" s="2559"/>
      <c r="Q81" s="21">
        <f t="shared" si="13"/>
        <v>0</v>
      </c>
      <c r="R81" s="21">
        <f t="shared" si="14"/>
        <v>0</v>
      </c>
      <c r="S81" s="307">
        <f t="shared" si="5"/>
        <v>0</v>
      </c>
      <c r="T81" s="3190">
        <f>面积表!A76</f>
        <v>0</v>
      </c>
    </row>
    <row r="82" spans="1:20">
      <c r="A82" s="3169"/>
      <c r="B82" s="52"/>
      <c r="C82" s="21">
        <f t="shared" si="6"/>
        <v>1</v>
      </c>
      <c r="D82" s="2559"/>
      <c r="E82" s="21">
        <f t="shared" si="7"/>
        <v>0.02</v>
      </c>
      <c r="F82" s="2559"/>
      <c r="G82" s="21">
        <f t="shared" si="8"/>
        <v>0</v>
      </c>
      <c r="H82" s="631"/>
      <c r="I82" s="21">
        <f t="shared" si="9"/>
        <v>1</v>
      </c>
      <c r="J82" s="631"/>
      <c r="K82" s="21">
        <f t="shared" si="10"/>
        <v>1</v>
      </c>
      <c r="L82" s="631"/>
      <c r="M82" s="21">
        <f t="shared" si="11"/>
        <v>1</v>
      </c>
      <c r="N82" s="631"/>
      <c r="O82" s="21">
        <f t="shared" si="12"/>
        <v>1</v>
      </c>
      <c r="P82" s="2559"/>
      <c r="Q82" s="21">
        <f t="shared" si="13"/>
        <v>0</v>
      </c>
      <c r="R82" s="21">
        <f t="shared" si="14"/>
        <v>0</v>
      </c>
      <c r="S82" s="307">
        <f t="shared" si="5"/>
        <v>0</v>
      </c>
      <c r="T82" s="3190">
        <f>面积表!A77</f>
        <v>0</v>
      </c>
    </row>
    <row r="83" spans="1:20">
      <c r="A83" s="3169"/>
      <c r="B83" s="52"/>
      <c r="C83" s="21">
        <f t="shared" si="6"/>
        <v>1</v>
      </c>
      <c r="D83" s="2559"/>
      <c r="E83" s="21">
        <f t="shared" si="7"/>
        <v>0.02</v>
      </c>
      <c r="F83" s="2559"/>
      <c r="G83" s="21">
        <f t="shared" si="8"/>
        <v>0</v>
      </c>
      <c r="H83" s="631"/>
      <c r="I83" s="21">
        <f t="shared" si="9"/>
        <v>1</v>
      </c>
      <c r="J83" s="631"/>
      <c r="K83" s="21">
        <f t="shared" si="10"/>
        <v>1</v>
      </c>
      <c r="L83" s="631"/>
      <c r="M83" s="21">
        <f t="shared" si="11"/>
        <v>1</v>
      </c>
      <c r="N83" s="631"/>
      <c r="O83" s="21">
        <f t="shared" si="12"/>
        <v>1</v>
      </c>
      <c r="P83" s="2559"/>
      <c r="Q83" s="21">
        <f t="shared" si="13"/>
        <v>0</v>
      </c>
      <c r="R83" s="21">
        <f t="shared" si="14"/>
        <v>0</v>
      </c>
      <c r="S83" s="307">
        <f t="shared" si="5"/>
        <v>0</v>
      </c>
      <c r="T83" s="3190">
        <f>面积表!A78</f>
        <v>0</v>
      </c>
    </row>
    <row r="84" spans="1:20">
      <c r="A84" s="3169"/>
      <c r="B84" s="52"/>
      <c r="C84" s="21">
        <f t="shared" si="6"/>
        <v>1</v>
      </c>
      <c r="D84" s="2559"/>
      <c r="E84" s="21">
        <f t="shared" si="7"/>
        <v>0.02</v>
      </c>
      <c r="F84" s="2559"/>
      <c r="G84" s="21">
        <f t="shared" si="8"/>
        <v>0</v>
      </c>
      <c r="H84" s="631"/>
      <c r="I84" s="21">
        <f t="shared" si="9"/>
        <v>1</v>
      </c>
      <c r="J84" s="631"/>
      <c r="K84" s="21">
        <f t="shared" si="10"/>
        <v>1</v>
      </c>
      <c r="L84" s="631"/>
      <c r="M84" s="21">
        <f t="shared" si="11"/>
        <v>1</v>
      </c>
      <c r="N84" s="631"/>
      <c r="O84" s="21">
        <f t="shared" si="12"/>
        <v>1</v>
      </c>
      <c r="P84" s="2559"/>
      <c r="Q84" s="21">
        <f t="shared" si="13"/>
        <v>0</v>
      </c>
      <c r="R84" s="21">
        <f t="shared" si="14"/>
        <v>0</v>
      </c>
      <c r="S84" s="307">
        <f t="shared" si="5"/>
        <v>0</v>
      </c>
      <c r="T84" s="3190">
        <f>面积表!A79</f>
        <v>0</v>
      </c>
    </row>
    <row r="85" spans="1:20">
      <c r="A85" s="3169"/>
      <c r="B85" s="52"/>
      <c r="C85" s="21">
        <f t="shared" si="6"/>
        <v>1</v>
      </c>
      <c r="D85" s="2559"/>
      <c r="E85" s="21">
        <f t="shared" si="7"/>
        <v>0.02</v>
      </c>
      <c r="F85" s="2559"/>
      <c r="G85" s="21">
        <f t="shared" si="8"/>
        <v>0</v>
      </c>
      <c r="H85" s="631"/>
      <c r="I85" s="21">
        <f t="shared" si="9"/>
        <v>1</v>
      </c>
      <c r="J85" s="631"/>
      <c r="K85" s="21">
        <f t="shared" si="10"/>
        <v>1</v>
      </c>
      <c r="L85" s="631"/>
      <c r="M85" s="21">
        <f t="shared" si="11"/>
        <v>1</v>
      </c>
      <c r="N85" s="631"/>
      <c r="O85" s="21">
        <f t="shared" si="12"/>
        <v>1</v>
      </c>
      <c r="P85" s="2559"/>
      <c r="Q85" s="21">
        <f t="shared" si="13"/>
        <v>0</v>
      </c>
      <c r="R85" s="21">
        <f t="shared" si="14"/>
        <v>0</v>
      </c>
      <c r="S85" s="307">
        <f t="shared" si="5"/>
        <v>0</v>
      </c>
      <c r="T85" s="3190">
        <f>面积表!A80</f>
        <v>0</v>
      </c>
    </row>
    <row r="86" spans="1:20">
      <c r="A86" s="3169"/>
      <c r="B86" s="52"/>
      <c r="C86" s="21">
        <f t="shared" si="6"/>
        <v>1</v>
      </c>
      <c r="D86" s="2559"/>
      <c r="E86" s="21">
        <f t="shared" si="7"/>
        <v>0.02</v>
      </c>
      <c r="F86" s="2559"/>
      <c r="G86" s="21">
        <f t="shared" si="8"/>
        <v>0</v>
      </c>
      <c r="H86" s="631"/>
      <c r="I86" s="21">
        <f t="shared" si="9"/>
        <v>1</v>
      </c>
      <c r="J86" s="631"/>
      <c r="K86" s="21">
        <f t="shared" si="10"/>
        <v>1</v>
      </c>
      <c r="L86" s="631"/>
      <c r="M86" s="21">
        <f t="shared" si="11"/>
        <v>1</v>
      </c>
      <c r="N86" s="631"/>
      <c r="O86" s="21">
        <f t="shared" si="12"/>
        <v>1</v>
      </c>
      <c r="P86" s="2559"/>
      <c r="Q86" s="21">
        <f t="shared" si="13"/>
        <v>0</v>
      </c>
      <c r="R86" s="21">
        <f t="shared" si="14"/>
        <v>0</v>
      </c>
      <c r="S86" s="307">
        <f t="shared" si="5"/>
        <v>0</v>
      </c>
      <c r="T86" s="3190">
        <f>面积表!A81</f>
        <v>0</v>
      </c>
    </row>
    <row r="87" spans="1:20">
      <c r="A87" s="3169"/>
      <c r="B87" s="52"/>
      <c r="C87" s="21">
        <f t="shared" si="6"/>
        <v>1</v>
      </c>
      <c r="D87" s="2559"/>
      <c r="E87" s="21">
        <f t="shared" si="7"/>
        <v>0.02</v>
      </c>
      <c r="F87" s="2559"/>
      <c r="G87" s="21">
        <f t="shared" si="8"/>
        <v>0</v>
      </c>
      <c r="H87" s="631"/>
      <c r="I87" s="21">
        <f t="shared" si="9"/>
        <v>1</v>
      </c>
      <c r="J87" s="631"/>
      <c r="K87" s="21">
        <f t="shared" si="10"/>
        <v>1</v>
      </c>
      <c r="L87" s="631"/>
      <c r="M87" s="21">
        <f t="shared" si="11"/>
        <v>1</v>
      </c>
      <c r="N87" s="631"/>
      <c r="O87" s="21">
        <f t="shared" si="12"/>
        <v>1</v>
      </c>
      <c r="P87" s="2559"/>
      <c r="Q87" s="21">
        <f t="shared" si="13"/>
        <v>0</v>
      </c>
      <c r="R87" s="21">
        <f t="shared" si="14"/>
        <v>0</v>
      </c>
      <c r="S87" s="307">
        <f t="shared" si="5"/>
        <v>0</v>
      </c>
      <c r="T87" s="3190">
        <f>面积表!A82</f>
        <v>0</v>
      </c>
    </row>
    <row r="88" spans="1:20">
      <c r="A88" s="3169"/>
      <c r="B88" s="52"/>
      <c r="C88" s="21">
        <f t="shared" si="6"/>
        <v>1</v>
      </c>
      <c r="D88" s="2559"/>
      <c r="E88" s="21">
        <f t="shared" si="7"/>
        <v>0.02</v>
      </c>
      <c r="F88" s="2559"/>
      <c r="G88" s="21">
        <f t="shared" si="8"/>
        <v>0</v>
      </c>
      <c r="H88" s="631"/>
      <c r="I88" s="21">
        <f t="shared" si="9"/>
        <v>1</v>
      </c>
      <c r="J88" s="631"/>
      <c r="K88" s="21">
        <f t="shared" si="10"/>
        <v>1</v>
      </c>
      <c r="L88" s="631"/>
      <c r="M88" s="21">
        <f t="shared" si="11"/>
        <v>1</v>
      </c>
      <c r="N88" s="631"/>
      <c r="O88" s="21">
        <f t="shared" si="12"/>
        <v>1</v>
      </c>
      <c r="P88" s="2559"/>
      <c r="Q88" s="21">
        <f t="shared" si="13"/>
        <v>0</v>
      </c>
      <c r="R88" s="21">
        <f t="shared" si="14"/>
        <v>0</v>
      </c>
      <c r="S88" s="307">
        <f t="shared" ref="S88:S151" si="15">ROUND(R88*B88/10000,0)</f>
        <v>0</v>
      </c>
      <c r="T88" s="3190">
        <f>面积表!A83</f>
        <v>0</v>
      </c>
    </row>
    <row r="89" spans="1:20">
      <c r="A89" s="3169"/>
      <c r="B89" s="52"/>
      <c r="C89" s="21">
        <f t="shared" si="6"/>
        <v>1</v>
      </c>
      <c r="D89" s="2559"/>
      <c r="E89" s="21">
        <f t="shared" si="7"/>
        <v>0.02</v>
      </c>
      <c r="F89" s="2559"/>
      <c r="G89" s="21">
        <f t="shared" si="8"/>
        <v>0</v>
      </c>
      <c r="H89" s="631"/>
      <c r="I89" s="21">
        <f t="shared" si="9"/>
        <v>1</v>
      </c>
      <c r="J89" s="631"/>
      <c r="K89" s="21">
        <f t="shared" si="10"/>
        <v>1</v>
      </c>
      <c r="L89" s="631"/>
      <c r="M89" s="21">
        <f t="shared" si="11"/>
        <v>1</v>
      </c>
      <c r="N89" s="631"/>
      <c r="O89" s="21">
        <f t="shared" si="12"/>
        <v>1</v>
      </c>
      <c r="P89" s="2559"/>
      <c r="Q89" s="21">
        <f t="shared" si="13"/>
        <v>0</v>
      </c>
      <c r="R89" s="21">
        <f t="shared" si="14"/>
        <v>0</v>
      </c>
      <c r="S89" s="307">
        <f t="shared" si="15"/>
        <v>0</v>
      </c>
      <c r="T89" s="3190">
        <f>面积表!A84</f>
        <v>0</v>
      </c>
    </row>
    <row r="90" spans="1:20">
      <c r="A90" s="3169"/>
      <c r="B90" s="52"/>
      <c r="C90" s="21">
        <f t="shared" ref="C90:C153" si="16">IF(B90="",1,(LOOKUP(B90,$3:$3,$4:$4)-LOOKUP($B$24,$3:$3,$4:$4)+100)/100)</f>
        <v>1</v>
      </c>
      <c r="D90" s="2559"/>
      <c r="E90" s="21">
        <f t="shared" ref="E90:E153" si="17">(SUMIF($5:$5,D90,$6:$6)-SUMIF($5:$5,$D$24,$6:$6)+100)/100</f>
        <v>0.02</v>
      </c>
      <c r="F90" s="2559"/>
      <c r="G90" s="21">
        <f t="shared" ref="G90:G153" si="18">(SUMIF($7:$7,F90,$8:$8)-SUMIF($7:$7,$F$24,$8:$8)+100)/100</f>
        <v>0</v>
      </c>
      <c r="H90" s="631"/>
      <c r="I90" s="21">
        <f t="shared" ref="I90:I153" si="19">(SUMIF($9:$9,H90,$10:$10)-SUMIF($9:$9,$H$24,$10:$10)+100)/100</f>
        <v>1</v>
      </c>
      <c r="J90" s="631"/>
      <c r="K90" s="21">
        <f t="shared" ref="K90:K153" si="20">(SUMIF($11:$11,J90,$12:$12)-SUMIF($11:$11,$J$24,$12:$12)+100)/100</f>
        <v>1</v>
      </c>
      <c r="L90" s="631"/>
      <c r="M90" s="21">
        <f t="shared" ref="M90:M153" si="21">(SUMIF($13:$13,L90,$14:$14)-SUMIF($13:$13,$L$24,$14:$14)+100)/100</f>
        <v>1</v>
      </c>
      <c r="N90" s="631"/>
      <c r="O90" s="21">
        <f t="shared" ref="O90:O153" si="22">(SUMIF($15:$15,N90,$16:$16)-SUMIF($15:$15,$N$24,$16:$16)+100)/100</f>
        <v>1</v>
      </c>
      <c r="P90" s="2559"/>
      <c r="Q90" s="21">
        <f t="shared" ref="Q90:Q153" si="23">(SUMIF($17:$17,P90,$18:$18)-SUMIF($17:$17,$P$24,$18:$18)+100)/100</f>
        <v>0</v>
      </c>
      <c r="R90" s="21">
        <f t="shared" ref="R90:R153" si="24">IF(B90="",0,ROUND($R$24*C90*E90*G90*I90*K90*M90*O90*Q90,0))</f>
        <v>0</v>
      </c>
      <c r="S90" s="307">
        <f t="shared" si="15"/>
        <v>0</v>
      </c>
      <c r="T90" s="3190">
        <f>面积表!A85</f>
        <v>0</v>
      </c>
    </row>
    <row r="91" spans="1:20">
      <c r="A91" s="3169"/>
      <c r="B91" s="52"/>
      <c r="C91" s="21">
        <f t="shared" si="16"/>
        <v>1</v>
      </c>
      <c r="D91" s="2559"/>
      <c r="E91" s="21">
        <f t="shared" si="17"/>
        <v>0.02</v>
      </c>
      <c r="F91" s="2559"/>
      <c r="G91" s="21">
        <f t="shared" si="18"/>
        <v>0</v>
      </c>
      <c r="H91" s="631"/>
      <c r="I91" s="21">
        <f t="shared" si="19"/>
        <v>1</v>
      </c>
      <c r="J91" s="631"/>
      <c r="K91" s="21">
        <f t="shared" si="20"/>
        <v>1</v>
      </c>
      <c r="L91" s="631"/>
      <c r="M91" s="21">
        <f t="shared" si="21"/>
        <v>1</v>
      </c>
      <c r="N91" s="631"/>
      <c r="O91" s="21">
        <f t="shared" si="22"/>
        <v>1</v>
      </c>
      <c r="P91" s="2559"/>
      <c r="Q91" s="21">
        <f t="shared" si="23"/>
        <v>0</v>
      </c>
      <c r="R91" s="21">
        <f t="shared" si="24"/>
        <v>0</v>
      </c>
      <c r="S91" s="307">
        <f t="shared" si="15"/>
        <v>0</v>
      </c>
      <c r="T91" s="3190">
        <f>面积表!A86</f>
        <v>0</v>
      </c>
    </row>
    <row r="92" spans="1:20">
      <c r="A92" s="3169"/>
      <c r="B92" s="52"/>
      <c r="C92" s="21">
        <f t="shared" si="16"/>
        <v>1</v>
      </c>
      <c r="D92" s="2559"/>
      <c r="E92" s="21">
        <f t="shared" si="17"/>
        <v>0.02</v>
      </c>
      <c r="F92" s="2559"/>
      <c r="G92" s="21">
        <f t="shared" si="18"/>
        <v>0</v>
      </c>
      <c r="H92" s="631"/>
      <c r="I92" s="21">
        <f t="shared" si="19"/>
        <v>1</v>
      </c>
      <c r="J92" s="631"/>
      <c r="K92" s="21">
        <f t="shared" si="20"/>
        <v>1</v>
      </c>
      <c r="L92" s="631"/>
      <c r="M92" s="21">
        <f t="shared" si="21"/>
        <v>1</v>
      </c>
      <c r="N92" s="631"/>
      <c r="O92" s="21">
        <f t="shared" si="22"/>
        <v>1</v>
      </c>
      <c r="P92" s="2559"/>
      <c r="Q92" s="21">
        <f t="shared" si="23"/>
        <v>0</v>
      </c>
      <c r="R92" s="21">
        <f t="shared" si="24"/>
        <v>0</v>
      </c>
      <c r="S92" s="307">
        <f t="shared" si="15"/>
        <v>0</v>
      </c>
      <c r="T92" s="3190">
        <f>面积表!A87</f>
        <v>0</v>
      </c>
    </row>
    <row r="93" spans="1:20">
      <c r="A93" s="3169"/>
      <c r="B93" s="52"/>
      <c r="C93" s="21">
        <f t="shared" si="16"/>
        <v>1</v>
      </c>
      <c r="D93" s="2559"/>
      <c r="E93" s="21">
        <f t="shared" si="17"/>
        <v>0.02</v>
      </c>
      <c r="F93" s="2559"/>
      <c r="G93" s="21">
        <f t="shared" si="18"/>
        <v>0</v>
      </c>
      <c r="H93" s="631"/>
      <c r="I93" s="21">
        <f t="shared" si="19"/>
        <v>1</v>
      </c>
      <c r="J93" s="631"/>
      <c r="K93" s="21">
        <f t="shared" si="20"/>
        <v>1</v>
      </c>
      <c r="L93" s="631"/>
      <c r="M93" s="21">
        <f t="shared" si="21"/>
        <v>1</v>
      </c>
      <c r="N93" s="631"/>
      <c r="O93" s="21">
        <f t="shared" si="22"/>
        <v>1</v>
      </c>
      <c r="P93" s="2559"/>
      <c r="Q93" s="21">
        <f t="shared" si="23"/>
        <v>0</v>
      </c>
      <c r="R93" s="21">
        <f t="shared" si="24"/>
        <v>0</v>
      </c>
      <c r="S93" s="307">
        <f t="shared" si="15"/>
        <v>0</v>
      </c>
      <c r="T93" s="3190">
        <f>面积表!A88</f>
        <v>0</v>
      </c>
    </row>
    <row r="94" spans="1:20">
      <c r="A94" s="3169"/>
      <c r="B94" s="52"/>
      <c r="C94" s="21">
        <f t="shared" si="16"/>
        <v>1</v>
      </c>
      <c r="D94" s="2559"/>
      <c r="E94" s="21">
        <f t="shared" si="17"/>
        <v>0.02</v>
      </c>
      <c r="F94" s="2559"/>
      <c r="G94" s="21">
        <f t="shared" si="18"/>
        <v>0</v>
      </c>
      <c r="H94" s="631"/>
      <c r="I94" s="21">
        <f t="shared" si="19"/>
        <v>1</v>
      </c>
      <c r="J94" s="631"/>
      <c r="K94" s="21">
        <f t="shared" si="20"/>
        <v>1</v>
      </c>
      <c r="L94" s="631"/>
      <c r="M94" s="21">
        <f t="shared" si="21"/>
        <v>1</v>
      </c>
      <c r="N94" s="631"/>
      <c r="O94" s="21">
        <f t="shared" si="22"/>
        <v>1</v>
      </c>
      <c r="P94" s="2559"/>
      <c r="Q94" s="21">
        <f t="shared" si="23"/>
        <v>0</v>
      </c>
      <c r="R94" s="21">
        <f t="shared" si="24"/>
        <v>0</v>
      </c>
      <c r="S94" s="307">
        <f t="shared" si="15"/>
        <v>0</v>
      </c>
      <c r="T94" s="3190">
        <f>面积表!A89</f>
        <v>0</v>
      </c>
    </row>
    <row r="95" spans="1:20">
      <c r="A95" s="3169"/>
      <c r="B95" s="52"/>
      <c r="C95" s="21">
        <f t="shared" si="16"/>
        <v>1</v>
      </c>
      <c r="D95" s="2559"/>
      <c r="E95" s="21">
        <f t="shared" si="17"/>
        <v>0.02</v>
      </c>
      <c r="F95" s="2559"/>
      <c r="G95" s="21">
        <f t="shared" si="18"/>
        <v>0</v>
      </c>
      <c r="H95" s="631"/>
      <c r="I95" s="21">
        <f t="shared" si="19"/>
        <v>1</v>
      </c>
      <c r="J95" s="631"/>
      <c r="K95" s="21">
        <f t="shared" si="20"/>
        <v>1</v>
      </c>
      <c r="L95" s="631"/>
      <c r="M95" s="21">
        <f t="shared" si="21"/>
        <v>1</v>
      </c>
      <c r="N95" s="631"/>
      <c r="O95" s="21">
        <f t="shared" si="22"/>
        <v>1</v>
      </c>
      <c r="P95" s="2559"/>
      <c r="Q95" s="21">
        <f t="shared" si="23"/>
        <v>0</v>
      </c>
      <c r="R95" s="21">
        <f t="shared" si="24"/>
        <v>0</v>
      </c>
      <c r="S95" s="307">
        <f t="shared" si="15"/>
        <v>0</v>
      </c>
      <c r="T95" s="3190">
        <f>面积表!A90</f>
        <v>0</v>
      </c>
    </row>
    <row r="96" spans="1:20">
      <c r="A96" s="3169"/>
      <c r="B96" s="52"/>
      <c r="C96" s="21">
        <f t="shared" si="16"/>
        <v>1</v>
      </c>
      <c r="D96" s="2559"/>
      <c r="E96" s="21">
        <f t="shared" si="17"/>
        <v>0.02</v>
      </c>
      <c r="F96" s="2559"/>
      <c r="G96" s="21">
        <f t="shared" si="18"/>
        <v>0</v>
      </c>
      <c r="H96" s="631"/>
      <c r="I96" s="21">
        <f t="shared" si="19"/>
        <v>1</v>
      </c>
      <c r="J96" s="631"/>
      <c r="K96" s="21">
        <f t="shared" si="20"/>
        <v>1</v>
      </c>
      <c r="L96" s="631"/>
      <c r="M96" s="21">
        <f t="shared" si="21"/>
        <v>1</v>
      </c>
      <c r="N96" s="631"/>
      <c r="O96" s="21">
        <f t="shared" si="22"/>
        <v>1</v>
      </c>
      <c r="P96" s="2559"/>
      <c r="Q96" s="21">
        <f t="shared" si="23"/>
        <v>0</v>
      </c>
      <c r="R96" s="21">
        <f t="shared" si="24"/>
        <v>0</v>
      </c>
      <c r="S96" s="307">
        <f t="shared" si="15"/>
        <v>0</v>
      </c>
      <c r="T96" s="3190">
        <f>面积表!A91</f>
        <v>0</v>
      </c>
    </row>
    <row r="97" spans="1:20">
      <c r="A97" s="3169"/>
      <c r="B97" s="52"/>
      <c r="C97" s="21">
        <f t="shared" si="16"/>
        <v>1</v>
      </c>
      <c r="D97" s="2559"/>
      <c r="E97" s="21">
        <f t="shared" si="17"/>
        <v>0.02</v>
      </c>
      <c r="F97" s="2559"/>
      <c r="G97" s="21">
        <f t="shared" si="18"/>
        <v>0</v>
      </c>
      <c r="H97" s="631"/>
      <c r="I97" s="21">
        <f t="shared" si="19"/>
        <v>1</v>
      </c>
      <c r="J97" s="631"/>
      <c r="K97" s="21">
        <f t="shared" si="20"/>
        <v>1</v>
      </c>
      <c r="L97" s="631"/>
      <c r="M97" s="21">
        <f t="shared" si="21"/>
        <v>1</v>
      </c>
      <c r="N97" s="631"/>
      <c r="O97" s="21">
        <f t="shared" si="22"/>
        <v>1</v>
      </c>
      <c r="P97" s="2559"/>
      <c r="Q97" s="21">
        <f t="shared" si="23"/>
        <v>0</v>
      </c>
      <c r="R97" s="21">
        <f t="shared" si="24"/>
        <v>0</v>
      </c>
      <c r="S97" s="307">
        <f t="shared" si="15"/>
        <v>0</v>
      </c>
      <c r="T97" s="3190">
        <f>面积表!A92</f>
        <v>0</v>
      </c>
    </row>
    <row r="98" spans="1:20">
      <c r="A98" s="3169"/>
      <c r="B98" s="52"/>
      <c r="C98" s="21">
        <f t="shared" si="16"/>
        <v>1</v>
      </c>
      <c r="D98" s="2559"/>
      <c r="E98" s="21">
        <f t="shared" si="17"/>
        <v>0.02</v>
      </c>
      <c r="F98" s="2559"/>
      <c r="G98" s="21">
        <f t="shared" si="18"/>
        <v>0</v>
      </c>
      <c r="H98" s="631"/>
      <c r="I98" s="21">
        <f t="shared" si="19"/>
        <v>1</v>
      </c>
      <c r="J98" s="631"/>
      <c r="K98" s="21">
        <f t="shared" si="20"/>
        <v>1</v>
      </c>
      <c r="L98" s="631"/>
      <c r="M98" s="21">
        <f t="shared" si="21"/>
        <v>1</v>
      </c>
      <c r="N98" s="631"/>
      <c r="O98" s="21">
        <f t="shared" si="22"/>
        <v>1</v>
      </c>
      <c r="P98" s="2559"/>
      <c r="Q98" s="21">
        <f t="shared" si="23"/>
        <v>0</v>
      </c>
      <c r="R98" s="21">
        <f t="shared" si="24"/>
        <v>0</v>
      </c>
      <c r="S98" s="307">
        <f t="shared" si="15"/>
        <v>0</v>
      </c>
      <c r="T98" s="3190">
        <f>面积表!A93</f>
        <v>0</v>
      </c>
    </row>
    <row r="99" spans="1:20">
      <c r="A99" s="3169"/>
      <c r="B99" s="52"/>
      <c r="C99" s="21">
        <f t="shared" si="16"/>
        <v>1</v>
      </c>
      <c r="D99" s="2559"/>
      <c r="E99" s="21">
        <f t="shared" si="17"/>
        <v>0.02</v>
      </c>
      <c r="F99" s="2559"/>
      <c r="G99" s="21">
        <f t="shared" si="18"/>
        <v>0</v>
      </c>
      <c r="H99" s="631"/>
      <c r="I99" s="21">
        <f t="shared" si="19"/>
        <v>1</v>
      </c>
      <c r="J99" s="631"/>
      <c r="K99" s="21">
        <f t="shared" si="20"/>
        <v>1</v>
      </c>
      <c r="L99" s="631"/>
      <c r="M99" s="21">
        <f t="shared" si="21"/>
        <v>1</v>
      </c>
      <c r="N99" s="631"/>
      <c r="O99" s="21">
        <f t="shared" si="22"/>
        <v>1</v>
      </c>
      <c r="P99" s="2559"/>
      <c r="Q99" s="21">
        <f t="shared" si="23"/>
        <v>0</v>
      </c>
      <c r="R99" s="21">
        <f t="shared" si="24"/>
        <v>0</v>
      </c>
      <c r="S99" s="307">
        <f t="shared" si="15"/>
        <v>0</v>
      </c>
      <c r="T99" s="3190">
        <f>面积表!A94</f>
        <v>0</v>
      </c>
    </row>
    <row r="100" spans="1:20">
      <c r="A100" s="3169"/>
      <c r="B100" s="52"/>
      <c r="C100" s="21">
        <f t="shared" si="16"/>
        <v>1</v>
      </c>
      <c r="D100" s="2559"/>
      <c r="E100" s="21">
        <f t="shared" si="17"/>
        <v>0.02</v>
      </c>
      <c r="F100" s="2559"/>
      <c r="G100" s="21">
        <f t="shared" si="18"/>
        <v>0</v>
      </c>
      <c r="H100" s="631"/>
      <c r="I100" s="21">
        <f t="shared" si="19"/>
        <v>1</v>
      </c>
      <c r="J100" s="631"/>
      <c r="K100" s="21">
        <f t="shared" si="20"/>
        <v>1</v>
      </c>
      <c r="L100" s="631"/>
      <c r="M100" s="21">
        <f t="shared" si="21"/>
        <v>1</v>
      </c>
      <c r="N100" s="631"/>
      <c r="O100" s="21">
        <f t="shared" si="22"/>
        <v>1</v>
      </c>
      <c r="P100" s="2559"/>
      <c r="Q100" s="21">
        <f t="shared" si="23"/>
        <v>0</v>
      </c>
      <c r="R100" s="21">
        <f t="shared" si="24"/>
        <v>0</v>
      </c>
      <c r="S100" s="307">
        <f t="shared" si="15"/>
        <v>0</v>
      </c>
      <c r="T100" s="3190">
        <f>面积表!A95</f>
        <v>0</v>
      </c>
    </row>
    <row r="101" spans="1:20">
      <c r="A101" s="3169"/>
      <c r="B101" s="52"/>
      <c r="C101" s="21">
        <f t="shared" si="16"/>
        <v>1</v>
      </c>
      <c r="D101" s="2559"/>
      <c r="E101" s="21">
        <f t="shared" si="17"/>
        <v>0.02</v>
      </c>
      <c r="F101" s="2559"/>
      <c r="G101" s="21">
        <f t="shared" si="18"/>
        <v>0</v>
      </c>
      <c r="H101" s="631"/>
      <c r="I101" s="21">
        <f t="shared" si="19"/>
        <v>1</v>
      </c>
      <c r="J101" s="631"/>
      <c r="K101" s="21">
        <f t="shared" si="20"/>
        <v>1</v>
      </c>
      <c r="L101" s="631"/>
      <c r="M101" s="21">
        <f t="shared" si="21"/>
        <v>1</v>
      </c>
      <c r="N101" s="631"/>
      <c r="O101" s="21">
        <f t="shared" si="22"/>
        <v>1</v>
      </c>
      <c r="P101" s="2559"/>
      <c r="Q101" s="21">
        <f t="shared" si="23"/>
        <v>0</v>
      </c>
      <c r="R101" s="21">
        <f t="shared" si="24"/>
        <v>0</v>
      </c>
      <c r="S101" s="307">
        <f t="shared" si="15"/>
        <v>0</v>
      </c>
      <c r="T101" s="3190">
        <f>面积表!A96</f>
        <v>0</v>
      </c>
    </row>
    <row r="102" spans="1:20">
      <c r="A102" s="3169"/>
      <c r="B102" s="52"/>
      <c r="C102" s="21">
        <f t="shared" si="16"/>
        <v>1</v>
      </c>
      <c r="D102" s="2559"/>
      <c r="E102" s="21">
        <f t="shared" si="17"/>
        <v>0.02</v>
      </c>
      <c r="F102" s="2559"/>
      <c r="G102" s="21">
        <f t="shared" si="18"/>
        <v>0</v>
      </c>
      <c r="H102" s="631"/>
      <c r="I102" s="21">
        <f t="shared" si="19"/>
        <v>1</v>
      </c>
      <c r="J102" s="631"/>
      <c r="K102" s="21">
        <f t="shared" si="20"/>
        <v>1</v>
      </c>
      <c r="L102" s="631"/>
      <c r="M102" s="21">
        <f t="shared" si="21"/>
        <v>1</v>
      </c>
      <c r="N102" s="631"/>
      <c r="O102" s="21">
        <f t="shared" si="22"/>
        <v>1</v>
      </c>
      <c r="P102" s="2559"/>
      <c r="Q102" s="21">
        <f t="shared" si="23"/>
        <v>0</v>
      </c>
      <c r="R102" s="21">
        <f t="shared" si="24"/>
        <v>0</v>
      </c>
      <c r="S102" s="307">
        <f t="shared" si="15"/>
        <v>0</v>
      </c>
      <c r="T102" s="3190">
        <f>面积表!A97</f>
        <v>0</v>
      </c>
    </row>
    <row r="103" spans="1:20">
      <c r="A103" s="3169"/>
      <c r="B103" s="52"/>
      <c r="C103" s="21">
        <f t="shared" si="16"/>
        <v>1</v>
      </c>
      <c r="D103" s="2559"/>
      <c r="E103" s="21">
        <f t="shared" si="17"/>
        <v>0.02</v>
      </c>
      <c r="F103" s="2559"/>
      <c r="G103" s="21">
        <f t="shared" si="18"/>
        <v>0</v>
      </c>
      <c r="H103" s="631"/>
      <c r="I103" s="21">
        <f t="shared" si="19"/>
        <v>1</v>
      </c>
      <c r="J103" s="631"/>
      <c r="K103" s="21">
        <f t="shared" si="20"/>
        <v>1</v>
      </c>
      <c r="L103" s="631"/>
      <c r="M103" s="21">
        <f t="shared" si="21"/>
        <v>1</v>
      </c>
      <c r="N103" s="631"/>
      <c r="O103" s="21">
        <f t="shared" si="22"/>
        <v>1</v>
      </c>
      <c r="P103" s="2559"/>
      <c r="Q103" s="21">
        <f t="shared" si="23"/>
        <v>0</v>
      </c>
      <c r="R103" s="21">
        <f t="shared" si="24"/>
        <v>0</v>
      </c>
      <c r="S103" s="307">
        <f t="shared" si="15"/>
        <v>0</v>
      </c>
      <c r="T103" s="3190">
        <f>面积表!A98</f>
        <v>0</v>
      </c>
    </row>
    <row r="104" spans="1:20">
      <c r="A104" s="3169"/>
      <c r="B104" s="52"/>
      <c r="C104" s="21">
        <f t="shared" si="16"/>
        <v>1</v>
      </c>
      <c r="D104" s="2559"/>
      <c r="E104" s="21">
        <f t="shared" si="17"/>
        <v>0.02</v>
      </c>
      <c r="F104" s="2559"/>
      <c r="G104" s="21">
        <f t="shared" si="18"/>
        <v>0</v>
      </c>
      <c r="H104" s="631"/>
      <c r="I104" s="21">
        <f t="shared" si="19"/>
        <v>1</v>
      </c>
      <c r="J104" s="631"/>
      <c r="K104" s="21">
        <f t="shared" si="20"/>
        <v>1</v>
      </c>
      <c r="L104" s="631"/>
      <c r="M104" s="21">
        <f t="shared" si="21"/>
        <v>1</v>
      </c>
      <c r="N104" s="631"/>
      <c r="O104" s="21">
        <f t="shared" si="22"/>
        <v>1</v>
      </c>
      <c r="P104" s="2559"/>
      <c r="Q104" s="21">
        <f t="shared" si="23"/>
        <v>0</v>
      </c>
      <c r="R104" s="21">
        <f t="shared" si="24"/>
        <v>0</v>
      </c>
      <c r="S104" s="307">
        <f t="shared" si="15"/>
        <v>0</v>
      </c>
      <c r="T104" s="3190">
        <f>面积表!A99</f>
        <v>0</v>
      </c>
    </row>
    <row r="105" spans="1:20">
      <c r="A105" s="3169"/>
      <c r="B105" s="52"/>
      <c r="C105" s="21">
        <f t="shared" si="16"/>
        <v>1</v>
      </c>
      <c r="D105" s="2559"/>
      <c r="E105" s="21">
        <f t="shared" si="17"/>
        <v>0.02</v>
      </c>
      <c r="F105" s="2559"/>
      <c r="G105" s="21">
        <f t="shared" si="18"/>
        <v>0</v>
      </c>
      <c r="H105" s="631"/>
      <c r="I105" s="21">
        <f t="shared" si="19"/>
        <v>1</v>
      </c>
      <c r="J105" s="631"/>
      <c r="K105" s="21">
        <f t="shared" si="20"/>
        <v>1</v>
      </c>
      <c r="L105" s="631"/>
      <c r="M105" s="21">
        <f t="shared" si="21"/>
        <v>1</v>
      </c>
      <c r="N105" s="631"/>
      <c r="O105" s="21">
        <f t="shared" si="22"/>
        <v>1</v>
      </c>
      <c r="P105" s="2559"/>
      <c r="Q105" s="21">
        <f t="shared" si="23"/>
        <v>0</v>
      </c>
      <c r="R105" s="21">
        <f t="shared" si="24"/>
        <v>0</v>
      </c>
      <c r="S105" s="307">
        <f t="shared" si="15"/>
        <v>0</v>
      </c>
      <c r="T105" s="3190">
        <f>面积表!A100</f>
        <v>0</v>
      </c>
    </row>
    <row r="106" spans="1:20">
      <c r="A106" s="3169"/>
      <c r="B106" s="52"/>
      <c r="C106" s="21">
        <f t="shared" si="16"/>
        <v>1</v>
      </c>
      <c r="D106" s="2559"/>
      <c r="E106" s="21">
        <f t="shared" si="17"/>
        <v>0.02</v>
      </c>
      <c r="F106" s="2559"/>
      <c r="G106" s="21">
        <f t="shared" si="18"/>
        <v>0</v>
      </c>
      <c r="H106" s="631"/>
      <c r="I106" s="21">
        <f t="shared" si="19"/>
        <v>1</v>
      </c>
      <c r="J106" s="631"/>
      <c r="K106" s="21">
        <f t="shared" si="20"/>
        <v>1</v>
      </c>
      <c r="L106" s="631"/>
      <c r="M106" s="21">
        <f t="shared" si="21"/>
        <v>1</v>
      </c>
      <c r="N106" s="631"/>
      <c r="O106" s="21">
        <f t="shared" si="22"/>
        <v>1</v>
      </c>
      <c r="P106" s="2559"/>
      <c r="Q106" s="21">
        <f t="shared" si="23"/>
        <v>0</v>
      </c>
      <c r="R106" s="21">
        <f t="shared" si="24"/>
        <v>0</v>
      </c>
      <c r="S106" s="307">
        <f t="shared" si="15"/>
        <v>0</v>
      </c>
      <c r="T106" s="3190">
        <f>面积表!A101</f>
        <v>0</v>
      </c>
    </row>
    <row r="107" spans="1:20">
      <c r="A107" s="3169"/>
      <c r="B107" s="52"/>
      <c r="C107" s="21">
        <f t="shared" si="16"/>
        <v>1</v>
      </c>
      <c r="D107" s="2559"/>
      <c r="E107" s="21">
        <f t="shared" si="17"/>
        <v>0.02</v>
      </c>
      <c r="F107" s="2559"/>
      <c r="G107" s="21">
        <f t="shared" si="18"/>
        <v>0</v>
      </c>
      <c r="H107" s="631"/>
      <c r="I107" s="21">
        <f t="shared" si="19"/>
        <v>1</v>
      </c>
      <c r="J107" s="631"/>
      <c r="K107" s="21">
        <f t="shared" si="20"/>
        <v>1</v>
      </c>
      <c r="L107" s="631"/>
      <c r="M107" s="21">
        <f t="shared" si="21"/>
        <v>1</v>
      </c>
      <c r="N107" s="631"/>
      <c r="O107" s="21">
        <f t="shared" si="22"/>
        <v>1</v>
      </c>
      <c r="P107" s="2559"/>
      <c r="Q107" s="21">
        <f t="shared" si="23"/>
        <v>0</v>
      </c>
      <c r="R107" s="21">
        <f t="shared" si="24"/>
        <v>0</v>
      </c>
      <c r="S107" s="307">
        <f t="shared" si="15"/>
        <v>0</v>
      </c>
      <c r="T107" s="3190">
        <f>面积表!A102</f>
        <v>0</v>
      </c>
    </row>
    <row r="108" spans="1:20">
      <c r="A108" s="3169"/>
      <c r="B108" s="52"/>
      <c r="C108" s="21">
        <f t="shared" si="16"/>
        <v>1</v>
      </c>
      <c r="D108" s="2559"/>
      <c r="E108" s="21">
        <f t="shared" si="17"/>
        <v>0.02</v>
      </c>
      <c r="F108" s="2559"/>
      <c r="G108" s="21">
        <f t="shared" si="18"/>
        <v>0</v>
      </c>
      <c r="H108" s="631"/>
      <c r="I108" s="21">
        <f t="shared" si="19"/>
        <v>1</v>
      </c>
      <c r="J108" s="631"/>
      <c r="K108" s="21">
        <f t="shared" si="20"/>
        <v>1</v>
      </c>
      <c r="L108" s="631"/>
      <c r="M108" s="21">
        <f t="shared" si="21"/>
        <v>1</v>
      </c>
      <c r="N108" s="631"/>
      <c r="O108" s="21">
        <f t="shared" si="22"/>
        <v>1</v>
      </c>
      <c r="P108" s="2559"/>
      <c r="Q108" s="21">
        <f t="shared" si="23"/>
        <v>0</v>
      </c>
      <c r="R108" s="21">
        <f t="shared" si="24"/>
        <v>0</v>
      </c>
      <c r="S108" s="307">
        <f t="shared" si="15"/>
        <v>0</v>
      </c>
      <c r="T108" s="3190">
        <f>面积表!A103</f>
        <v>0</v>
      </c>
    </row>
    <row r="109" spans="1:20">
      <c r="A109" s="3169"/>
      <c r="B109" s="52"/>
      <c r="C109" s="21">
        <f t="shared" si="16"/>
        <v>1</v>
      </c>
      <c r="D109" s="2559"/>
      <c r="E109" s="21">
        <f t="shared" si="17"/>
        <v>0.02</v>
      </c>
      <c r="F109" s="2559"/>
      <c r="G109" s="21">
        <f t="shared" si="18"/>
        <v>0</v>
      </c>
      <c r="H109" s="631"/>
      <c r="I109" s="21">
        <f t="shared" si="19"/>
        <v>1</v>
      </c>
      <c r="J109" s="631"/>
      <c r="K109" s="21">
        <f t="shared" si="20"/>
        <v>1</v>
      </c>
      <c r="L109" s="631"/>
      <c r="M109" s="21">
        <f t="shared" si="21"/>
        <v>1</v>
      </c>
      <c r="N109" s="631"/>
      <c r="O109" s="21">
        <f t="shared" si="22"/>
        <v>1</v>
      </c>
      <c r="P109" s="2559"/>
      <c r="Q109" s="21">
        <f t="shared" si="23"/>
        <v>0</v>
      </c>
      <c r="R109" s="21">
        <f t="shared" si="24"/>
        <v>0</v>
      </c>
      <c r="S109" s="307">
        <f t="shared" si="15"/>
        <v>0</v>
      </c>
      <c r="T109" s="3190">
        <f>面积表!A104</f>
        <v>0</v>
      </c>
    </row>
    <row r="110" spans="1:20">
      <c r="A110" s="3169"/>
      <c r="B110" s="52"/>
      <c r="C110" s="21">
        <f t="shared" si="16"/>
        <v>1</v>
      </c>
      <c r="D110" s="2559"/>
      <c r="E110" s="21">
        <f t="shared" si="17"/>
        <v>0.02</v>
      </c>
      <c r="F110" s="2559"/>
      <c r="G110" s="21">
        <f t="shared" si="18"/>
        <v>0</v>
      </c>
      <c r="H110" s="631"/>
      <c r="I110" s="21">
        <f t="shared" si="19"/>
        <v>1</v>
      </c>
      <c r="J110" s="631"/>
      <c r="K110" s="21">
        <f t="shared" si="20"/>
        <v>1</v>
      </c>
      <c r="L110" s="631"/>
      <c r="M110" s="21">
        <f t="shared" si="21"/>
        <v>1</v>
      </c>
      <c r="N110" s="631"/>
      <c r="O110" s="21">
        <f t="shared" si="22"/>
        <v>1</v>
      </c>
      <c r="P110" s="2559"/>
      <c r="Q110" s="21">
        <f t="shared" si="23"/>
        <v>0</v>
      </c>
      <c r="R110" s="21">
        <f t="shared" si="24"/>
        <v>0</v>
      </c>
      <c r="S110" s="307">
        <f t="shared" si="15"/>
        <v>0</v>
      </c>
      <c r="T110" s="3190">
        <f>面积表!A105</f>
        <v>0</v>
      </c>
    </row>
    <row r="111" spans="1:20">
      <c r="A111" s="3169"/>
      <c r="B111" s="52"/>
      <c r="C111" s="21">
        <f t="shared" si="16"/>
        <v>1</v>
      </c>
      <c r="D111" s="2559"/>
      <c r="E111" s="21">
        <f t="shared" si="17"/>
        <v>0.02</v>
      </c>
      <c r="F111" s="2559"/>
      <c r="G111" s="21">
        <f t="shared" si="18"/>
        <v>0</v>
      </c>
      <c r="H111" s="631"/>
      <c r="I111" s="21">
        <f t="shared" si="19"/>
        <v>1</v>
      </c>
      <c r="J111" s="631"/>
      <c r="K111" s="21">
        <f t="shared" si="20"/>
        <v>1</v>
      </c>
      <c r="L111" s="631"/>
      <c r="M111" s="21">
        <f t="shared" si="21"/>
        <v>1</v>
      </c>
      <c r="N111" s="631"/>
      <c r="O111" s="21">
        <f t="shared" si="22"/>
        <v>1</v>
      </c>
      <c r="P111" s="2559"/>
      <c r="Q111" s="21">
        <f t="shared" si="23"/>
        <v>0</v>
      </c>
      <c r="R111" s="21">
        <f t="shared" si="24"/>
        <v>0</v>
      </c>
      <c r="S111" s="307">
        <f t="shared" si="15"/>
        <v>0</v>
      </c>
      <c r="T111" s="3190">
        <f>面积表!A106</f>
        <v>0</v>
      </c>
    </row>
    <row r="112" spans="1:20">
      <c r="A112" s="3169"/>
      <c r="B112" s="52"/>
      <c r="C112" s="21">
        <f t="shared" si="16"/>
        <v>1</v>
      </c>
      <c r="D112" s="2559"/>
      <c r="E112" s="21">
        <f t="shared" si="17"/>
        <v>0.02</v>
      </c>
      <c r="F112" s="2559"/>
      <c r="G112" s="21">
        <f t="shared" si="18"/>
        <v>0</v>
      </c>
      <c r="H112" s="631"/>
      <c r="I112" s="21">
        <f t="shared" si="19"/>
        <v>1</v>
      </c>
      <c r="J112" s="631"/>
      <c r="K112" s="21">
        <f t="shared" si="20"/>
        <v>1</v>
      </c>
      <c r="L112" s="631"/>
      <c r="M112" s="21">
        <f t="shared" si="21"/>
        <v>1</v>
      </c>
      <c r="N112" s="631"/>
      <c r="O112" s="21">
        <f t="shared" si="22"/>
        <v>1</v>
      </c>
      <c r="P112" s="2559"/>
      <c r="Q112" s="21">
        <f t="shared" si="23"/>
        <v>0</v>
      </c>
      <c r="R112" s="21">
        <f t="shared" si="24"/>
        <v>0</v>
      </c>
      <c r="S112" s="307">
        <f t="shared" si="15"/>
        <v>0</v>
      </c>
      <c r="T112" s="3190">
        <f>面积表!A107</f>
        <v>0</v>
      </c>
    </row>
    <row r="113" spans="1:20">
      <c r="A113" s="3169"/>
      <c r="B113" s="52"/>
      <c r="C113" s="21">
        <f t="shared" si="16"/>
        <v>1</v>
      </c>
      <c r="D113" s="2559"/>
      <c r="E113" s="21">
        <f t="shared" si="17"/>
        <v>0.02</v>
      </c>
      <c r="F113" s="2559"/>
      <c r="G113" s="21">
        <f t="shared" si="18"/>
        <v>0</v>
      </c>
      <c r="H113" s="631"/>
      <c r="I113" s="21">
        <f t="shared" si="19"/>
        <v>1</v>
      </c>
      <c r="J113" s="631"/>
      <c r="K113" s="21">
        <f t="shared" si="20"/>
        <v>1</v>
      </c>
      <c r="L113" s="631"/>
      <c r="M113" s="21">
        <f t="shared" si="21"/>
        <v>1</v>
      </c>
      <c r="N113" s="631"/>
      <c r="O113" s="21">
        <f t="shared" si="22"/>
        <v>1</v>
      </c>
      <c r="P113" s="2559"/>
      <c r="Q113" s="21">
        <f t="shared" si="23"/>
        <v>0</v>
      </c>
      <c r="R113" s="21">
        <f t="shared" si="24"/>
        <v>0</v>
      </c>
      <c r="S113" s="307">
        <f t="shared" si="15"/>
        <v>0</v>
      </c>
      <c r="T113" s="3190">
        <f>面积表!A108</f>
        <v>0</v>
      </c>
    </row>
    <row r="114" spans="1:20">
      <c r="A114" s="3169"/>
      <c r="B114" s="52"/>
      <c r="C114" s="21">
        <f t="shared" si="16"/>
        <v>1</v>
      </c>
      <c r="D114" s="2559"/>
      <c r="E114" s="21">
        <f t="shared" si="17"/>
        <v>0.02</v>
      </c>
      <c r="F114" s="2559"/>
      <c r="G114" s="21">
        <f t="shared" si="18"/>
        <v>0</v>
      </c>
      <c r="H114" s="631"/>
      <c r="I114" s="21">
        <f t="shared" si="19"/>
        <v>1</v>
      </c>
      <c r="J114" s="631"/>
      <c r="K114" s="21">
        <f t="shared" si="20"/>
        <v>1</v>
      </c>
      <c r="L114" s="631"/>
      <c r="M114" s="21">
        <f t="shared" si="21"/>
        <v>1</v>
      </c>
      <c r="N114" s="631"/>
      <c r="O114" s="21">
        <f t="shared" si="22"/>
        <v>1</v>
      </c>
      <c r="P114" s="2559"/>
      <c r="Q114" s="21">
        <f t="shared" si="23"/>
        <v>0</v>
      </c>
      <c r="R114" s="21">
        <f t="shared" si="24"/>
        <v>0</v>
      </c>
      <c r="S114" s="307">
        <f t="shared" si="15"/>
        <v>0</v>
      </c>
      <c r="T114" s="3190">
        <f>面积表!A109</f>
        <v>0</v>
      </c>
    </row>
    <row r="115" spans="1:20">
      <c r="A115" s="3169"/>
      <c r="B115" s="52"/>
      <c r="C115" s="21">
        <f t="shared" si="16"/>
        <v>1</v>
      </c>
      <c r="D115" s="2559"/>
      <c r="E115" s="21">
        <f t="shared" si="17"/>
        <v>0.02</v>
      </c>
      <c r="F115" s="2559"/>
      <c r="G115" s="21">
        <f t="shared" si="18"/>
        <v>0</v>
      </c>
      <c r="H115" s="631"/>
      <c r="I115" s="21">
        <f t="shared" si="19"/>
        <v>1</v>
      </c>
      <c r="J115" s="631"/>
      <c r="K115" s="21">
        <f t="shared" si="20"/>
        <v>1</v>
      </c>
      <c r="L115" s="631"/>
      <c r="M115" s="21">
        <f t="shared" si="21"/>
        <v>1</v>
      </c>
      <c r="N115" s="631"/>
      <c r="O115" s="21">
        <f t="shared" si="22"/>
        <v>1</v>
      </c>
      <c r="P115" s="2559"/>
      <c r="Q115" s="21">
        <f t="shared" si="23"/>
        <v>0</v>
      </c>
      <c r="R115" s="21">
        <f t="shared" si="24"/>
        <v>0</v>
      </c>
      <c r="S115" s="307">
        <f t="shared" si="15"/>
        <v>0</v>
      </c>
      <c r="T115" s="3190">
        <f>面积表!A110</f>
        <v>0</v>
      </c>
    </row>
    <row r="116" spans="1:20">
      <c r="A116" s="3169"/>
      <c r="B116" s="52"/>
      <c r="C116" s="21">
        <f t="shared" si="16"/>
        <v>1</v>
      </c>
      <c r="D116" s="2559"/>
      <c r="E116" s="21">
        <f t="shared" si="17"/>
        <v>0.02</v>
      </c>
      <c r="F116" s="2559"/>
      <c r="G116" s="21">
        <f t="shared" si="18"/>
        <v>0</v>
      </c>
      <c r="H116" s="631"/>
      <c r="I116" s="21">
        <f t="shared" si="19"/>
        <v>1</v>
      </c>
      <c r="J116" s="631"/>
      <c r="K116" s="21">
        <f t="shared" si="20"/>
        <v>1</v>
      </c>
      <c r="L116" s="631"/>
      <c r="M116" s="21">
        <f t="shared" si="21"/>
        <v>1</v>
      </c>
      <c r="N116" s="631"/>
      <c r="O116" s="21">
        <f t="shared" si="22"/>
        <v>1</v>
      </c>
      <c r="P116" s="2559"/>
      <c r="Q116" s="21">
        <f t="shared" si="23"/>
        <v>0</v>
      </c>
      <c r="R116" s="21">
        <f t="shared" si="24"/>
        <v>0</v>
      </c>
      <c r="S116" s="307">
        <f t="shared" si="15"/>
        <v>0</v>
      </c>
      <c r="T116" s="3190">
        <f>面积表!A111</f>
        <v>0</v>
      </c>
    </row>
    <row r="117" spans="1:20">
      <c r="A117" s="3169"/>
      <c r="B117" s="52"/>
      <c r="C117" s="21">
        <f t="shared" si="16"/>
        <v>1</v>
      </c>
      <c r="D117" s="2559"/>
      <c r="E117" s="21">
        <f t="shared" si="17"/>
        <v>0.02</v>
      </c>
      <c r="F117" s="2559"/>
      <c r="G117" s="21">
        <f t="shared" si="18"/>
        <v>0</v>
      </c>
      <c r="H117" s="631"/>
      <c r="I117" s="21">
        <f t="shared" si="19"/>
        <v>1</v>
      </c>
      <c r="J117" s="631"/>
      <c r="K117" s="21">
        <f t="shared" si="20"/>
        <v>1</v>
      </c>
      <c r="L117" s="631"/>
      <c r="M117" s="21">
        <f t="shared" si="21"/>
        <v>1</v>
      </c>
      <c r="N117" s="631"/>
      <c r="O117" s="21">
        <f t="shared" si="22"/>
        <v>1</v>
      </c>
      <c r="P117" s="2559"/>
      <c r="Q117" s="21">
        <f t="shared" si="23"/>
        <v>0</v>
      </c>
      <c r="R117" s="21">
        <f t="shared" si="24"/>
        <v>0</v>
      </c>
      <c r="S117" s="307">
        <f t="shared" si="15"/>
        <v>0</v>
      </c>
      <c r="T117" s="3190">
        <f>面积表!A112</f>
        <v>0</v>
      </c>
    </row>
    <row r="118" spans="1:20">
      <c r="A118" s="3169"/>
      <c r="B118" s="52"/>
      <c r="C118" s="21">
        <f t="shared" si="16"/>
        <v>1</v>
      </c>
      <c r="D118" s="2559"/>
      <c r="E118" s="21">
        <f t="shared" si="17"/>
        <v>0.02</v>
      </c>
      <c r="F118" s="2559"/>
      <c r="G118" s="21">
        <f t="shared" si="18"/>
        <v>0</v>
      </c>
      <c r="H118" s="631"/>
      <c r="I118" s="21">
        <f t="shared" si="19"/>
        <v>1</v>
      </c>
      <c r="J118" s="631"/>
      <c r="K118" s="21">
        <f t="shared" si="20"/>
        <v>1</v>
      </c>
      <c r="L118" s="631"/>
      <c r="M118" s="21">
        <f t="shared" si="21"/>
        <v>1</v>
      </c>
      <c r="N118" s="631"/>
      <c r="O118" s="21">
        <f t="shared" si="22"/>
        <v>1</v>
      </c>
      <c r="P118" s="2559"/>
      <c r="Q118" s="21">
        <f t="shared" si="23"/>
        <v>0</v>
      </c>
      <c r="R118" s="21">
        <f t="shared" si="24"/>
        <v>0</v>
      </c>
      <c r="S118" s="307">
        <f t="shared" si="15"/>
        <v>0</v>
      </c>
      <c r="T118" s="3190">
        <f>面积表!A113</f>
        <v>0</v>
      </c>
    </row>
    <row r="119" spans="1:20">
      <c r="A119" s="3169"/>
      <c r="B119" s="52"/>
      <c r="C119" s="21">
        <f t="shared" si="16"/>
        <v>1</v>
      </c>
      <c r="D119" s="2559"/>
      <c r="E119" s="21">
        <f t="shared" si="17"/>
        <v>0.02</v>
      </c>
      <c r="F119" s="2559"/>
      <c r="G119" s="21">
        <f t="shared" si="18"/>
        <v>0</v>
      </c>
      <c r="H119" s="631"/>
      <c r="I119" s="21">
        <f t="shared" si="19"/>
        <v>1</v>
      </c>
      <c r="J119" s="631"/>
      <c r="K119" s="21">
        <f t="shared" si="20"/>
        <v>1</v>
      </c>
      <c r="L119" s="631"/>
      <c r="M119" s="21">
        <f t="shared" si="21"/>
        <v>1</v>
      </c>
      <c r="N119" s="631"/>
      <c r="O119" s="21">
        <f t="shared" si="22"/>
        <v>1</v>
      </c>
      <c r="P119" s="2559"/>
      <c r="Q119" s="21">
        <f t="shared" si="23"/>
        <v>0</v>
      </c>
      <c r="R119" s="21">
        <f t="shared" si="24"/>
        <v>0</v>
      </c>
      <c r="S119" s="307">
        <f t="shared" si="15"/>
        <v>0</v>
      </c>
      <c r="T119" s="3190">
        <f>面积表!A114</f>
        <v>0</v>
      </c>
    </row>
    <row r="120" spans="1:20">
      <c r="A120" s="3169"/>
      <c r="B120" s="52"/>
      <c r="C120" s="21">
        <f t="shared" si="16"/>
        <v>1</v>
      </c>
      <c r="D120" s="2559"/>
      <c r="E120" s="21">
        <f t="shared" si="17"/>
        <v>0.02</v>
      </c>
      <c r="F120" s="2559"/>
      <c r="G120" s="21">
        <f t="shared" si="18"/>
        <v>0</v>
      </c>
      <c r="H120" s="631"/>
      <c r="I120" s="21">
        <f t="shared" si="19"/>
        <v>1</v>
      </c>
      <c r="J120" s="631"/>
      <c r="K120" s="21">
        <f t="shared" si="20"/>
        <v>1</v>
      </c>
      <c r="L120" s="631"/>
      <c r="M120" s="21">
        <f t="shared" si="21"/>
        <v>1</v>
      </c>
      <c r="N120" s="631"/>
      <c r="O120" s="21">
        <f t="shared" si="22"/>
        <v>1</v>
      </c>
      <c r="P120" s="2559"/>
      <c r="Q120" s="21">
        <f t="shared" si="23"/>
        <v>0</v>
      </c>
      <c r="R120" s="21">
        <f t="shared" si="24"/>
        <v>0</v>
      </c>
      <c r="S120" s="307">
        <f t="shared" si="15"/>
        <v>0</v>
      </c>
      <c r="T120" s="3190">
        <f>面积表!A115</f>
        <v>0</v>
      </c>
    </row>
    <row r="121" spans="1:20">
      <c r="A121" s="3169"/>
      <c r="B121" s="52"/>
      <c r="C121" s="21">
        <f t="shared" si="16"/>
        <v>1</v>
      </c>
      <c r="D121" s="2559"/>
      <c r="E121" s="21">
        <f t="shared" si="17"/>
        <v>0.02</v>
      </c>
      <c r="F121" s="2559"/>
      <c r="G121" s="21">
        <f t="shared" si="18"/>
        <v>0</v>
      </c>
      <c r="H121" s="631"/>
      <c r="I121" s="21">
        <f t="shared" si="19"/>
        <v>1</v>
      </c>
      <c r="J121" s="631"/>
      <c r="K121" s="21">
        <f t="shared" si="20"/>
        <v>1</v>
      </c>
      <c r="L121" s="631"/>
      <c r="M121" s="21">
        <f t="shared" si="21"/>
        <v>1</v>
      </c>
      <c r="N121" s="631"/>
      <c r="O121" s="21">
        <f t="shared" si="22"/>
        <v>1</v>
      </c>
      <c r="P121" s="2559"/>
      <c r="Q121" s="21">
        <f t="shared" si="23"/>
        <v>0</v>
      </c>
      <c r="R121" s="21">
        <f t="shared" si="24"/>
        <v>0</v>
      </c>
      <c r="S121" s="307">
        <f t="shared" si="15"/>
        <v>0</v>
      </c>
      <c r="T121" s="3190">
        <f>面积表!A116</f>
        <v>0</v>
      </c>
    </row>
    <row r="122" spans="1:20">
      <c r="A122" s="3169"/>
      <c r="B122" s="52"/>
      <c r="C122" s="21">
        <f t="shared" si="16"/>
        <v>1</v>
      </c>
      <c r="D122" s="2559"/>
      <c r="E122" s="21">
        <f t="shared" si="17"/>
        <v>0.02</v>
      </c>
      <c r="F122" s="2559"/>
      <c r="G122" s="21">
        <f t="shared" si="18"/>
        <v>0</v>
      </c>
      <c r="H122" s="631"/>
      <c r="I122" s="21">
        <f t="shared" si="19"/>
        <v>1</v>
      </c>
      <c r="J122" s="631"/>
      <c r="K122" s="21">
        <f t="shared" si="20"/>
        <v>1</v>
      </c>
      <c r="L122" s="631"/>
      <c r="M122" s="21">
        <f t="shared" si="21"/>
        <v>1</v>
      </c>
      <c r="N122" s="631"/>
      <c r="O122" s="21">
        <f t="shared" si="22"/>
        <v>1</v>
      </c>
      <c r="P122" s="2559"/>
      <c r="Q122" s="21">
        <f t="shared" si="23"/>
        <v>0</v>
      </c>
      <c r="R122" s="21">
        <f t="shared" si="24"/>
        <v>0</v>
      </c>
      <c r="S122" s="307">
        <f t="shared" si="15"/>
        <v>0</v>
      </c>
      <c r="T122" s="3190">
        <f>面积表!A117</f>
        <v>0</v>
      </c>
    </row>
    <row r="123" spans="1:20">
      <c r="A123" s="3169"/>
      <c r="B123" s="52"/>
      <c r="C123" s="21">
        <f t="shared" si="16"/>
        <v>1</v>
      </c>
      <c r="D123" s="2559"/>
      <c r="E123" s="21">
        <f t="shared" si="17"/>
        <v>0.02</v>
      </c>
      <c r="F123" s="2559"/>
      <c r="G123" s="21">
        <f t="shared" si="18"/>
        <v>0</v>
      </c>
      <c r="H123" s="631"/>
      <c r="I123" s="21">
        <f t="shared" si="19"/>
        <v>1</v>
      </c>
      <c r="J123" s="631"/>
      <c r="K123" s="21">
        <f t="shared" si="20"/>
        <v>1</v>
      </c>
      <c r="L123" s="631"/>
      <c r="M123" s="21">
        <f t="shared" si="21"/>
        <v>1</v>
      </c>
      <c r="N123" s="631"/>
      <c r="O123" s="21">
        <f t="shared" si="22"/>
        <v>1</v>
      </c>
      <c r="P123" s="2559"/>
      <c r="Q123" s="21">
        <f t="shared" si="23"/>
        <v>0</v>
      </c>
      <c r="R123" s="21">
        <f t="shared" si="24"/>
        <v>0</v>
      </c>
      <c r="S123" s="307">
        <f t="shared" si="15"/>
        <v>0</v>
      </c>
      <c r="T123" s="3190">
        <f>面积表!A118</f>
        <v>0</v>
      </c>
    </row>
    <row r="124" spans="1:20">
      <c r="A124" s="3169"/>
      <c r="B124" s="52"/>
      <c r="C124" s="21">
        <f t="shared" si="16"/>
        <v>1</v>
      </c>
      <c r="D124" s="2559"/>
      <c r="E124" s="21">
        <f t="shared" si="17"/>
        <v>0.02</v>
      </c>
      <c r="F124" s="2559"/>
      <c r="G124" s="21">
        <f t="shared" si="18"/>
        <v>0</v>
      </c>
      <c r="H124" s="631"/>
      <c r="I124" s="21">
        <f t="shared" si="19"/>
        <v>1</v>
      </c>
      <c r="J124" s="631"/>
      <c r="K124" s="21">
        <f t="shared" si="20"/>
        <v>1</v>
      </c>
      <c r="L124" s="631"/>
      <c r="M124" s="21">
        <f t="shared" si="21"/>
        <v>1</v>
      </c>
      <c r="N124" s="631"/>
      <c r="O124" s="21">
        <f t="shared" si="22"/>
        <v>1</v>
      </c>
      <c r="P124" s="2559"/>
      <c r="Q124" s="21">
        <f t="shared" si="23"/>
        <v>0</v>
      </c>
      <c r="R124" s="21">
        <f t="shared" si="24"/>
        <v>0</v>
      </c>
      <c r="S124" s="307">
        <f t="shared" si="15"/>
        <v>0</v>
      </c>
      <c r="T124" s="3190">
        <f>面积表!A119</f>
        <v>0</v>
      </c>
    </row>
    <row r="125" spans="1:20">
      <c r="A125" s="3169"/>
      <c r="B125" s="52"/>
      <c r="C125" s="21">
        <f t="shared" si="16"/>
        <v>1</v>
      </c>
      <c r="D125" s="2559"/>
      <c r="E125" s="21">
        <f t="shared" si="17"/>
        <v>0.02</v>
      </c>
      <c r="F125" s="2559"/>
      <c r="G125" s="21">
        <f t="shared" si="18"/>
        <v>0</v>
      </c>
      <c r="H125" s="631"/>
      <c r="I125" s="21">
        <f t="shared" si="19"/>
        <v>1</v>
      </c>
      <c r="J125" s="631"/>
      <c r="K125" s="21">
        <f t="shared" si="20"/>
        <v>1</v>
      </c>
      <c r="L125" s="631"/>
      <c r="M125" s="21">
        <f t="shared" si="21"/>
        <v>1</v>
      </c>
      <c r="N125" s="631"/>
      <c r="O125" s="21">
        <f t="shared" si="22"/>
        <v>1</v>
      </c>
      <c r="P125" s="2559"/>
      <c r="Q125" s="21">
        <f t="shared" si="23"/>
        <v>0</v>
      </c>
      <c r="R125" s="21">
        <f t="shared" si="24"/>
        <v>0</v>
      </c>
      <c r="S125" s="307">
        <f t="shared" si="15"/>
        <v>0</v>
      </c>
      <c r="T125" s="3190">
        <f>面积表!A120</f>
        <v>0</v>
      </c>
    </row>
    <row r="126" spans="1:20">
      <c r="A126" s="3169"/>
      <c r="B126" s="52"/>
      <c r="C126" s="21">
        <f t="shared" si="16"/>
        <v>1</v>
      </c>
      <c r="D126" s="2559"/>
      <c r="E126" s="21">
        <f t="shared" si="17"/>
        <v>0.02</v>
      </c>
      <c r="F126" s="2559"/>
      <c r="G126" s="21">
        <f t="shared" si="18"/>
        <v>0</v>
      </c>
      <c r="H126" s="631"/>
      <c r="I126" s="21">
        <f t="shared" si="19"/>
        <v>1</v>
      </c>
      <c r="J126" s="631"/>
      <c r="K126" s="21">
        <f t="shared" si="20"/>
        <v>1</v>
      </c>
      <c r="L126" s="631"/>
      <c r="M126" s="21">
        <f t="shared" si="21"/>
        <v>1</v>
      </c>
      <c r="N126" s="631"/>
      <c r="O126" s="21">
        <f t="shared" si="22"/>
        <v>1</v>
      </c>
      <c r="P126" s="2559"/>
      <c r="Q126" s="21">
        <f t="shared" si="23"/>
        <v>0</v>
      </c>
      <c r="R126" s="21">
        <f t="shared" si="24"/>
        <v>0</v>
      </c>
      <c r="S126" s="307">
        <f t="shared" si="15"/>
        <v>0</v>
      </c>
      <c r="T126" s="3190">
        <f>面积表!A121</f>
        <v>0</v>
      </c>
    </row>
    <row r="127" spans="1:20">
      <c r="A127" s="3169"/>
      <c r="B127" s="52"/>
      <c r="C127" s="21">
        <f t="shared" si="16"/>
        <v>1</v>
      </c>
      <c r="D127" s="2559"/>
      <c r="E127" s="21">
        <f t="shared" si="17"/>
        <v>0.02</v>
      </c>
      <c r="F127" s="2559"/>
      <c r="G127" s="21">
        <f t="shared" si="18"/>
        <v>0</v>
      </c>
      <c r="H127" s="631"/>
      <c r="I127" s="21">
        <f t="shared" si="19"/>
        <v>1</v>
      </c>
      <c r="J127" s="631"/>
      <c r="K127" s="21">
        <f t="shared" si="20"/>
        <v>1</v>
      </c>
      <c r="L127" s="631"/>
      <c r="M127" s="21">
        <f t="shared" si="21"/>
        <v>1</v>
      </c>
      <c r="N127" s="631"/>
      <c r="O127" s="21">
        <f t="shared" si="22"/>
        <v>1</v>
      </c>
      <c r="P127" s="2559"/>
      <c r="Q127" s="21">
        <f t="shared" si="23"/>
        <v>0</v>
      </c>
      <c r="R127" s="21">
        <f t="shared" si="24"/>
        <v>0</v>
      </c>
      <c r="S127" s="307">
        <f t="shared" si="15"/>
        <v>0</v>
      </c>
      <c r="T127" s="3190">
        <f>面积表!A122</f>
        <v>0</v>
      </c>
    </row>
    <row r="128" spans="1:20">
      <c r="A128" s="3169"/>
      <c r="B128" s="52"/>
      <c r="C128" s="21">
        <f t="shared" si="16"/>
        <v>1</v>
      </c>
      <c r="D128" s="2559"/>
      <c r="E128" s="21">
        <f t="shared" si="17"/>
        <v>0.02</v>
      </c>
      <c r="F128" s="2559"/>
      <c r="G128" s="21">
        <f t="shared" si="18"/>
        <v>0</v>
      </c>
      <c r="H128" s="631"/>
      <c r="I128" s="21">
        <f t="shared" si="19"/>
        <v>1</v>
      </c>
      <c r="J128" s="631"/>
      <c r="K128" s="21">
        <f t="shared" si="20"/>
        <v>1</v>
      </c>
      <c r="L128" s="631"/>
      <c r="M128" s="21">
        <f t="shared" si="21"/>
        <v>1</v>
      </c>
      <c r="N128" s="631"/>
      <c r="O128" s="21">
        <f t="shared" si="22"/>
        <v>1</v>
      </c>
      <c r="P128" s="2559"/>
      <c r="Q128" s="21">
        <f t="shared" si="23"/>
        <v>0</v>
      </c>
      <c r="R128" s="21">
        <f t="shared" si="24"/>
        <v>0</v>
      </c>
      <c r="S128" s="307">
        <f t="shared" si="15"/>
        <v>0</v>
      </c>
      <c r="T128" s="3190">
        <f>面积表!A123</f>
        <v>0</v>
      </c>
    </row>
    <row r="129" spans="1:20">
      <c r="A129" s="3169"/>
      <c r="B129" s="52"/>
      <c r="C129" s="21">
        <f t="shared" si="16"/>
        <v>1</v>
      </c>
      <c r="D129" s="2559"/>
      <c r="E129" s="21">
        <f t="shared" si="17"/>
        <v>0.02</v>
      </c>
      <c r="F129" s="2559"/>
      <c r="G129" s="21">
        <f t="shared" si="18"/>
        <v>0</v>
      </c>
      <c r="H129" s="631"/>
      <c r="I129" s="21">
        <f t="shared" si="19"/>
        <v>1</v>
      </c>
      <c r="J129" s="631"/>
      <c r="K129" s="21">
        <f t="shared" si="20"/>
        <v>1</v>
      </c>
      <c r="L129" s="631"/>
      <c r="M129" s="21">
        <f t="shared" si="21"/>
        <v>1</v>
      </c>
      <c r="N129" s="631"/>
      <c r="O129" s="21">
        <f t="shared" si="22"/>
        <v>1</v>
      </c>
      <c r="P129" s="2559"/>
      <c r="Q129" s="21">
        <f t="shared" si="23"/>
        <v>0</v>
      </c>
      <c r="R129" s="21">
        <f t="shared" si="24"/>
        <v>0</v>
      </c>
      <c r="S129" s="307">
        <f t="shared" si="15"/>
        <v>0</v>
      </c>
      <c r="T129" s="3190">
        <f>面积表!A124</f>
        <v>0</v>
      </c>
    </row>
    <row r="130" spans="1:20">
      <c r="A130" s="3169"/>
      <c r="B130" s="52"/>
      <c r="C130" s="21">
        <f t="shared" si="16"/>
        <v>1</v>
      </c>
      <c r="D130" s="2559"/>
      <c r="E130" s="21">
        <f t="shared" si="17"/>
        <v>0.02</v>
      </c>
      <c r="F130" s="2559"/>
      <c r="G130" s="21">
        <f t="shared" si="18"/>
        <v>0</v>
      </c>
      <c r="H130" s="631"/>
      <c r="I130" s="21">
        <f t="shared" si="19"/>
        <v>1</v>
      </c>
      <c r="J130" s="631"/>
      <c r="K130" s="21">
        <f t="shared" si="20"/>
        <v>1</v>
      </c>
      <c r="L130" s="631"/>
      <c r="M130" s="21">
        <f t="shared" si="21"/>
        <v>1</v>
      </c>
      <c r="N130" s="631"/>
      <c r="O130" s="21">
        <f t="shared" si="22"/>
        <v>1</v>
      </c>
      <c r="P130" s="2559"/>
      <c r="Q130" s="21">
        <f t="shared" si="23"/>
        <v>0</v>
      </c>
      <c r="R130" s="21">
        <f t="shared" si="24"/>
        <v>0</v>
      </c>
      <c r="S130" s="307">
        <f t="shared" si="15"/>
        <v>0</v>
      </c>
      <c r="T130" s="3190">
        <f>面积表!A125</f>
        <v>0</v>
      </c>
    </row>
    <row r="131" spans="1:20">
      <c r="A131" s="3169"/>
      <c r="B131" s="52"/>
      <c r="C131" s="21">
        <f t="shared" si="16"/>
        <v>1</v>
      </c>
      <c r="D131" s="2559"/>
      <c r="E131" s="21">
        <f t="shared" si="17"/>
        <v>0.02</v>
      </c>
      <c r="F131" s="2559"/>
      <c r="G131" s="21">
        <f t="shared" si="18"/>
        <v>0</v>
      </c>
      <c r="H131" s="631"/>
      <c r="I131" s="21">
        <f t="shared" si="19"/>
        <v>1</v>
      </c>
      <c r="J131" s="631"/>
      <c r="K131" s="21">
        <f t="shared" si="20"/>
        <v>1</v>
      </c>
      <c r="L131" s="631"/>
      <c r="M131" s="21">
        <f t="shared" si="21"/>
        <v>1</v>
      </c>
      <c r="N131" s="631"/>
      <c r="O131" s="21">
        <f t="shared" si="22"/>
        <v>1</v>
      </c>
      <c r="P131" s="2559"/>
      <c r="Q131" s="21">
        <f t="shared" si="23"/>
        <v>0</v>
      </c>
      <c r="R131" s="21">
        <f t="shared" si="24"/>
        <v>0</v>
      </c>
      <c r="S131" s="307">
        <f t="shared" si="15"/>
        <v>0</v>
      </c>
      <c r="T131" s="3190">
        <f>面积表!A126</f>
        <v>0</v>
      </c>
    </row>
    <row r="132" spans="1:20">
      <c r="A132" s="3169"/>
      <c r="B132" s="52"/>
      <c r="C132" s="21">
        <f t="shared" si="16"/>
        <v>1</v>
      </c>
      <c r="D132" s="2559"/>
      <c r="E132" s="21">
        <f t="shared" si="17"/>
        <v>0.02</v>
      </c>
      <c r="F132" s="2559"/>
      <c r="G132" s="21">
        <f t="shared" si="18"/>
        <v>0</v>
      </c>
      <c r="H132" s="631"/>
      <c r="I132" s="21">
        <f t="shared" si="19"/>
        <v>1</v>
      </c>
      <c r="J132" s="631"/>
      <c r="K132" s="21">
        <f t="shared" si="20"/>
        <v>1</v>
      </c>
      <c r="L132" s="631"/>
      <c r="M132" s="21">
        <f t="shared" si="21"/>
        <v>1</v>
      </c>
      <c r="N132" s="631"/>
      <c r="O132" s="21">
        <f t="shared" si="22"/>
        <v>1</v>
      </c>
      <c r="P132" s="2559"/>
      <c r="Q132" s="21">
        <f t="shared" si="23"/>
        <v>0</v>
      </c>
      <c r="R132" s="21">
        <f t="shared" si="24"/>
        <v>0</v>
      </c>
      <c r="S132" s="307">
        <f t="shared" si="15"/>
        <v>0</v>
      </c>
      <c r="T132" s="3190">
        <f>面积表!A127</f>
        <v>0</v>
      </c>
    </row>
    <row r="133" spans="1:20">
      <c r="A133" s="3169"/>
      <c r="B133" s="52"/>
      <c r="C133" s="21">
        <f t="shared" si="16"/>
        <v>1</v>
      </c>
      <c r="D133" s="2559"/>
      <c r="E133" s="21">
        <f t="shared" si="17"/>
        <v>0.02</v>
      </c>
      <c r="F133" s="2559"/>
      <c r="G133" s="21">
        <f t="shared" si="18"/>
        <v>0</v>
      </c>
      <c r="H133" s="631"/>
      <c r="I133" s="21">
        <f t="shared" si="19"/>
        <v>1</v>
      </c>
      <c r="J133" s="631"/>
      <c r="K133" s="21">
        <f t="shared" si="20"/>
        <v>1</v>
      </c>
      <c r="L133" s="631"/>
      <c r="M133" s="21">
        <f t="shared" si="21"/>
        <v>1</v>
      </c>
      <c r="N133" s="631"/>
      <c r="O133" s="21">
        <f t="shared" si="22"/>
        <v>1</v>
      </c>
      <c r="P133" s="2559"/>
      <c r="Q133" s="21">
        <f t="shared" si="23"/>
        <v>0</v>
      </c>
      <c r="R133" s="21">
        <f t="shared" si="24"/>
        <v>0</v>
      </c>
      <c r="S133" s="307">
        <f t="shared" si="15"/>
        <v>0</v>
      </c>
      <c r="T133" s="3190">
        <f>面积表!A128</f>
        <v>0</v>
      </c>
    </row>
    <row r="134" spans="1:20">
      <c r="A134" s="3169"/>
      <c r="B134" s="52"/>
      <c r="C134" s="21">
        <f t="shared" si="16"/>
        <v>1</v>
      </c>
      <c r="D134" s="2559"/>
      <c r="E134" s="21">
        <f t="shared" si="17"/>
        <v>0.02</v>
      </c>
      <c r="F134" s="2559"/>
      <c r="G134" s="21">
        <f t="shared" si="18"/>
        <v>0</v>
      </c>
      <c r="H134" s="631"/>
      <c r="I134" s="21">
        <f t="shared" si="19"/>
        <v>1</v>
      </c>
      <c r="J134" s="631"/>
      <c r="K134" s="21">
        <f t="shared" si="20"/>
        <v>1</v>
      </c>
      <c r="L134" s="631"/>
      <c r="M134" s="21">
        <f t="shared" si="21"/>
        <v>1</v>
      </c>
      <c r="N134" s="631"/>
      <c r="O134" s="21">
        <f t="shared" si="22"/>
        <v>1</v>
      </c>
      <c r="P134" s="2559"/>
      <c r="Q134" s="21">
        <f t="shared" si="23"/>
        <v>0</v>
      </c>
      <c r="R134" s="21">
        <f t="shared" si="24"/>
        <v>0</v>
      </c>
      <c r="S134" s="307">
        <f t="shared" si="15"/>
        <v>0</v>
      </c>
      <c r="T134" s="3190">
        <f>面积表!A129</f>
        <v>0</v>
      </c>
    </row>
    <row r="135" spans="1:20">
      <c r="A135" s="3169"/>
      <c r="B135" s="52"/>
      <c r="C135" s="21">
        <f t="shared" si="16"/>
        <v>1</v>
      </c>
      <c r="D135" s="2559"/>
      <c r="E135" s="21">
        <f t="shared" si="17"/>
        <v>0.02</v>
      </c>
      <c r="F135" s="2559"/>
      <c r="G135" s="21">
        <f t="shared" si="18"/>
        <v>0</v>
      </c>
      <c r="H135" s="631"/>
      <c r="I135" s="21">
        <f t="shared" si="19"/>
        <v>1</v>
      </c>
      <c r="J135" s="631"/>
      <c r="K135" s="21">
        <f t="shared" si="20"/>
        <v>1</v>
      </c>
      <c r="L135" s="631"/>
      <c r="M135" s="21">
        <f t="shared" si="21"/>
        <v>1</v>
      </c>
      <c r="N135" s="631"/>
      <c r="O135" s="21">
        <f t="shared" si="22"/>
        <v>1</v>
      </c>
      <c r="P135" s="2559"/>
      <c r="Q135" s="21">
        <f t="shared" si="23"/>
        <v>0</v>
      </c>
      <c r="R135" s="21">
        <f t="shared" si="24"/>
        <v>0</v>
      </c>
      <c r="S135" s="307">
        <f t="shared" si="15"/>
        <v>0</v>
      </c>
      <c r="T135" s="3190">
        <f>面积表!A130</f>
        <v>0</v>
      </c>
    </row>
    <row r="136" spans="1:20">
      <c r="A136" s="3169"/>
      <c r="B136" s="52"/>
      <c r="C136" s="21">
        <f t="shared" si="16"/>
        <v>1</v>
      </c>
      <c r="D136" s="2559"/>
      <c r="E136" s="21">
        <f t="shared" si="17"/>
        <v>0.02</v>
      </c>
      <c r="F136" s="2559"/>
      <c r="G136" s="21">
        <f t="shared" si="18"/>
        <v>0</v>
      </c>
      <c r="H136" s="631"/>
      <c r="I136" s="21">
        <f t="shared" si="19"/>
        <v>1</v>
      </c>
      <c r="J136" s="631"/>
      <c r="K136" s="21">
        <f t="shared" si="20"/>
        <v>1</v>
      </c>
      <c r="L136" s="631"/>
      <c r="M136" s="21">
        <f t="shared" si="21"/>
        <v>1</v>
      </c>
      <c r="N136" s="631"/>
      <c r="O136" s="21">
        <f t="shared" si="22"/>
        <v>1</v>
      </c>
      <c r="P136" s="2559"/>
      <c r="Q136" s="21">
        <f t="shared" si="23"/>
        <v>0</v>
      </c>
      <c r="R136" s="21">
        <f t="shared" si="24"/>
        <v>0</v>
      </c>
      <c r="S136" s="307">
        <f t="shared" si="15"/>
        <v>0</v>
      </c>
      <c r="T136" s="3190">
        <f>面积表!A131</f>
        <v>0</v>
      </c>
    </row>
    <row r="137" spans="1:20">
      <c r="A137" s="3169"/>
      <c r="B137" s="52"/>
      <c r="C137" s="21">
        <f t="shared" si="16"/>
        <v>1</v>
      </c>
      <c r="D137" s="2559"/>
      <c r="E137" s="21">
        <f t="shared" si="17"/>
        <v>0.02</v>
      </c>
      <c r="F137" s="2559"/>
      <c r="G137" s="21">
        <f t="shared" si="18"/>
        <v>0</v>
      </c>
      <c r="H137" s="631"/>
      <c r="I137" s="21">
        <f t="shared" si="19"/>
        <v>1</v>
      </c>
      <c r="J137" s="631"/>
      <c r="K137" s="21">
        <f t="shared" si="20"/>
        <v>1</v>
      </c>
      <c r="L137" s="631"/>
      <c r="M137" s="21">
        <f t="shared" si="21"/>
        <v>1</v>
      </c>
      <c r="N137" s="631"/>
      <c r="O137" s="21">
        <f t="shared" si="22"/>
        <v>1</v>
      </c>
      <c r="P137" s="2559"/>
      <c r="Q137" s="21">
        <f t="shared" si="23"/>
        <v>0</v>
      </c>
      <c r="R137" s="21">
        <f t="shared" si="24"/>
        <v>0</v>
      </c>
      <c r="S137" s="307">
        <f t="shared" si="15"/>
        <v>0</v>
      </c>
      <c r="T137" s="3190">
        <f>面积表!A132</f>
        <v>0</v>
      </c>
    </row>
    <row r="138" spans="1:20">
      <c r="A138" s="3169"/>
      <c r="B138" s="52"/>
      <c r="C138" s="21">
        <f t="shared" si="16"/>
        <v>1</v>
      </c>
      <c r="D138" s="2559"/>
      <c r="E138" s="21">
        <f t="shared" si="17"/>
        <v>0.02</v>
      </c>
      <c r="F138" s="2559"/>
      <c r="G138" s="21">
        <f t="shared" si="18"/>
        <v>0</v>
      </c>
      <c r="H138" s="631"/>
      <c r="I138" s="21">
        <f t="shared" si="19"/>
        <v>1</v>
      </c>
      <c r="J138" s="631"/>
      <c r="K138" s="21">
        <f t="shared" si="20"/>
        <v>1</v>
      </c>
      <c r="L138" s="631"/>
      <c r="M138" s="21">
        <f t="shared" si="21"/>
        <v>1</v>
      </c>
      <c r="N138" s="631"/>
      <c r="O138" s="21">
        <f t="shared" si="22"/>
        <v>1</v>
      </c>
      <c r="P138" s="2559"/>
      <c r="Q138" s="21">
        <f t="shared" si="23"/>
        <v>0</v>
      </c>
      <c r="R138" s="21">
        <f t="shared" si="24"/>
        <v>0</v>
      </c>
      <c r="S138" s="307">
        <f t="shared" si="15"/>
        <v>0</v>
      </c>
      <c r="T138" s="3190">
        <f>面积表!A133</f>
        <v>0</v>
      </c>
    </row>
    <row r="139" spans="1:20">
      <c r="A139" s="3169"/>
      <c r="B139" s="52"/>
      <c r="C139" s="21">
        <f t="shared" si="16"/>
        <v>1</v>
      </c>
      <c r="D139" s="2559"/>
      <c r="E139" s="21">
        <f t="shared" si="17"/>
        <v>0.02</v>
      </c>
      <c r="F139" s="2559"/>
      <c r="G139" s="21">
        <f t="shared" si="18"/>
        <v>0</v>
      </c>
      <c r="H139" s="631"/>
      <c r="I139" s="21">
        <f t="shared" si="19"/>
        <v>1</v>
      </c>
      <c r="J139" s="631"/>
      <c r="K139" s="21">
        <f t="shared" si="20"/>
        <v>1</v>
      </c>
      <c r="L139" s="631"/>
      <c r="M139" s="21">
        <f t="shared" si="21"/>
        <v>1</v>
      </c>
      <c r="N139" s="631"/>
      <c r="O139" s="21">
        <f t="shared" si="22"/>
        <v>1</v>
      </c>
      <c r="P139" s="2559"/>
      <c r="Q139" s="21">
        <f t="shared" si="23"/>
        <v>0</v>
      </c>
      <c r="R139" s="21">
        <f t="shared" si="24"/>
        <v>0</v>
      </c>
      <c r="S139" s="307">
        <f t="shared" si="15"/>
        <v>0</v>
      </c>
      <c r="T139" s="3190">
        <f>面积表!A134</f>
        <v>0</v>
      </c>
    </row>
    <row r="140" spans="1:20">
      <c r="A140" s="3169"/>
      <c r="B140" s="52"/>
      <c r="C140" s="21">
        <f t="shared" si="16"/>
        <v>1</v>
      </c>
      <c r="D140" s="2559"/>
      <c r="E140" s="21">
        <f t="shared" si="17"/>
        <v>0.02</v>
      </c>
      <c r="F140" s="2559"/>
      <c r="G140" s="21">
        <f t="shared" si="18"/>
        <v>0</v>
      </c>
      <c r="H140" s="631"/>
      <c r="I140" s="21">
        <f t="shared" si="19"/>
        <v>1</v>
      </c>
      <c r="J140" s="631"/>
      <c r="K140" s="21">
        <f t="shared" si="20"/>
        <v>1</v>
      </c>
      <c r="L140" s="631"/>
      <c r="M140" s="21">
        <f t="shared" si="21"/>
        <v>1</v>
      </c>
      <c r="N140" s="631"/>
      <c r="O140" s="21">
        <f t="shared" si="22"/>
        <v>1</v>
      </c>
      <c r="P140" s="2559"/>
      <c r="Q140" s="21">
        <f t="shared" si="23"/>
        <v>0</v>
      </c>
      <c r="R140" s="21">
        <f t="shared" si="24"/>
        <v>0</v>
      </c>
      <c r="S140" s="307">
        <f t="shared" si="15"/>
        <v>0</v>
      </c>
      <c r="T140" s="3190">
        <f>面积表!A135</f>
        <v>0</v>
      </c>
    </row>
    <row r="141" spans="1:20">
      <c r="A141" s="3169"/>
      <c r="B141" s="52"/>
      <c r="C141" s="21">
        <f t="shared" si="16"/>
        <v>1</v>
      </c>
      <c r="D141" s="2559"/>
      <c r="E141" s="21">
        <f t="shared" si="17"/>
        <v>0.02</v>
      </c>
      <c r="F141" s="2559"/>
      <c r="G141" s="21">
        <f t="shared" si="18"/>
        <v>0</v>
      </c>
      <c r="H141" s="631"/>
      <c r="I141" s="21">
        <f t="shared" si="19"/>
        <v>1</v>
      </c>
      <c r="J141" s="631"/>
      <c r="K141" s="21">
        <f t="shared" si="20"/>
        <v>1</v>
      </c>
      <c r="L141" s="631"/>
      <c r="M141" s="21">
        <f t="shared" si="21"/>
        <v>1</v>
      </c>
      <c r="N141" s="631"/>
      <c r="O141" s="21">
        <f t="shared" si="22"/>
        <v>1</v>
      </c>
      <c r="P141" s="2559"/>
      <c r="Q141" s="21">
        <f t="shared" si="23"/>
        <v>0</v>
      </c>
      <c r="R141" s="21">
        <f t="shared" si="24"/>
        <v>0</v>
      </c>
      <c r="S141" s="307">
        <f t="shared" si="15"/>
        <v>0</v>
      </c>
      <c r="T141" s="3190">
        <f>面积表!A136</f>
        <v>0</v>
      </c>
    </row>
    <row r="142" spans="1:20">
      <c r="A142" s="3169"/>
      <c r="B142" s="52"/>
      <c r="C142" s="21">
        <f t="shared" si="16"/>
        <v>1</v>
      </c>
      <c r="D142" s="2559"/>
      <c r="E142" s="21">
        <f t="shared" si="17"/>
        <v>0.02</v>
      </c>
      <c r="F142" s="2559"/>
      <c r="G142" s="21">
        <f t="shared" si="18"/>
        <v>0</v>
      </c>
      <c r="H142" s="631"/>
      <c r="I142" s="21">
        <f t="shared" si="19"/>
        <v>1</v>
      </c>
      <c r="J142" s="631"/>
      <c r="K142" s="21">
        <f t="shared" si="20"/>
        <v>1</v>
      </c>
      <c r="L142" s="631"/>
      <c r="M142" s="21">
        <f t="shared" si="21"/>
        <v>1</v>
      </c>
      <c r="N142" s="631"/>
      <c r="O142" s="21">
        <f t="shared" si="22"/>
        <v>1</v>
      </c>
      <c r="P142" s="2559"/>
      <c r="Q142" s="21">
        <f t="shared" si="23"/>
        <v>0</v>
      </c>
      <c r="R142" s="21">
        <f t="shared" si="24"/>
        <v>0</v>
      </c>
      <c r="S142" s="307">
        <f t="shared" si="15"/>
        <v>0</v>
      </c>
      <c r="T142" s="3190">
        <f>面积表!A137</f>
        <v>0</v>
      </c>
    </row>
    <row r="143" spans="1:20">
      <c r="A143" s="3169"/>
      <c r="B143" s="52"/>
      <c r="C143" s="21">
        <f t="shared" si="16"/>
        <v>1</v>
      </c>
      <c r="D143" s="2559"/>
      <c r="E143" s="21">
        <f t="shared" si="17"/>
        <v>0.02</v>
      </c>
      <c r="F143" s="2559"/>
      <c r="G143" s="21">
        <f t="shared" si="18"/>
        <v>0</v>
      </c>
      <c r="H143" s="631"/>
      <c r="I143" s="21">
        <f t="shared" si="19"/>
        <v>1</v>
      </c>
      <c r="J143" s="631"/>
      <c r="K143" s="21">
        <f t="shared" si="20"/>
        <v>1</v>
      </c>
      <c r="L143" s="631"/>
      <c r="M143" s="21">
        <f t="shared" si="21"/>
        <v>1</v>
      </c>
      <c r="N143" s="631"/>
      <c r="O143" s="21">
        <f t="shared" si="22"/>
        <v>1</v>
      </c>
      <c r="P143" s="2559"/>
      <c r="Q143" s="21">
        <f t="shared" si="23"/>
        <v>0</v>
      </c>
      <c r="R143" s="21">
        <f t="shared" si="24"/>
        <v>0</v>
      </c>
      <c r="S143" s="307">
        <f t="shared" si="15"/>
        <v>0</v>
      </c>
      <c r="T143" s="3190">
        <f>面积表!A138</f>
        <v>0</v>
      </c>
    </row>
    <row r="144" spans="1:20">
      <c r="A144" s="3169"/>
      <c r="B144" s="52"/>
      <c r="C144" s="21">
        <f t="shared" si="16"/>
        <v>1</v>
      </c>
      <c r="D144" s="2559"/>
      <c r="E144" s="21">
        <f t="shared" si="17"/>
        <v>0.02</v>
      </c>
      <c r="F144" s="2559"/>
      <c r="G144" s="21">
        <f t="shared" si="18"/>
        <v>0</v>
      </c>
      <c r="H144" s="631"/>
      <c r="I144" s="21">
        <f t="shared" si="19"/>
        <v>1</v>
      </c>
      <c r="J144" s="631"/>
      <c r="K144" s="21">
        <f t="shared" si="20"/>
        <v>1</v>
      </c>
      <c r="L144" s="631"/>
      <c r="M144" s="21">
        <f t="shared" si="21"/>
        <v>1</v>
      </c>
      <c r="N144" s="631"/>
      <c r="O144" s="21">
        <f t="shared" si="22"/>
        <v>1</v>
      </c>
      <c r="P144" s="2559"/>
      <c r="Q144" s="21">
        <f t="shared" si="23"/>
        <v>0</v>
      </c>
      <c r="R144" s="21">
        <f t="shared" si="24"/>
        <v>0</v>
      </c>
      <c r="S144" s="307">
        <f t="shared" si="15"/>
        <v>0</v>
      </c>
      <c r="T144" s="3190">
        <f>面积表!A139</f>
        <v>0</v>
      </c>
    </row>
    <row r="145" spans="1:20">
      <c r="A145" s="3169"/>
      <c r="B145" s="52"/>
      <c r="C145" s="21">
        <f t="shared" si="16"/>
        <v>1</v>
      </c>
      <c r="D145" s="2559"/>
      <c r="E145" s="21">
        <f t="shared" si="17"/>
        <v>0.02</v>
      </c>
      <c r="F145" s="2559"/>
      <c r="G145" s="21">
        <f t="shared" si="18"/>
        <v>0</v>
      </c>
      <c r="H145" s="631"/>
      <c r="I145" s="21">
        <f t="shared" si="19"/>
        <v>1</v>
      </c>
      <c r="J145" s="631"/>
      <c r="K145" s="21">
        <f t="shared" si="20"/>
        <v>1</v>
      </c>
      <c r="L145" s="631"/>
      <c r="M145" s="21">
        <f t="shared" si="21"/>
        <v>1</v>
      </c>
      <c r="N145" s="631"/>
      <c r="O145" s="21">
        <f t="shared" si="22"/>
        <v>1</v>
      </c>
      <c r="P145" s="2559"/>
      <c r="Q145" s="21">
        <f t="shared" si="23"/>
        <v>0</v>
      </c>
      <c r="R145" s="21">
        <f t="shared" si="24"/>
        <v>0</v>
      </c>
      <c r="S145" s="307">
        <f t="shared" si="15"/>
        <v>0</v>
      </c>
      <c r="T145" s="3190">
        <f>面积表!A140</f>
        <v>0</v>
      </c>
    </row>
    <row r="146" spans="1:20">
      <c r="A146" s="3169"/>
      <c r="B146" s="52"/>
      <c r="C146" s="21">
        <f t="shared" si="16"/>
        <v>1</v>
      </c>
      <c r="D146" s="2559"/>
      <c r="E146" s="21">
        <f t="shared" si="17"/>
        <v>0.02</v>
      </c>
      <c r="F146" s="2559"/>
      <c r="G146" s="21">
        <f t="shared" si="18"/>
        <v>0</v>
      </c>
      <c r="H146" s="631"/>
      <c r="I146" s="21">
        <f t="shared" si="19"/>
        <v>1</v>
      </c>
      <c r="J146" s="631"/>
      <c r="K146" s="21">
        <f t="shared" si="20"/>
        <v>1</v>
      </c>
      <c r="L146" s="631"/>
      <c r="M146" s="21">
        <f t="shared" si="21"/>
        <v>1</v>
      </c>
      <c r="N146" s="631"/>
      <c r="O146" s="21">
        <f t="shared" si="22"/>
        <v>1</v>
      </c>
      <c r="P146" s="2559"/>
      <c r="Q146" s="21">
        <f t="shared" si="23"/>
        <v>0</v>
      </c>
      <c r="R146" s="21">
        <f t="shared" si="24"/>
        <v>0</v>
      </c>
      <c r="S146" s="307">
        <f t="shared" si="15"/>
        <v>0</v>
      </c>
      <c r="T146" s="3190">
        <f>面积表!A141</f>
        <v>0</v>
      </c>
    </row>
    <row r="147" spans="1:20">
      <c r="A147" s="3169"/>
      <c r="B147" s="52"/>
      <c r="C147" s="21">
        <f t="shared" si="16"/>
        <v>1</v>
      </c>
      <c r="D147" s="2559"/>
      <c r="E147" s="21">
        <f t="shared" si="17"/>
        <v>0.02</v>
      </c>
      <c r="F147" s="2559"/>
      <c r="G147" s="21">
        <f t="shared" si="18"/>
        <v>0</v>
      </c>
      <c r="H147" s="631"/>
      <c r="I147" s="21">
        <f t="shared" si="19"/>
        <v>1</v>
      </c>
      <c r="J147" s="631"/>
      <c r="K147" s="21">
        <f t="shared" si="20"/>
        <v>1</v>
      </c>
      <c r="L147" s="631"/>
      <c r="M147" s="21">
        <f t="shared" si="21"/>
        <v>1</v>
      </c>
      <c r="N147" s="631"/>
      <c r="O147" s="21">
        <f t="shared" si="22"/>
        <v>1</v>
      </c>
      <c r="P147" s="2559"/>
      <c r="Q147" s="21">
        <f t="shared" si="23"/>
        <v>0</v>
      </c>
      <c r="R147" s="21">
        <f t="shared" si="24"/>
        <v>0</v>
      </c>
      <c r="S147" s="307">
        <f t="shared" si="15"/>
        <v>0</v>
      </c>
      <c r="T147" s="3190">
        <f>面积表!A142</f>
        <v>0</v>
      </c>
    </row>
    <row r="148" spans="1:20">
      <c r="A148" s="3169"/>
      <c r="B148" s="52"/>
      <c r="C148" s="21">
        <f t="shared" si="16"/>
        <v>1</v>
      </c>
      <c r="D148" s="2559"/>
      <c r="E148" s="21">
        <f t="shared" si="17"/>
        <v>0.02</v>
      </c>
      <c r="F148" s="2559"/>
      <c r="G148" s="21">
        <f t="shared" si="18"/>
        <v>0</v>
      </c>
      <c r="H148" s="631"/>
      <c r="I148" s="21">
        <f t="shared" si="19"/>
        <v>1</v>
      </c>
      <c r="J148" s="631"/>
      <c r="K148" s="21">
        <f t="shared" si="20"/>
        <v>1</v>
      </c>
      <c r="L148" s="631"/>
      <c r="M148" s="21">
        <f t="shared" si="21"/>
        <v>1</v>
      </c>
      <c r="N148" s="631"/>
      <c r="O148" s="21">
        <f t="shared" si="22"/>
        <v>1</v>
      </c>
      <c r="P148" s="2559"/>
      <c r="Q148" s="21">
        <f t="shared" si="23"/>
        <v>0</v>
      </c>
      <c r="R148" s="21">
        <f t="shared" si="24"/>
        <v>0</v>
      </c>
      <c r="S148" s="307">
        <f t="shared" si="15"/>
        <v>0</v>
      </c>
      <c r="T148" s="3190">
        <f>面积表!A143</f>
        <v>0</v>
      </c>
    </row>
    <row r="149" spans="1:20">
      <c r="A149" s="3169"/>
      <c r="B149" s="52"/>
      <c r="C149" s="21">
        <f t="shared" si="16"/>
        <v>1</v>
      </c>
      <c r="D149" s="2559"/>
      <c r="E149" s="21">
        <f t="shared" si="17"/>
        <v>0.02</v>
      </c>
      <c r="F149" s="2559"/>
      <c r="G149" s="21">
        <f t="shared" si="18"/>
        <v>0</v>
      </c>
      <c r="H149" s="631"/>
      <c r="I149" s="21">
        <f t="shared" si="19"/>
        <v>1</v>
      </c>
      <c r="J149" s="631"/>
      <c r="K149" s="21">
        <f t="shared" si="20"/>
        <v>1</v>
      </c>
      <c r="L149" s="631"/>
      <c r="M149" s="21">
        <f t="shared" si="21"/>
        <v>1</v>
      </c>
      <c r="N149" s="631"/>
      <c r="O149" s="21">
        <f t="shared" si="22"/>
        <v>1</v>
      </c>
      <c r="P149" s="2559"/>
      <c r="Q149" s="21">
        <f t="shared" si="23"/>
        <v>0</v>
      </c>
      <c r="R149" s="21">
        <f t="shared" si="24"/>
        <v>0</v>
      </c>
      <c r="S149" s="307">
        <f t="shared" si="15"/>
        <v>0</v>
      </c>
      <c r="T149" s="3190">
        <f>面积表!A144</f>
        <v>0</v>
      </c>
    </row>
    <row r="150" spans="1:20">
      <c r="A150" s="3169"/>
      <c r="B150" s="52"/>
      <c r="C150" s="21">
        <f t="shared" si="16"/>
        <v>1</v>
      </c>
      <c r="D150" s="2559"/>
      <c r="E150" s="21">
        <f t="shared" si="17"/>
        <v>0.02</v>
      </c>
      <c r="F150" s="2559"/>
      <c r="G150" s="21">
        <f t="shared" si="18"/>
        <v>0</v>
      </c>
      <c r="H150" s="631"/>
      <c r="I150" s="21">
        <f t="shared" si="19"/>
        <v>1</v>
      </c>
      <c r="J150" s="631"/>
      <c r="K150" s="21">
        <f t="shared" si="20"/>
        <v>1</v>
      </c>
      <c r="L150" s="631"/>
      <c r="M150" s="21">
        <f t="shared" si="21"/>
        <v>1</v>
      </c>
      <c r="N150" s="631"/>
      <c r="O150" s="21">
        <f t="shared" si="22"/>
        <v>1</v>
      </c>
      <c r="P150" s="2559"/>
      <c r="Q150" s="21">
        <f t="shared" si="23"/>
        <v>0</v>
      </c>
      <c r="R150" s="21">
        <f t="shared" si="24"/>
        <v>0</v>
      </c>
      <c r="S150" s="307">
        <f t="shared" si="15"/>
        <v>0</v>
      </c>
      <c r="T150" s="3190">
        <f>面积表!A145</f>
        <v>0</v>
      </c>
    </row>
    <row r="151" spans="1:20">
      <c r="A151" s="3169"/>
      <c r="B151" s="52"/>
      <c r="C151" s="21">
        <f t="shared" si="16"/>
        <v>1</v>
      </c>
      <c r="D151" s="2559"/>
      <c r="E151" s="21">
        <f t="shared" si="17"/>
        <v>0.02</v>
      </c>
      <c r="F151" s="2559"/>
      <c r="G151" s="21">
        <f t="shared" si="18"/>
        <v>0</v>
      </c>
      <c r="H151" s="631"/>
      <c r="I151" s="21">
        <f t="shared" si="19"/>
        <v>1</v>
      </c>
      <c r="J151" s="631"/>
      <c r="K151" s="21">
        <f t="shared" si="20"/>
        <v>1</v>
      </c>
      <c r="L151" s="631"/>
      <c r="M151" s="21">
        <f t="shared" si="21"/>
        <v>1</v>
      </c>
      <c r="N151" s="631"/>
      <c r="O151" s="21">
        <f t="shared" si="22"/>
        <v>1</v>
      </c>
      <c r="P151" s="2559"/>
      <c r="Q151" s="21">
        <f t="shared" si="23"/>
        <v>0</v>
      </c>
      <c r="R151" s="21">
        <f t="shared" si="24"/>
        <v>0</v>
      </c>
      <c r="S151" s="307">
        <f t="shared" si="15"/>
        <v>0</v>
      </c>
      <c r="T151" s="3190">
        <f>面积表!A146</f>
        <v>0</v>
      </c>
    </row>
    <row r="152" spans="1:20">
      <c r="A152" s="3169"/>
      <c r="B152" s="52"/>
      <c r="C152" s="21">
        <f t="shared" si="16"/>
        <v>1</v>
      </c>
      <c r="D152" s="2559"/>
      <c r="E152" s="21">
        <f t="shared" si="17"/>
        <v>0.02</v>
      </c>
      <c r="F152" s="2559"/>
      <c r="G152" s="21">
        <f t="shared" si="18"/>
        <v>0</v>
      </c>
      <c r="H152" s="631"/>
      <c r="I152" s="21">
        <f t="shared" si="19"/>
        <v>1</v>
      </c>
      <c r="J152" s="631"/>
      <c r="K152" s="21">
        <f t="shared" si="20"/>
        <v>1</v>
      </c>
      <c r="L152" s="631"/>
      <c r="M152" s="21">
        <f t="shared" si="21"/>
        <v>1</v>
      </c>
      <c r="N152" s="631"/>
      <c r="O152" s="21">
        <f t="shared" si="22"/>
        <v>1</v>
      </c>
      <c r="P152" s="2559"/>
      <c r="Q152" s="21">
        <f t="shared" si="23"/>
        <v>0</v>
      </c>
      <c r="R152" s="21">
        <f t="shared" si="24"/>
        <v>0</v>
      </c>
      <c r="S152" s="307">
        <f t="shared" ref="S152:S215" si="25">ROUND(R152*B152/10000,0)</f>
        <v>0</v>
      </c>
      <c r="T152" s="3190">
        <f>面积表!A147</f>
        <v>0</v>
      </c>
    </row>
    <row r="153" spans="1:20">
      <c r="A153" s="3169"/>
      <c r="B153" s="52"/>
      <c r="C153" s="21">
        <f t="shared" si="16"/>
        <v>1</v>
      </c>
      <c r="D153" s="2559"/>
      <c r="E153" s="21">
        <f t="shared" si="17"/>
        <v>0.02</v>
      </c>
      <c r="F153" s="2559"/>
      <c r="G153" s="21">
        <f t="shared" si="18"/>
        <v>0</v>
      </c>
      <c r="H153" s="631"/>
      <c r="I153" s="21">
        <f t="shared" si="19"/>
        <v>1</v>
      </c>
      <c r="J153" s="631"/>
      <c r="K153" s="21">
        <f t="shared" si="20"/>
        <v>1</v>
      </c>
      <c r="L153" s="631"/>
      <c r="M153" s="21">
        <f t="shared" si="21"/>
        <v>1</v>
      </c>
      <c r="N153" s="631"/>
      <c r="O153" s="21">
        <f t="shared" si="22"/>
        <v>1</v>
      </c>
      <c r="P153" s="2559"/>
      <c r="Q153" s="21">
        <f t="shared" si="23"/>
        <v>0</v>
      </c>
      <c r="R153" s="21">
        <f t="shared" si="24"/>
        <v>0</v>
      </c>
      <c r="S153" s="307">
        <f t="shared" si="25"/>
        <v>0</v>
      </c>
      <c r="T153" s="3190">
        <f>面积表!A148</f>
        <v>0</v>
      </c>
    </row>
    <row r="154" spans="1:20">
      <c r="A154" s="3169"/>
      <c r="B154" s="52"/>
      <c r="C154" s="21">
        <f t="shared" ref="C154:C217" si="26">IF(B154="",1,(LOOKUP(B154,$3:$3,$4:$4)-LOOKUP($B$24,$3:$3,$4:$4)+100)/100)</f>
        <v>1</v>
      </c>
      <c r="D154" s="2559"/>
      <c r="E154" s="21">
        <f t="shared" ref="E154:E217" si="27">(SUMIF($5:$5,D154,$6:$6)-SUMIF($5:$5,$D$24,$6:$6)+100)/100</f>
        <v>0.02</v>
      </c>
      <c r="F154" s="2559"/>
      <c r="G154" s="21">
        <f t="shared" ref="G154:G217" si="28">(SUMIF($7:$7,F154,$8:$8)-SUMIF($7:$7,$F$24,$8:$8)+100)/100</f>
        <v>0</v>
      </c>
      <c r="H154" s="631"/>
      <c r="I154" s="21">
        <f t="shared" ref="I154:I217" si="29">(SUMIF($9:$9,H154,$10:$10)-SUMIF($9:$9,$H$24,$10:$10)+100)/100</f>
        <v>1</v>
      </c>
      <c r="J154" s="631"/>
      <c r="K154" s="21">
        <f t="shared" ref="K154:K217" si="30">(SUMIF($11:$11,J154,$12:$12)-SUMIF($11:$11,$J$24,$12:$12)+100)/100</f>
        <v>1</v>
      </c>
      <c r="L154" s="631"/>
      <c r="M154" s="21">
        <f t="shared" ref="M154:M217" si="31">(SUMIF($13:$13,L154,$14:$14)-SUMIF($13:$13,$L$24,$14:$14)+100)/100</f>
        <v>1</v>
      </c>
      <c r="N154" s="631"/>
      <c r="O154" s="21">
        <f t="shared" ref="O154:O217" si="32">(SUMIF($15:$15,N154,$16:$16)-SUMIF($15:$15,$N$24,$16:$16)+100)/100</f>
        <v>1</v>
      </c>
      <c r="P154" s="2559"/>
      <c r="Q154" s="21">
        <f t="shared" ref="Q154:Q217" si="33">(SUMIF($17:$17,P154,$18:$18)-SUMIF($17:$17,$P$24,$18:$18)+100)/100</f>
        <v>0</v>
      </c>
      <c r="R154" s="21">
        <f t="shared" ref="R154:R217" si="34">IF(B154="",0,ROUND($R$24*C154*E154*G154*I154*K154*M154*O154*Q154,0))</f>
        <v>0</v>
      </c>
      <c r="S154" s="307">
        <f t="shared" si="25"/>
        <v>0</v>
      </c>
      <c r="T154" s="3190">
        <f>面积表!A149</f>
        <v>0</v>
      </c>
    </row>
    <row r="155" spans="1:20">
      <c r="A155" s="3169"/>
      <c r="B155" s="52"/>
      <c r="C155" s="21">
        <f t="shared" si="26"/>
        <v>1</v>
      </c>
      <c r="D155" s="2559"/>
      <c r="E155" s="21">
        <f t="shared" si="27"/>
        <v>0.02</v>
      </c>
      <c r="F155" s="2559"/>
      <c r="G155" s="21">
        <f t="shared" si="28"/>
        <v>0</v>
      </c>
      <c r="H155" s="631"/>
      <c r="I155" s="21">
        <f t="shared" si="29"/>
        <v>1</v>
      </c>
      <c r="J155" s="631"/>
      <c r="K155" s="21">
        <f t="shared" si="30"/>
        <v>1</v>
      </c>
      <c r="L155" s="631"/>
      <c r="M155" s="21">
        <f t="shared" si="31"/>
        <v>1</v>
      </c>
      <c r="N155" s="631"/>
      <c r="O155" s="21">
        <f t="shared" si="32"/>
        <v>1</v>
      </c>
      <c r="P155" s="2559"/>
      <c r="Q155" s="21">
        <f t="shared" si="33"/>
        <v>0</v>
      </c>
      <c r="R155" s="21">
        <f t="shared" si="34"/>
        <v>0</v>
      </c>
      <c r="S155" s="307">
        <f t="shared" si="25"/>
        <v>0</v>
      </c>
      <c r="T155" s="3190">
        <f>面积表!A150</f>
        <v>0</v>
      </c>
    </row>
    <row r="156" spans="1:20">
      <c r="A156" s="3169"/>
      <c r="B156" s="52"/>
      <c r="C156" s="21">
        <f t="shared" si="26"/>
        <v>1</v>
      </c>
      <c r="D156" s="2559"/>
      <c r="E156" s="21">
        <f t="shared" si="27"/>
        <v>0.02</v>
      </c>
      <c r="F156" s="2559"/>
      <c r="G156" s="21">
        <f t="shared" si="28"/>
        <v>0</v>
      </c>
      <c r="H156" s="631"/>
      <c r="I156" s="21">
        <f t="shared" si="29"/>
        <v>1</v>
      </c>
      <c r="J156" s="631"/>
      <c r="K156" s="21">
        <f t="shared" si="30"/>
        <v>1</v>
      </c>
      <c r="L156" s="631"/>
      <c r="M156" s="21">
        <f t="shared" si="31"/>
        <v>1</v>
      </c>
      <c r="N156" s="631"/>
      <c r="O156" s="21">
        <f t="shared" si="32"/>
        <v>1</v>
      </c>
      <c r="P156" s="2559"/>
      <c r="Q156" s="21">
        <f t="shared" si="33"/>
        <v>0</v>
      </c>
      <c r="R156" s="21">
        <f t="shared" si="34"/>
        <v>0</v>
      </c>
      <c r="S156" s="307">
        <f t="shared" si="25"/>
        <v>0</v>
      </c>
      <c r="T156" s="3190">
        <f>面积表!A151</f>
        <v>0</v>
      </c>
    </row>
    <row r="157" spans="1:20">
      <c r="A157" s="3169"/>
      <c r="B157" s="52"/>
      <c r="C157" s="21">
        <f t="shared" si="26"/>
        <v>1</v>
      </c>
      <c r="D157" s="2559"/>
      <c r="E157" s="21">
        <f t="shared" si="27"/>
        <v>0.02</v>
      </c>
      <c r="F157" s="2559"/>
      <c r="G157" s="21">
        <f t="shared" si="28"/>
        <v>0</v>
      </c>
      <c r="H157" s="631"/>
      <c r="I157" s="21">
        <f t="shared" si="29"/>
        <v>1</v>
      </c>
      <c r="J157" s="631"/>
      <c r="K157" s="21">
        <f t="shared" si="30"/>
        <v>1</v>
      </c>
      <c r="L157" s="631"/>
      <c r="M157" s="21">
        <f t="shared" si="31"/>
        <v>1</v>
      </c>
      <c r="N157" s="631"/>
      <c r="O157" s="21">
        <f t="shared" si="32"/>
        <v>1</v>
      </c>
      <c r="P157" s="2559"/>
      <c r="Q157" s="21">
        <f t="shared" si="33"/>
        <v>0</v>
      </c>
      <c r="R157" s="21">
        <f t="shared" si="34"/>
        <v>0</v>
      </c>
      <c r="S157" s="307">
        <f t="shared" si="25"/>
        <v>0</v>
      </c>
      <c r="T157" s="3190">
        <f>面积表!A152</f>
        <v>0</v>
      </c>
    </row>
    <row r="158" spans="1:20">
      <c r="A158" s="3169"/>
      <c r="B158" s="52"/>
      <c r="C158" s="21">
        <f t="shared" si="26"/>
        <v>1</v>
      </c>
      <c r="D158" s="2559"/>
      <c r="E158" s="21">
        <f t="shared" si="27"/>
        <v>0.02</v>
      </c>
      <c r="F158" s="2559"/>
      <c r="G158" s="21">
        <f t="shared" si="28"/>
        <v>0</v>
      </c>
      <c r="H158" s="631"/>
      <c r="I158" s="21">
        <f t="shared" si="29"/>
        <v>1</v>
      </c>
      <c r="J158" s="631"/>
      <c r="K158" s="21">
        <f t="shared" si="30"/>
        <v>1</v>
      </c>
      <c r="L158" s="631"/>
      <c r="M158" s="21">
        <f t="shared" si="31"/>
        <v>1</v>
      </c>
      <c r="N158" s="631"/>
      <c r="O158" s="21">
        <f t="shared" si="32"/>
        <v>1</v>
      </c>
      <c r="P158" s="2559"/>
      <c r="Q158" s="21">
        <f t="shared" si="33"/>
        <v>0</v>
      </c>
      <c r="R158" s="21">
        <f t="shared" si="34"/>
        <v>0</v>
      </c>
      <c r="S158" s="307">
        <f t="shared" si="25"/>
        <v>0</v>
      </c>
      <c r="T158" s="3190">
        <f>面积表!A153</f>
        <v>0</v>
      </c>
    </row>
    <row r="159" spans="1:20">
      <c r="A159" s="3169"/>
      <c r="B159" s="52"/>
      <c r="C159" s="21">
        <f t="shared" si="26"/>
        <v>1</v>
      </c>
      <c r="D159" s="2559"/>
      <c r="E159" s="21">
        <f t="shared" si="27"/>
        <v>0.02</v>
      </c>
      <c r="F159" s="2559"/>
      <c r="G159" s="21">
        <f t="shared" si="28"/>
        <v>0</v>
      </c>
      <c r="H159" s="631"/>
      <c r="I159" s="21">
        <f t="shared" si="29"/>
        <v>1</v>
      </c>
      <c r="J159" s="631"/>
      <c r="K159" s="21">
        <f t="shared" si="30"/>
        <v>1</v>
      </c>
      <c r="L159" s="631"/>
      <c r="M159" s="21">
        <f t="shared" si="31"/>
        <v>1</v>
      </c>
      <c r="N159" s="631"/>
      <c r="O159" s="21">
        <f t="shared" si="32"/>
        <v>1</v>
      </c>
      <c r="P159" s="2559"/>
      <c r="Q159" s="21">
        <f t="shared" si="33"/>
        <v>0</v>
      </c>
      <c r="R159" s="21">
        <f t="shared" si="34"/>
        <v>0</v>
      </c>
      <c r="S159" s="307">
        <f t="shared" si="25"/>
        <v>0</v>
      </c>
      <c r="T159" s="3190">
        <f>面积表!A154</f>
        <v>0</v>
      </c>
    </row>
    <row r="160" spans="1:20">
      <c r="A160" s="3169"/>
      <c r="B160" s="52"/>
      <c r="C160" s="21">
        <f t="shared" si="26"/>
        <v>1</v>
      </c>
      <c r="D160" s="2559"/>
      <c r="E160" s="21">
        <f t="shared" si="27"/>
        <v>0.02</v>
      </c>
      <c r="F160" s="2559"/>
      <c r="G160" s="21">
        <f t="shared" si="28"/>
        <v>0</v>
      </c>
      <c r="H160" s="631"/>
      <c r="I160" s="21">
        <f t="shared" si="29"/>
        <v>1</v>
      </c>
      <c r="J160" s="631"/>
      <c r="K160" s="21">
        <f t="shared" si="30"/>
        <v>1</v>
      </c>
      <c r="L160" s="631"/>
      <c r="M160" s="21">
        <f t="shared" si="31"/>
        <v>1</v>
      </c>
      <c r="N160" s="631"/>
      <c r="O160" s="21">
        <f t="shared" si="32"/>
        <v>1</v>
      </c>
      <c r="P160" s="2559"/>
      <c r="Q160" s="21">
        <f t="shared" si="33"/>
        <v>0</v>
      </c>
      <c r="R160" s="21">
        <f t="shared" si="34"/>
        <v>0</v>
      </c>
      <c r="S160" s="307">
        <f t="shared" si="25"/>
        <v>0</v>
      </c>
      <c r="T160" s="3190">
        <f>面积表!A155</f>
        <v>0</v>
      </c>
    </row>
    <row r="161" spans="1:20">
      <c r="A161" s="3169"/>
      <c r="B161" s="52"/>
      <c r="C161" s="21">
        <f t="shared" si="26"/>
        <v>1</v>
      </c>
      <c r="D161" s="2559"/>
      <c r="E161" s="21">
        <f t="shared" si="27"/>
        <v>0.02</v>
      </c>
      <c r="F161" s="2559"/>
      <c r="G161" s="21">
        <f t="shared" si="28"/>
        <v>0</v>
      </c>
      <c r="H161" s="631"/>
      <c r="I161" s="21">
        <f t="shared" si="29"/>
        <v>1</v>
      </c>
      <c r="J161" s="631"/>
      <c r="K161" s="21">
        <f t="shared" si="30"/>
        <v>1</v>
      </c>
      <c r="L161" s="631"/>
      <c r="M161" s="21">
        <f t="shared" si="31"/>
        <v>1</v>
      </c>
      <c r="N161" s="631"/>
      <c r="O161" s="21">
        <f t="shared" si="32"/>
        <v>1</v>
      </c>
      <c r="P161" s="2559"/>
      <c r="Q161" s="21">
        <f t="shared" si="33"/>
        <v>0</v>
      </c>
      <c r="R161" s="21">
        <f t="shared" si="34"/>
        <v>0</v>
      </c>
      <c r="S161" s="307">
        <f t="shared" si="25"/>
        <v>0</v>
      </c>
      <c r="T161" s="3190">
        <f>面积表!A156</f>
        <v>0</v>
      </c>
    </row>
    <row r="162" spans="1:20">
      <c r="A162" s="3169"/>
      <c r="B162" s="52"/>
      <c r="C162" s="21">
        <f t="shared" si="26"/>
        <v>1</v>
      </c>
      <c r="D162" s="2559"/>
      <c r="E162" s="21">
        <f t="shared" si="27"/>
        <v>0.02</v>
      </c>
      <c r="F162" s="2559"/>
      <c r="G162" s="21">
        <f t="shared" si="28"/>
        <v>0</v>
      </c>
      <c r="H162" s="631"/>
      <c r="I162" s="21">
        <f t="shared" si="29"/>
        <v>1</v>
      </c>
      <c r="J162" s="631"/>
      <c r="K162" s="21">
        <f t="shared" si="30"/>
        <v>1</v>
      </c>
      <c r="L162" s="631"/>
      <c r="M162" s="21">
        <f t="shared" si="31"/>
        <v>1</v>
      </c>
      <c r="N162" s="631"/>
      <c r="O162" s="21">
        <f t="shared" si="32"/>
        <v>1</v>
      </c>
      <c r="P162" s="2559"/>
      <c r="Q162" s="21">
        <f t="shared" si="33"/>
        <v>0</v>
      </c>
      <c r="R162" s="21">
        <f t="shared" si="34"/>
        <v>0</v>
      </c>
      <c r="S162" s="307">
        <f t="shared" si="25"/>
        <v>0</v>
      </c>
      <c r="T162" s="3190">
        <f>面积表!A157</f>
        <v>0</v>
      </c>
    </row>
    <row r="163" spans="1:20">
      <c r="A163" s="3169"/>
      <c r="B163" s="52"/>
      <c r="C163" s="21">
        <f t="shared" si="26"/>
        <v>1</v>
      </c>
      <c r="D163" s="2559"/>
      <c r="E163" s="21">
        <f t="shared" si="27"/>
        <v>0.02</v>
      </c>
      <c r="F163" s="2559"/>
      <c r="G163" s="21">
        <f t="shared" si="28"/>
        <v>0</v>
      </c>
      <c r="H163" s="631"/>
      <c r="I163" s="21">
        <f t="shared" si="29"/>
        <v>1</v>
      </c>
      <c r="J163" s="631"/>
      <c r="K163" s="21">
        <f t="shared" si="30"/>
        <v>1</v>
      </c>
      <c r="L163" s="631"/>
      <c r="M163" s="21">
        <f t="shared" si="31"/>
        <v>1</v>
      </c>
      <c r="N163" s="631"/>
      <c r="O163" s="21">
        <f t="shared" si="32"/>
        <v>1</v>
      </c>
      <c r="P163" s="2559"/>
      <c r="Q163" s="21">
        <f t="shared" si="33"/>
        <v>0</v>
      </c>
      <c r="R163" s="21">
        <f t="shared" si="34"/>
        <v>0</v>
      </c>
      <c r="S163" s="307">
        <f t="shared" si="25"/>
        <v>0</v>
      </c>
      <c r="T163" s="3190">
        <f>面积表!A158</f>
        <v>0</v>
      </c>
    </row>
    <row r="164" spans="1:20">
      <c r="A164" s="3169"/>
      <c r="B164" s="52"/>
      <c r="C164" s="21">
        <f t="shared" si="26"/>
        <v>1</v>
      </c>
      <c r="D164" s="2559"/>
      <c r="E164" s="21">
        <f t="shared" si="27"/>
        <v>0.02</v>
      </c>
      <c r="F164" s="2559"/>
      <c r="G164" s="21">
        <f t="shared" si="28"/>
        <v>0</v>
      </c>
      <c r="H164" s="631"/>
      <c r="I164" s="21">
        <f t="shared" si="29"/>
        <v>1</v>
      </c>
      <c r="J164" s="631"/>
      <c r="K164" s="21">
        <f t="shared" si="30"/>
        <v>1</v>
      </c>
      <c r="L164" s="631"/>
      <c r="M164" s="21">
        <f t="shared" si="31"/>
        <v>1</v>
      </c>
      <c r="N164" s="631"/>
      <c r="O164" s="21">
        <f t="shared" si="32"/>
        <v>1</v>
      </c>
      <c r="P164" s="2559"/>
      <c r="Q164" s="21">
        <f t="shared" si="33"/>
        <v>0</v>
      </c>
      <c r="R164" s="21">
        <f t="shared" si="34"/>
        <v>0</v>
      </c>
      <c r="S164" s="307">
        <f t="shared" si="25"/>
        <v>0</v>
      </c>
      <c r="T164" s="3190">
        <f>面积表!A159</f>
        <v>0</v>
      </c>
    </row>
    <row r="165" spans="1:20">
      <c r="A165" s="3169"/>
      <c r="B165" s="52"/>
      <c r="C165" s="21">
        <f t="shared" si="26"/>
        <v>1</v>
      </c>
      <c r="D165" s="2559"/>
      <c r="E165" s="21">
        <f t="shared" si="27"/>
        <v>0.02</v>
      </c>
      <c r="F165" s="2559"/>
      <c r="G165" s="21">
        <f t="shared" si="28"/>
        <v>0</v>
      </c>
      <c r="H165" s="631"/>
      <c r="I165" s="21">
        <f t="shared" si="29"/>
        <v>1</v>
      </c>
      <c r="J165" s="631"/>
      <c r="K165" s="21">
        <f t="shared" si="30"/>
        <v>1</v>
      </c>
      <c r="L165" s="631"/>
      <c r="M165" s="21">
        <f t="shared" si="31"/>
        <v>1</v>
      </c>
      <c r="N165" s="631"/>
      <c r="O165" s="21">
        <f t="shared" si="32"/>
        <v>1</v>
      </c>
      <c r="P165" s="2559"/>
      <c r="Q165" s="21">
        <f t="shared" si="33"/>
        <v>0</v>
      </c>
      <c r="R165" s="21">
        <f t="shared" si="34"/>
        <v>0</v>
      </c>
      <c r="S165" s="307">
        <f t="shared" si="25"/>
        <v>0</v>
      </c>
      <c r="T165" s="3190">
        <f>面积表!A160</f>
        <v>0</v>
      </c>
    </row>
    <row r="166" spans="1:20">
      <c r="A166" s="3169"/>
      <c r="B166" s="52"/>
      <c r="C166" s="21">
        <f t="shared" si="26"/>
        <v>1</v>
      </c>
      <c r="D166" s="2559"/>
      <c r="E166" s="21">
        <f t="shared" si="27"/>
        <v>0.02</v>
      </c>
      <c r="F166" s="2559"/>
      <c r="G166" s="21">
        <f t="shared" si="28"/>
        <v>0</v>
      </c>
      <c r="H166" s="631"/>
      <c r="I166" s="21">
        <f t="shared" si="29"/>
        <v>1</v>
      </c>
      <c r="J166" s="631"/>
      <c r="K166" s="21">
        <f t="shared" si="30"/>
        <v>1</v>
      </c>
      <c r="L166" s="631"/>
      <c r="M166" s="21">
        <f t="shared" si="31"/>
        <v>1</v>
      </c>
      <c r="N166" s="631"/>
      <c r="O166" s="21">
        <f t="shared" si="32"/>
        <v>1</v>
      </c>
      <c r="P166" s="2559"/>
      <c r="Q166" s="21">
        <f t="shared" si="33"/>
        <v>0</v>
      </c>
      <c r="R166" s="21">
        <f t="shared" si="34"/>
        <v>0</v>
      </c>
      <c r="S166" s="307">
        <f t="shared" si="25"/>
        <v>0</v>
      </c>
      <c r="T166" s="3190">
        <f>面积表!A161</f>
        <v>0</v>
      </c>
    </row>
    <row r="167" spans="1:20">
      <c r="A167" s="3169"/>
      <c r="B167" s="52"/>
      <c r="C167" s="21">
        <f t="shared" si="26"/>
        <v>1</v>
      </c>
      <c r="D167" s="2559"/>
      <c r="E167" s="21">
        <f t="shared" si="27"/>
        <v>0.02</v>
      </c>
      <c r="F167" s="2559"/>
      <c r="G167" s="21">
        <f t="shared" si="28"/>
        <v>0</v>
      </c>
      <c r="H167" s="631"/>
      <c r="I167" s="21">
        <f t="shared" si="29"/>
        <v>1</v>
      </c>
      <c r="J167" s="631"/>
      <c r="K167" s="21">
        <f t="shared" si="30"/>
        <v>1</v>
      </c>
      <c r="L167" s="631"/>
      <c r="M167" s="21">
        <f t="shared" si="31"/>
        <v>1</v>
      </c>
      <c r="N167" s="631"/>
      <c r="O167" s="21">
        <f t="shared" si="32"/>
        <v>1</v>
      </c>
      <c r="P167" s="2559"/>
      <c r="Q167" s="21">
        <f t="shared" si="33"/>
        <v>0</v>
      </c>
      <c r="R167" s="21">
        <f t="shared" si="34"/>
        <v>0</v>
      </c>
      <c r="S167" s="307">
        <f t="shared" si="25"/>
        <v>0</v>
      </c>
      <c r="T167" s="3190">
        <f>面积表!A162</f>
        <v>0</v>
      </c>
    </row>
    <row r="168" spans="1:20">
      <c r="A168" s="3169"/>
      <c r="B168" s="52"/>
      <c r="C168" s="21">
        <f t="shared" si="26"/>
        <v>1</v>
      </c>
      <c r="D168" s="2559"/>
      <c r="E168" s="21">
        <f t="shared" si="27"/>
        <v>0.02</v>
      </c>
      <c r="F168" s="2559"/>
      <c r="G168" s="21">
        <f t="shared" si="28"/>
        <v>0</v>
      </c>
      <c r="H168" s="631"/>
      <c r="I168" s="21">
        <f t="shared" si="29"/>
        <v>1</v>
      </c>
      <c r="J168" s="631"/>
      <c r="K168" s="21">
        <f t="shared" si="30"/>
        <v>1</v>
      </c>
      <c r="L168" s="631"/>
      <c r="M168" s="21">
        <f t="shared" si="31"/>
        <v>1</v>
      </c>
      <c r="N168" s="631"/>
      <c r="O168" s="21">
        <f t="shared" si="32"/>
        <v>1</v>
      </c>
      <c r="P168" s="2559"/>
      <c r="Q168" s="21">
        <f t="shared" si="33"/>
        <v>0</v>
      </c>
      <c r="R168" s="21">
        <f t="shared" si="34"/>
        <v>0</v>
      </c>
      <c r="S168" s="307">
        <f t="shared" si="25"/>
        <v>0</v>
      </c>
      <c r="T168" s="3190">
        <f>面积表!A163</f>
        <v>0</v>
      </c>
    </row>
    <row r="169" spans="1:20">
      <c r="A169" s="3169"/>
      <c r="B169" s="52"/>
      <c r="C169" s="21">
        <f t="shared" si="26"/>
        <v>1</v>
      </c>
      <c r="D169" s="2559"/>
      <c r="E169" s="21">
        <f t="shared" si="27"/>
        <v>0.02</v>
      </c>
      <c r="F169" s="2559"/>
      <c r="G169" s="21">
        <f t="shared" si="28"/>
        <v>0</v>
      </c>
      <c r="H169" s="631"/>
      <c r="I169" s="21">
        <f t="shared" si="29"/>
        <v>1</v>
      </c>
      <c r="J169" s="631"/>
      <c r="K169" s="21">
        <f t="shared" si="30"/>
        <v>1</v>
      </c>
      <c r="L169" s="631"/>
      <c r="M169" s="21">
        <f t="shared" si="31"/>
        <v>1</v>
      </c>
      <c r="N169" s="631"/>
      <c r="O169" s="21">
        <f t="shared" si="32"/>
        <v>1</v>
      </c>
      <c r="P169" s="2559"/>
      <c r="Q169" s="21">
        <f t="shared" si="33"/>
        <v>0</v>
      </c>
      <c r="R169" s="21">
        <f t="shared" si="34"/>
        <v>0</v>
      </c>
      <c r="S169" s="307">
        <f t="shared" si="25"/>
        <v>0</v>
      </c>
      <c r="T169" s="3190">
        <f>面积表!A164</f>
        <v>0</v>
      </c>
    </row>
    <row r="170" spans="1:20">
      <c r="A170" s="3169"/>
      <c r="B170" s="52"/>
      <c r="C170" s="21">
        <f t="shared" si="26"/>
        <v>1</v>
      </c>
      <c r="D170" s="2559"/>
      <c r="E170" s="21">
        <f t="shared" si="27"/>
        <v>0.02</v>
      </c>
      <c r="F170" s="2559"/>
      <c r="G170" s="21">
        <f t="shared" si="28"/>
        <v>0</v>
      </c>
      <c r="H170" s="631"/>
      <c r="I170" s="21">
        <f t="shared" si="29"/>
        <v>1</v>
      </c>
      <c r="J170" s="631"/>
      <c r="K170" s="21">
        <f t="shared" si="30"/>
        <v>1</v>
      </c>
      <c r="L170" s="631"/>
      <c r="M170" s="21">
        <f t="shared" si="31"/>
        <v>1</v>
      </c>
      <c r="N170" s="631"/>
      <c r="O170" s="21">
        <f t="shared" si="32"/>
        <v>1</v>
      </c>
      <c r="P170" s="2559"/>
      <c r="Q170" s="21">
        <f t="shared" si="33"/>
        <v>0</v>
      </c>
      <c r="R170" s="21">
        <f t="shared" si="34"/>
        <v>0</v>
      </c>
      <c r="S170" s="307">
        <f t="shared" si="25"/>
        <v>0</v>
      </c>
      <c r="T170" s="3190">
        <f>面积表!A165</f>
        <v>0</v>
      </c>
    </row>
    <row r="171" spans="1:20">
      <c r="A171" s="3169"/>
      <c r="B171" s="52"/>
      <c r="C171" s="21">
        <f t="shared" si="26"/>
        <v>1</v>
      </c>
      <c r="D171" s="2559"/>
      <c r="E171" s="21">
        <f t="shared" si="27"/>
        <v>0.02</v>
      </c>
      <c r="F171" s="2559"/>
      <c r="G171" s="21">
        <f t="shared" si="28"/>
        <v>0</v>
      </c>
      <c r="H171" s="631"/>
      <c r="I171" s="21">
        <f t="shared" si="29"/>
        <v>1</v>
      </c>
      <c r="J171" s="631"/>
      <c r="K171" s="21">
        <f t="shared" si="30"/>
        <v>1</v>
      </c>
      <c r="L171" s="631"/>
      <c r="M171" s="21">
        <f t="shared" si="31"/>
        <v>1</v>
      </c>
      <c r="N171" s="631"/>
      <c r="O171" s="21">
        <f t="shared" si="32"/>
        <v>1</v>
      </c>
      <c r="P171" s="2559"/>
      <c r="Q171" s="21">
        <f t="shared" si="33"/>
        <v>0</v>
      </c>
      <c r="R171" s="21">
        <f t="shared" si="34"/>
        <v>0</v>
      </c>
      <c r="S171" s="307">
        <f t="shared" si="25"/>
        <v>0</v>
      </c>
      <c r="T171" s="3190">
        <f>面积表!A166</f>
        <v>0</v>
      </c>
    </row>
    <row r="172" spans="1:20">
      <c r="A172" s="3169"/>
      <c r="B172" s="52"/>
      <c r="C172" s="21">
        <f t="shared" si="26"/>
        <v>1</v>
      </c>
      <c r="D172" s="2559"/>
      <c r="E172" s="21">
        <f t="shared" si="27"/>
        <v>0.02</v>
      </c>
      <c r="F172" s="2559"/>
      <c r="G172" s="21">
        <f t="shared" si="28"/>
        <v>0</v>
      </c>
      <c r="H172" s="631"/>
      <c r="I172" s="21">
        <f t="shared" si="29"/>
        <v>1</v>
      </c>
      <c r="J172" s="631"/>
      <c r="K172" s="21">
        <f t="shared" si="30"/>
        <v>1</v>
      </c>
      <c r="L172" s="631"/>
      <c r="M172" s="21">
        <f t="shared" si="31"/>
        <v>1</v>
      </c>
      <c r="N172" s="631"/>
      <c r="O172" s="21">
        <f t="shared" si="32"/>
        <v>1</v>
      </c>
      <c r="P172" s="2559"/>
      <c r="Q172" s="21">
        <f t="shared" si="33"/>
        <v>0</v>
      </c>
      <c r="R172" s="21">
        <f t="shared" si="34"/>
        <v>0</v>
      </c>
      <c r="S172" s="307">
        <f t="shared" si="25"/>
        <v>0</v>
      </c>
      <c r="T172" s="3190">
        <f>面积表!A167</f>
        <v>0</v>
      </c>
    </row>
    <row r="173" spans="1:20">
      <c r="A173" s="3169"/>
      <c r="B173" s="52"/>
      <c r="C173" s="21">
        <f t="shared" si="26"/>
        <v>1</v>
      </c>
      <c r="D173" s="2559"/>
      <c r="E173" s="21">
        <f t="shared" si="27"/>
        <v>0.02</v>
      </c>
      <c r="F173" s="2559"/>
      <c r="G173" s="21">
        <f t="shared" si="28"/>
        <v>0</v>
      </c>
      <c r="H173" s="631"/>
      <c r="I173" s="21">
        <f t="shared" si="29"/>
        <v>1</v>
      </c>
      <c r="J173" s="631"/>
      <c r="K173" s="21">
        <f t="shared" si="30"/>
        <v>1</v>
      </c>
      <c r="L173" s="631"/>
      <c r="M173" s="21">
        <f t="shared" si="31"/>
        <v>1</v>
      </c>
      <c r="N173" s="631"/>
      <c r="O173" s="21">
        <f t="shared" si="32"/>
        <v>1</v>
      </c>
      <c r="P173" s="2559"/>
      <c r="Q173" s="21">
        <f t="shared" si="33"/>
        <v>0</v>
      </c>
      <c r="R173" s="21">
        <f t="shared" si="34"/>
        <v>0</v>
      </c>
      <c r="S173" s="307">
        <f t="shared" si="25"/>
        <v>0</v>
      </c>
      <c r="T173" s="3190">
        <f>面积表!A168</f>
        <v>0</v>
      </c>
    </row>
    <row r="174" spans="1:20">
      <c r="A174" s="3169"/>
      <c r="B174" s="52"/>
      <c r="C174" s="21">
        <f t="shared" si="26"/>
        <v>1</v>
      </c>
      <c r="D174" s="2559"/>
      <c r="E174" s="21">
        <f t="shared" si="27"/>
        <v>0.02</v>
      </c>
      <c r="F174" s="2559"/>
      <c r="G174" s="21">
        <f t="shared" si="28"/>
        <v>0</v>
      </c>
      <c r="H174" s="631"/>
      <c r="I174" s="21">
        <f t="shared" si="29"/>
        <v>1</v>
      </c>
      <c r="J174" s="631"/>
      <c r="K174" s="21">
        <f t="shared" si="30"/>
        <v>1</v>
      </c>
      <c r="L174" s="631"/>
      <c r="M174" s="21">
        <f t="shared" si="31"/>
        <v>1</v>
      </c>
      <c r="N174" s="631"/>
      <c r="O174" s="21">
        <f t="shared" si="32"/>
        <v>1</v>
      </c>
      <c r="P174" s="2559"/>
      <c r="Q174" s="21">
        <f t="shared" si="33"/>
        <v>0</v>
      </c>
      <c r="R174" s="21">
        <f t="shared" si="34"/>
        <v>0</v>
      </c>
      <c r="S174" s="307">
        <f t="shared" si="25"/>
        <v>0</v>
      </c>
      <c r="T174" s="3190">
        <f>面积表!A169</f>
        <v>0</v>
      </c>
    </row>
    <row r="175" spans="1:20">
      <c r="A175" s="3169"/>
      <c r="B175" s="52"/>
      <c r="C175" s="21">
        <f t="shared" si="26"/>
        <v>1</v>
      </c>
      <c r="D175" s="2559"/>
      <c r="E175" s="21">
        <f t="shared" si="27"/>
        <v>0.02</v>
      </c>
      <c r="F175" s="2559"/>
      <c r="G175" s="21">
        <f t="shared" si="28"/>
        <v>0</v>
      </c>
      <c r="H175" s="631"/>
      <c r="I175" s="21">
        <f t="shared" si="29"/>
        <v>1</v>
      </c>
      <c r="J175" s="631"/>
      <c r="K175" s="21">
        <f t="shared" si="30"/>
        <v>1</v>
      </c>
      <c r="L175" s="631"/>
      <c r="M175" s="21">
        <f t="shared" si="31"/>
        <v>1</v>
      </c>
      <c r="N175" s="631"/>
      <c r="O175" s="21">
        <f t="shared" si="32"/>
        <v>1</v>
      </c>
      <c r="P175" s="2559"/>
      <c r="Q175" s="21">
        <f t="shared" si="33"/>
        <v>0</v>
      </c>
      <c r="R175" s="21">
        <f t="shared" si="34"/>
        <v>0</v>
      </c>
      <c r="S175" s="307">
        <f t="shared" si="25"/>
        <v>0</v>
      </c>
      <c r="T175" s="3190">
        <f>面积表!A170</f>
        <v>0</v>
      </c>
    </row>
    <row r="176" spans="1:20">
      <c r="A176" s="3169"/>
      <c r="B176" s="52"/>
      <c r="C176" s="21">
        <f t="shared" si="26"/>
        <v>1</v>
      </c>
      <c r="D176" s="2559"/>
      <c r="E176" s="21">
        <f t="shared" si="27"/>
        <v>0.02</v>
      </c>
      <c r="F176" s="2559"/>
      <c r="G176" s="21">
        <f t="shared" si="28"/>
        <v>0</v>
      </c>
      <c r="H176" s="631"/>
      <c r="I176" s="21">
        <f t="shared" si="29"/>
        <v>1</v>
      </c>
      <c r="J176" s="631"/>
      <c r="K176" s="21">
        <f t="shared" si="30"/>
        <v>1</v>
      </c>
      <c r="L176" s="631"/>
      <c r="M176" s="21">
        <f t="shared" si="31"/>
        <v>1</v>
      </c>
      <c r="N176" s="631"/>
      <c r="O176" s="21">
        <f t="shared" si="32"/>
        <v>1</v>
      </c>
      <c r="P176" s="2559"/>
      <c r="Q176" s="21">
        <f t="shared" si="33"/>
        <v>0</v>
      </c>
      <c r="R176" s="21">
        <f t="shared" si="34"/>
        <v>0</v>
      </c>
      <c r="S176" s="307">
        <f t="shared" si="25"/>
        <v>0</v>
      </c>
      <c r="T176" s="3190">
        <f>面积表!A171</f>
        <v>0</v>
      </c>
    </row>
    <row r="177" spans="1:20">
      <c r="A177" s="3169"/>
      <c r="B177" s="52"/>
      <c r="C177" s="21">
        <f t="shared" si="26"/>
        <v>1</v>
      </c>
      <c r="D177" s="2559"/>
      <c r="E177" s="21">
        <f t="shared" si="27"/>
        <v>0.02</v>
      </c>
      <c r="F177" s="2559"/>
      <c r="G177" s="21">
        <f t="shared" si="28"/>
        <v>0</v>
      </c>
      <c r="H177" s="631"/>
      <c r="I177" s="21">
        <f t="shared" si="29"/>
        <v>1</v>
      </c>
      <c r="J177" s="631"/>
      <c r="K177" s="21">
        <f t="shared" si="30"/>
        <v>1</v>
      </c>
      <c r="L177" s="631"/>
      <c r="M177" s="21">
        <f t="shared" si="31"/>
        <v>1</v>
      </c>
      <c r="N177" s="631"/>
      <c r="O177" s="21">
        <f t="shared" si="32"/>
        <v>1</v>
      </c>
      <c r="P177" s="2559"/>
      <c r="Q177" s="21">
        <f t="shared" si="33"/>
        <v>0</v>
      </c>
      <c r="R177" s="21">
        <f t="shared" si="34"/>
        <v>0</v>
      </c>
      <c r="S177" s="307">
        <f t="shared" si="25"/>
        <v>0</v>
      </c>
      <c r="T177" s="3190">
        <f>面积表!A172</f>
        <v>0</v>
      </c>
    </row>
    <row r="178" spans="1:20">
      <c r="A178" s="3169"/>
      <c r="B178" s="52"/>
      <c r="C178" s="21">
        <f t="shared" si="26"/>
        <v>1</v>
      </c>
      <c r="D178" s="2559"/>
      <c r="E178" s="21">
        <f t="shared" si="27"/>
        <v>0.02</v>
      </c>
      <c r="F178" s="2559"/>
      <c r="G178" s="21">
        <f t="shared" si="28"/>
        <v>0</v>
      </c>
      <c r="H178" s="631"/>
      <c r="I178" s="21">
        <f t="shared" si="29"/>
        <v>1</v>
      </c>
      <c r="J178" s="631"/>
      <c r="K178" s="21">
        <f t="shared" si="30"/>
        <v>1</v>
      </c>
      <c r="L178" s="631"/>
      <c r="M178" s="21">
        <f t="shared" si="31"/>
        <v>1</v>
      </c>
      <c r="N178" s="631"/>
      <c r="O178" s="21">
        <f t="shared" si="32"/>
        <v>1</v>
      </c>
      <c r="P178" s="2559"/>
      <c r="Q178" s="21">
        <f t="shared" si="33"/>
        <v>0</v>
      </c>
      <c r="R178" s="21">
        <f t="shared" si="34"/>
        <v>0</v>
      </c>
      <c r="S178" s="307">
        <f t="shared" si="25"/>
        <v>0</v>
      </c>
      <c r="T178" s="3190">
        <f>面积表!A173</f>
        <v>0</v>
      </c>
    </row>
    <row r="179" spans="1:20">
      <c r="A179" s="3169"/>
      <c r="B179" s="52"/>
      <c r="C179" s="21">
        <f t="shared" si="26"/>
        <v>1</v>
      </c>
      <c r="D179" s="2559"/>
      <c r="E179" s="21">
        <f t="shared" si="27"/>
        <v>0.02</v>
      </c>
      <c r="F179" s="2559"/>
      <c r="G179" s="21">
        <f t="shared" si="28"/>
        <v>0</v>
      </c>
      <c r="H179" s="631"/>
      <c r="I179" s="21">
        <f t="shared" si="29"/>
        <v>1</v>
      </c>
      <c r="J179" s="631"/>
      <c r="K179" s="21">
        <f t="shared" si="30"/>
        <v>1</v>
      </c>
      <c r="L179" s="631"/>
      <c r="M179" s="21">
        <f t="shared" si="31"/>
        <v>1</v>
      </c>
      <c r="N179" s="631"/>
      <c r="O179" s="21">
        <f t="shared" si="32"/>
        <v>1</v>
      </c>
      <c r="P179" s="2559"/>
      <c r="Q179" s="21">
        <f t="shared" si="33"/>
        <v>0</v>
      </c>
      <c r="R179" s="21">
        <f t="shared" si="34"/>
        <v>0</v>
      </c>
      <c r="S179" s="307">
        <f t="shared" si="25"/>
        <v>0</v>
      </c>
      <c r="T179" s="3190">
        <f>面积表!A174</f>
        <v>0</v>
      </c>
    </row>
    <row r="180" spans="1:20">
      <c r="A180" s="3169"/>
      <c r="B180" s="52"/>
      <c r="C180" s="21">
        <f t="shared" si="26"/>
        <v>1</v>
      </c>
      <c r="D180" s="2559"/>
      <c r="E180" s="21">
        <f t="shared" si="27"/>
        <v>0.02</v>
      </c>
      <c r="F180" s="2559"/>
      <c r="G180" s="21">
        <f t="shared" si="28"/>
        <v>0</v>
      </c>
      <c r="H180" s="631"/>
      <c r="I180" s="21">
        <f t="shared" si="29"/>
        <v>1</v>
      </c>
      <c r="J180" s="631"/>
      <c r="K180" s="21">
        <f t="shared" si="30"/>
        <v>1</v>
      </c>
      <c r="L180" s="631"/>
      <c r="M180" s="21">
        <f t="shared" si="31"/>
        <v>1</v>
      </c>
      <c r="N180" s="631"/>
      <c r="O180" s="21">
        <f t="shared" si="32"/>
        <v>1</v>
      </c>
      <c r="P180" s="2559"/>
      <c r="Q180" s="21">
        <f t="shared" si="33"/>
        <v>0</v>
      </c>
      <c r="R180" s="21">
        <f t="shared" si="34"/>
        <v>0</v>
      </c>
      <c r="S180" s="307">
        <f t="shared" si="25"/>
        <v>0</v>
      </c>
      <c r="T180" s="3190">
        <f>面积表!A175</f>
        <v>0</v>
      </c>
    </row>
    <row r="181" spans="1:20">
      <c r="A181" s="3169"/>
      <c r="B181" s="52"/>
      <c r="C181" s="21">
        <f t="shared" si="26"/>
        <v>1</v>
      </c>
      <c r="D181" s="2559"/>
      <c r="E181" s="21">
        <f t="shared" si="27"/>
        <v>0.02</v>
      </c>
      <c r="F181" s="2559"/>
      <c r="G181" s="21">
        <f t="shared" si="28"/>
        <v>0</v>
      </c>
      <c r="H181" s="631"/>
      <c r="I181" s="21">
        <f t="shared" si="29"/>
        <v>1</v>
      </c>
      <c r="J181" s="631"/>
      <c r="K181" s="21">
        <f t="shared" si="30"/>
        <v>1</v>
      </c>
      <c r="L181" s="631"/>
      <c r="M181" s="21">
        <f t="shared" si="31"/>
        <v>1</v>
      </c>
      <c r="N181" s="631"/>
      <c r="O181" s="21">
        <f t="shared" si="32"/>
        <v>1</v>
      </c>
      <c r="P181" s="2559"/>
      <c r="Q181" s="21">
        <f t="shared" si="33"/>
        <v>0</v>
      </c>
      <c r="R181" s="21">
        <f t="shared" si="34"/>
        <v>0</v>
      </c>
      <c r="S181" s="307">
        <f t="shared" si="25"/>
        <v>0</v>
      </c>
      <c r="T181" s="3190">
        <f>面积表!A176</f>
        <v>0</v>
      </c>
    </row>
    <row r="182" spans="1:20">
      <c r="A182" s="3169"/>
      <c r="B182" s="52"/>
      <c r="C182" s="21">
        <f t="shared" si="26"/>
        <v>1</v>
      </c>
      <c r="D182" s="2559"/>
      <c r="E182" s="21">
        <f t="shared" si="27"/>
        <v>0.02</v>
      </c>
      <c r="F182" s="2559"/>
      <c r="G182" s="21">
        <f t="shared" si="28"/>
        <v>0</v>
      </c>
      <c r="H182" s="631"/>
      <c r="I182" s="21">
        <f t="shared" si="29"/>
        <v>1</v>
      </c>
      <c r="J182" s="631"/>
      <c r="K182" s="21">
        <f t="shared" si="30"/>
        <v>1</v>
      </c>
      <c r="L182" s="631"/>
      <c r="M182" s="21">
        <f t="shared" si="31"/>
        <v>1</v>
      </c>
      <c r="N182" s="631"/>
      <c r="O182" s="21">
        <f t="shared" si="32"/>
        <v>1</v>
      </c>
      <c r="P182" s="2559"/>
      <c r="Q182" s="21">
        <f t="shared" si="33"/>
        <v>0</v>
      </c>
      <c r="R182" s="21">
        <f t="shared" si="34"/>
        <v>0</v>
      </c>
      <c r="S182" s="307">
        <f t="shared" si="25"/>
        <v>0</v>
      </c>
      <c r="T182" s="3190">
        <f>面积表!A177</f>
        <v>0</v>
      </c>
    </row>
    <row r="183" spans="1:20">
      <c r="A183" s="3169"/>
      <c r="B183" s="52"/>
      <c r="C183" s="21">
        <f t="shared" si="26"/>
        <v>1</v>
      </c>
      <c r="D183" s="2559"/>
      <c r="E183" s="21">
        <f t="shared" si="27"/>
        <v>0.02</v>
      </c>
      <c r="F183" s="2559"/>
      <c r="G183" s="21">
        <f t="shared" si="28"/>
        <v>0</v>
      </c>
      <c r="H183" s="631"/>
      <c r="I183" s="21">
        <f t="shared" si="29"/>
        <v>1</v>
      </c>
      <c r="J183" s="631"/>
      <c r="K183" s="21">
        <f t="shared" si="30"/>
        <v>1</v>
      </c>
      <c r="L183" s="631"/>
      <c r="M183" s="21">
        <f t="shared" si="31"/>
        <v>1</v>
      </c>
      <c r="N183" s="631"/>
      <c r="O183" s="21">
        <f t="shared" si="32"/>
        <v>1</v>
      </c>
      <c r="P183" s="2559"/>
      <c r="Q183" s="21">
        <f t="shared" si="33"/>
        <v>0</v>
      </c>
      <c r="R183" s="21">
        <f t="shared" si="34"/>
        <v>0</v>
      </c>
      <c r="S183" s="307">
        <f t="shared" si="25"/>
        <v>0</v>
      </c>
      <c r="T183" s="3190">
        <f>面积表!A178</f>
        <v>0</v>
      </c>
    </row>
    <row r="184" spans="1:20">
      <c r="A184" s="3169"/>
      <c r="B184" s="52"/>
      <c r="C184" s="21">
        <f t="shared" si="26"/>
        <v>1</v>
      </c>
      <c r="D184" s="2559"/>
      <c r="E184" s="21">
        <f t="shared" si="27"/>
        <v>0.02</v>
      </c>
      <c r="F184" s="2559"/>
      <c r="G184" s="21">
        <f t="shared" si="28"/>
        <v>0</v>
      </c>
      <c r="H184" s="631"/>
      <c r="I184" s="21">
        <f t="shared" si="29"/>
        <v>1</v>
      </c>
      <c r="J184" s="631"/>
      <c r="K184" s="21">
        <f t="shared" si="30"/>
        <v>1</v>
      </c>
      <c r="L184" s="631"/>
      <c r="M184" s="21">
        <f t="shared" si="31"/>
        <v>1</v>
      </c>
      <c r="N184" s="631"/>
      <c r="O184" s="21">
        <f t="shared" si="32"/>
        <v>1</v>
      </c>
      <c r="P184" s="2559"/>
      <c r="Q184" s="21">
        <f t="shared" si="33"/>
        <v>0</v>
      </c>
      <c r="R184" s="21">
        <f t="shared" si="34"/>
        <v>0</v>
      </c>
      <c r="S184" s="307">
        <f t="shared" si="25"/>
        <v>0</v>
      </c>
      <c r="T184" s="3190">
        <f>面积表!A179</f>
        <v>0</v>
      </c>
    </row>
    <row r="185" spans="1:20">
      <c r="A185" s="3169"/>
      <c r="B185" s="52"/>
      <c r="C185" s="21">
        <f t="shared" si="26"/>
        <v>1</v>
      </c>
      <c r="D185" s="2559"/>
      <c r="E185" s="21">
        <f t="shared" si="27"/>
        <v>0.02</v>
      </c>
      <c r="F185" s="2559"/>
      <c r="G185" s="21">
        <f t="shared" si="28"/>
        <v>0</v>
      </c>
      <c r="H185" s="631"/>
      <c r="I185" s="21">
        <f t="shared" si="29"/>
        <v>1</v>
      </c>
      <c r="J185" s="631"/>
      <c r="K185" s="21">
        <f t="shared" si="30"/>
        <v>1</v>
      </c>
      <c r="L185" s="631"/>
      <c r="M185" s="21">
        <f t="shared" si="31"/>
        <v>1</v>
      </c>
      <c r="N185" s="631"/>
      <c r="O185" s="21">
        <f t="shared" si="32"/>
        <v>1</v>
      </c>
      <c r="P185" s="2559"/>
      <c r="Q185" s="21">
        <f t="shared" si="33"/>
        <v>0</v>
      </c>
      <c r="R185" s="21">
        <f t="shared" si="34"/>
        <v>0</v>
      </c>
      <c r="S185" s="307">
        <f t="shared" si="25"/>
        <v>0</v>
      </c>
      <c r="T185" s="3190">
        <f>面积表!A180</f>
        <v>0</v>
      </c>
    </row>
    <row r="186" spans="1:20">
      <c r="A186" s="3169"/>
      <c r="B186" s="52"/>
      <c r="C186" s="21">
        <f t="shared" si="26"/>
        <v>1</v>
      </c>
      <c r="D186" s="2559"/>
      <c r="E186" s="21">
        <f t="shared" si="27"/>
        <v>0.02</v>
      </c>
      <c r="F186" s="2559"/>
      <c r="G186" s="21">
        <f t="shared" si="28"/>
        <v>0</v>
      </c>
      <c r="H186" s="631"/>
      <c r="I186" s="21">
        <f t="shared" si="29"/>
        <v>1</v>
      </c>
      <c r="J186" s="631"/>
      <c r="K186" s="21">
        <f t="shared" si="30"/>
        <v>1</v>
      </c>
      <c r="L186" s="631"/>
      <c r="M186" s="21">
        <f t="shared" si="31"/>
        <v>1</v>
      </c>
      <c r="N186" s="631"/>
      <c r="O186" s="21">
        <f t="shared" si="32"/>
        <v>1</v>
      </c>
      <c r="P186" s="2559"/>
      <c r="Q186" s="21">
        <f t="shared" si="33"/>
        <v>0</v>
      </c>
      <c r="R186" s="21">
        <f t="shared" si="34"/>
        <v>0</v>
      </c>
      <c r="S186" s="307">
        <f t="shared" si="25"/>
        <v>0</v>
      </c>
      <c r="T186" s="3190">
        <f>面积表!A181</f>
        <v>0</v>
      </c>
    </row>
    <row r="187" spans="1:20">
      <c r="A187" s="3169"/>
      <c r="B187" s="52"/>
      <c r="C187" s="21">
        <f t="shared" si="26"/>
        <v>1</v>
      </c>
      <c r="D187" s="2559"/>
      <c r="E187" s="21">
        <f t="shared" si="27"/>
        <v>0.02</v>
      </c>
      <c r="F187" s="2559"/>
      <c r="G187" s="21">
        <f t="shared" si="28"/>
        <v>0</v>
      </c>
      <c r="H187" s="631"/>
      <c r="I187" s="21">
        <f t="shared" si="29"/>
        <v>1</v>
      </c>
      <c r="J187" s="631"/>
      <c r="K187" s="21">
        <f t="shared" si="30"/>
        <v>1</v>
      </c>
      <c r="L187" s="631"/>
      <c r="M187" s="21">
        <f t="shared" si="31"/>
        <v>1</v>
      </c>
      <c r="N187" s="631"/>
      <c r="O187" s="21">
        <f t="shared" si="32"/>
        <v>1</v>
      </c>
      <c r="P187" s="2559"/>
      <c r="Q187" s="21">
        <f t="shared" si="33"/>
        <v>0</v>
      </c>
      <c r="R187" s="21">
        <f t="shared" si="34"/>
        <v>0</v>
      </c>
      <c r="S187" s="307">
        <f t="shared" si="25"/>
        <v>0</v>
      </c>
      <c r="T187" s="3190">
        <f>面积表!A182</f>
        <v>0</v>
      </c>
    </row>
    <row r="188" spans="1:20">
      <c r="A188" s="3169"/>
      <c r="B188" s="52"/>
      <c r="C188" s="21">
        <f t="shared" si="26"/>
        <v>1</v>
      </c>
      <c r="D188" s="2559"/>
      <c r="E188" s="21">
        <f t="shared" si="27"/>
        <v>0.02</v>
      </c>
      <c r="F188" s="2559"/>
      <c r="G188" s="21">
        <f t="shared" si="28"/>
        <v>0</v>
      </c>
      <c r="H188" s="631"/>
      <c r="I188" s="21">
        <f t="shared" si="29"/>
        <v>1</v>
      </c>
      <c r="J188" s="631"/>
      <c r="K188" s="21">
        <f t="shared" si="30"/>
        <v>1</v>
      </c>
      <c r="L188" s="631"/>
      <c r="M188" s="21">
        <f t="shared" si="31"/>
        <v>1</v>
      </c>
      <c r="N188" s="631"/>
      <c r="O188" s="21">
        <f t="shared" si="32"/>
        <v>1</v>
      </c>
      <c r="P188" s="2559"/>
      <c r="Q188" s="21">
        <f t="shared" si="33"/>
        <v>0</v>
      </c>
      <c r="R188" s="21">
        <f t="shared" si="34"/>
        <v>0</v>
      </c>
      <c r="S188" s="307">
        <f t="shared" si="25"/>
        <v>0</v>
      </c>
      <c r="T188" s="3190">
        <f>面积表!A183</f>
        <v>0</v>
      </c>
    </row>
    <row r="189" spans="1:20">
      <c r="A189" s="3169"/>
      <c r="B189" s="52"/>
      <c r="C189" s="21">
        <f t="shared" si="26"/>
        <v>1</v>
      </c>
      <c r="D189" s="2559"/>
      <c r="E189" s="21">
        <f t="shared" si="27"/>
        <v>0.02</v>
      </c>
      <c r="F189" s="2559"/>
      <c r="G189" s="21">
        <f t="shared" si="28"/>
        <v>0</v>
      </c>
      <c r="H189" s="631"/>
      <c r="I189" s="21">
        <f t="shared" si="29"/>
        <v>1</v>
      </c>
      <c r="J189" s="631"/>
      <c r="K189" s="21">
        <f t="shared" si="30"/>
        <v>1</v>
      </c>
      <c r="L189" s="631"/>
      <c r="M189" s="21">
        <f t="shared" si="31"/>
        <v>1</v>
      </c>
      <c r="N189" s="631"/>
      <c r="O189" s="21">
        <f t="shared" si="32"/>
        <v>1</v>
      </c>
      <c r="P189" s="2559"/>
      <c r="Q189" s="21">
        <f t="shared" si="33"/>
        <v>0</v>
      </c>
      <c r="R189" s="21">
        <f t="shared" si="34"/>
        <v>0</v>
      </c>
      <c r="S189" s="307">
        <f t="shared" si="25"/>
        <v>0</v>
      </c>
      <c r="T189" s="3190">
        <f>面积表!A184</f>
        <v>0</v>
      </c>
    </row>
    <row r="190" spans="1:20">
      <c r="A190" s="3169"/>
      <c r="B190" s="52"/>
      <c r="C190" s="21">
        <f t="shared" si="26"/>
        <v>1</v>
      </c>
      <c r="D190" s="2559"/>
      <c r="E190" s="21">
        <f t="shared" si="27"/>
        <v>0.02</v>
      </c>
      <c r="F190" s="2559"/>
      <c r="G190" s="21">
        <f t="shared" si="28"/>
        <v>0</v>
      </c>
      <c r="H190" s="631"/>
      <c r="I190" s="21">
        <f t="shared" si="29"/>
        <v>1</v>
      </c>
      <c r="J190" s="631"/>
      <c r="K190" s="21">
        <f t="shared" si="30"/>
        <v>1</v>
      </c>
      <c r="L190" s="631"/>
      <c r="M190" s="21">
        <f t="shared" si="31"/>
        <v>1</v>
      </c>
      <c r="N190" s="631"/>
      <c r="O190" s="21">
        <f t="shared" si="32"/>
        <v>1</v>
      </c>
      <c r="P190" s="2559"/>
      <c r="Q190" s="21">
        <f t="shared" si="33"/>
        <v>0</v>
      </c>
      <c r="R190" s="21">
        <f t="shared" si="34"/>
        <v>0</v>
      </c>
      <c r="S190" s="307">
        <f t="shared" si="25"/>
        <v>0</v>
      </c>
      <c r="T190" s="3190">
        <f>面积表!A185</f>
        <v>0</v>
      </c>
    </row>
    <row r="191" spans="1:20">
      <c r="A191" s="3169"/>
      <c r="B191" s="52"/>
      <c r="C191" s="21">
        <f t="shared" si="26"/>
        <v>1</v>
      </c>
      <c r="D191" s="2559"/>
      <c r="E191" s="21">
        <f t="shared" si="27"/>
        <v>0.02</v>
      </c>
      <c r="F191" s="2559"/>
      <c r="G191" s="21">
        <f t="shared" si="28"/>
        <v>0</v>
      </c>
      <c r="H191" s="631"/>
      <c r="I191" s="21">
        <f t="shared" si="29"/>
        <v>1</v>
      </c>
      <c r="J191" s="631"/>
      <c r="K191" s="21">
        <f t="shared" si="30"/>
        <v>1</v>
      </c>
      <c r="L191" s="631"/>
      <c r="M191" s="21">
        <f t="shared" si="31"/>
        <v>1</v>
      </c>
      <c r="N191" s="631"/>
      <c r="O191" s="21">
        <f t="shared" si="32"/>
        <v>1</v>
      </c>
      <c r="P191" s="2559"/>
      <c r="Q191" s="21">
        <f t="shared" si="33"/>
        <v>0</v>
      </c>
      <c r="R191" s="21">
        <f t="shared" si="34"/>
        <v>0</v>
      </c>
      <c r="S191" s="307">
        <f t="shared" si="25"/>
        <v>0</v>
      </c>
      <c r="T191" s="3190">
        <f>面积表!A186</f>
        <v>0</v>
      </c>
    </row>
    <row r="192" spans="1:20">
      <c r="A192" s="3169"/>
      <c r="B192" s="52"/>
      <c r="C192" s="21">
        <f t="shared" si="26"/>
        <v>1</v>
      </c>
      <c r="D192" s="2559"/>
      <c r="E192" s="21">
        <f t="shared" si="27"/>
        <v>0.02</v>
      </c>
      <c r="F192" s="2559"/>
      <c r="G192" s="21">
        <f t="shared" si="28"/>
        <v>0</v>
      </c>
      <c r="H192" s="631"/>
      <c r="I192" s="21">
        <f t="shared" si="29"/>
        <v>1</v>
      </c>
      <c r="J192" s="631"/>
      <c r="K192" s="21">
        <f t="shared" si="30"/>
        <v>1</v>
      </c>
      <c r="L192" s="631"/>
      <c r="M192" s="21">
        <f t="shared" si="31"/>
        <v>1</v>
      </c>
      <c r="N192" s="631"/>
      <c r="O192" s="21">
        <f t="shared" si="32"/>
        <v>1</v>
      </c>
      <c r="P192" s="2559"/>
      <c r="Q192" s="21">
        <f t="shared" si="33"/>
        <v>0</v>
      </c>
      <c r="R192" s="21">
        <f t="shared" si="34"/>
        <v>0</v>
      </c>
      <c r="S192" s="307">
        <f t="shared" si="25"/>
        <v>0</v>
      </c>
      <c r="T192" s="3190">
        <f>面积表!A187</f>
        <v>0</v>
      </c>
    </row>
    <row r="193" spans="1:20">
      <c r="A193" s="3169"/>
      <c r="B193" s="52"/>
      <c r="C193" s="21">
        <f t="shared" si="26"/>
        <v>1</v>
      </c>
      <c r="D193" s="2559"/>
      <c r="E193" s="21">
        <f t="shared" si="27"/>
        <v>0.02</v>
      </c>
      <c r="F193" s="2559"/>
      <c r="G193" s="21">
        <f t="shared" si="28"/>
        <v>0</v>
      </c>
      <c r="H193" s="631"/>
      <c r="I193" s="21">
        <f t="shared" si="29"/>
        <v>1</v>
      </c>
      <c r="J193" s="631"/>
      <c r="K193" s="21">
        <f t="shared" si="30"/>
        <v>1</v>
      </c>
      <c r="L193" s="631"/>
      <c r="M193" s="21">
        <f t="shared" si="31"/>
        <v>1</v>
      </c>
      <c r="N193" s="631"/>
      <c r="O193" s="21">
        <f t="shared" si="32"/>
        <v>1</v>
      </c>
      <c r="P193" s="2559"/>
      <c r="Q193" s="21">
        <f t="shared" si="33"/>
        <v>0</v>
      </c>
      <c r="R193" s="21">
        <f t="shared" si="34"/>
        <v>0</v>
      </c>
      <c r="S193" s="307">
        <f t="shared" si="25"/>
        <v>0</v>
      </c>
      <c r="T193" s="3190">
        <f>面积表!A188</f>
        <v>0</v>
      </c>
    </row>
    <row r="194" spans="1:20">
      <c r="A194" s="3169"/>
      <c r="B194" s="52"/>
      <c r="C194" s="21">
        <f t="shared" si="26"/>
        <v>1</v>
      </c>
      <c r="D194" s="2559"/>
      <c r="E194" s="21">
        <f t="shared" si="27"/>
        <v>0.02</v>
      </c>
      <c r="F194" s="2559"/>
      <c r="G194" s="21">
        <f t="shared" si="28"/>
        <v>0</v>
      </c>
      <c r="H194" s="631"/>
      <c r="I194" s="21">
        <f t="shared" si="29"/>
        <v>1</v>
      </c>
      <c r="J194" s="631"/>
      <c r="K194" s="21">
        <f t="shared" si="30"/>
        <v>1</v>
      </c>
      <c r="L194" s="631"/>
      <c r="M194" s="21">
        <f t="shared" si="31"/>
        <v>1</v>
      </c>
      <c r="N194" s="631"/>
      <c r="O194" s="21">
        <f t="shared" si="32"/>
        <v>1</v>
      </c>
      <c r="P194" s="2559"/>
      <c r="Q194" s="21">
        <f t="shared" si="33"/>
        <v>0</v>
      </c>
      <c r="R194" s="21">
        <f t="shared" si="34"/>
        <v>0</v>
      </c>
      <c r="S194" s="307">
        <f t="shared" si="25"/>
        <v>0</v>
      </c>
      <c r="T194" s="3190">
        <f>面积表!A189</f>
        <v>0</v>
      </c>
    </row>
    <row r="195" spans="1:20">
      <c r="A195" s="3169"/>
      <c r="B195" s="52"/>
      <c r="C195" s="21">
        <f t="shared" si="26"/>
        <v>1</v>
      </c>
      <c r="D195" s="2559"/>
      <c r="E195" s="21">
        <f t="shared" si="27"/>
        <v>0.02</v>
      </c>
      <c r="F195" s="2559"/>
      <c r="G195" s="21">
        <f t="shared" si="28"/>
        <v>0</v>
      </c>
      <c r="H195" s="631"/>
      <c r="I195" s="21">
        <f t="shared" si="29"/>
        <v>1</v>
      </c>
      <c r="J195" s="631"/>
      <c r="K195" s="21">
        <f t="shared" si="30"/>
        <v>1</v>
      </c>
      <c r="L195" s="631"/>
      <c r="M195" s="21">
        <f t="shared" si="31"/>
        <v>1</v>
      </c>
      <c r="N195" s="631"/>
      <c r="O195" s="21">
        <f t="shared" si="32"/>
        <v>1</v>
      </c>
      <c r="P195" s="2559"/>
      <c r="Q195" s="21">
        <f t="shared" si="33"/>
        <v>0</v>
      </c>
      <c r="R195" s="21">
        <f t="shared" si="34"/>
        <v>0</v>
      </c>
      <c r="S195" s="307">
        <f t="shared" si="25"/>
        <v>0</v>
      </c>
      <c r="T195" s="3190">
        <f>面积表!A190</f>
        <v>0</v>
      </c>
    </row>
    <row r="196" spans="1:20">
      <c r="A196" s="3169"/>
      <c r="B196" s="52"/>
      <c r="C196" s="21">
        <f t="shared" si="26"/>
        <v>1</v>
      </c>
      <c r="D196" s="2559"/>
      <c r="E196" s="21">
        <f t="shared" si="27"/>
        <v>0.02</v>
      </c>
      <c r="F196" s="2559"/>
      <c r="G196" s="21">
        <f t="shared" si="28"/>
        <v>0</v>
      </c>
      <c r="H196" s="631"/>
      <c r="I196" s="21">
        <f t="shared" si="29"/>
        <v>1</v>
      </c>
      <c r="J196" s="631"/>
      <c r="K196" s="21">
        <f t="shared" si="30"/>
        <v>1</v>
      </c>
      <c r="L196" s="631"/>
      <c r="M196" s="21">
        <f t="shared" si="31"/>
        <v>1</v>
      </c>
      <c r="N196" s="631"/>
      <c r="O196" s="21">
        <f t="shared" si="32"/>
        <v>1</v>
      </c>
      <c r="P196" s="2559"/>
      <c r="Q196" s="21">
        <f t="shared" si="33"/>
        <v>0</v>
      </c>
      <c r="R196" s="21">
        <f t="shared" si="34"/>
        <v>0</v>
      </c>
      <c r="S196" s="307">
        <f t="shared" si="25"/>
        <v>0</v>
      </c>
      <c r="T196" s="3190">
        <f>面积表!A191</f>
        <v>0</v>
      </c>
    </row>
    <row r="197" spans="1:20">
      <c r="A197" s="3169"/>
      <c r="B197" s="52"/>
      <c r="C197" s="21">
        <f t="shared" si="26"/>
        <v>1</v>
      </c>
      <c r="D197" s="2559"/>
      <c r="E197" s="21">
        <f t="shared" si="27"/>
        <v>0.02</v>
      </c>
      <c r="F197" s="2559"/>
      <c r="G197" s="21">
        <f t="shared" si="28"/>
        <v>0</v>
      </c>
      <c r="H197" s="631"/>
      <c r="I197" s="21">
        <f t="shared" si="29"/>
        <v>1</v>
      </c>
      <c r="J197" s="631"/>
      <c r="K197" s="21">
        <f t="shared" si="30"/>
        <v>1</v>
      </c>
      <c r="L197" s="631"/>
      <c r="M197" s="21">
        <f t="shared" si="31"/>
        <v>1</v>
      </c>
      <c r="N197" s="631"/>
      <c r="O197" s="21">
        <f t="shared" si="32"/>
        <v>1</v>
      </c>
      <c r="P197" s="2559"/>
      <c r="Q197" s="21">
        <f t="shared" si="33"/>
        <v>0</v>
      </c>
      <c r="R197" s="21">
        <f t="shared" si="34"/>
        <v>0</v>
      </c>
      <c r="S197" s="307">
        <f t="shared" si="25"/>
        <v>0</v>
      </c>
      <c r="T197" s="3190">
        <f>面积表!A192</f>
        <v>0</v>
      </c>
    </row>
    <row r="198" spans="1:20">
      <c r="A198" s="3169"/>
      <c r="B198" s="52"/>
      <c r="C198" s="21">
        <f t="shared" si="26"/>
        <v>1</v>
      </c>
      <c r="D198" s="2559"/>
      <c r="E198" s="21">
        <f t="shared" si="27"/>
        <v>0.02</v>
      </c>
      <c r="F198" s="2559"/>
      <c r="G198" s="21">
        <f t="shared" si="28"/>
        <v>0</v>
      </c>
      <c r="H198" s="631"/>
      <c r="I198" s="21">
        <f t="shared" si="29"/>
        <v>1</v>
      </c>
      <c r="J198" s="631"/>
      <c r="K198" s="21">
        <f t="shared" si="30"/>
        <v>1</v>
      </c>
      <c r="L198" s="631"/>
      <c r="M198" s="21">
        <f t="shared" si="31"/>
        <v>1</v>
      </c>
      <c r="N198" s="631"/>
      <c r="O198" s="21">
        <f t="shared" si="32"/>
        <v>1</v>
      </c>
      <c r="P198" s="2559"/>
      <c r="Q198" s="21">
        <f t="shared" si="33"/>
        <v>0</v>
      </c>
      <c r="R198" s="21">
        <f t="shared" si="34"/>
        <v>0</v>
      </c>
      <c r="S198" s="307">
        <f t="shared" si="25"/>
        <v>0</v>
      </c>
      <c r="T198" s="3190">
        <f>面积表!A193</f>
        <v>0</v>
      </c>
    </row>
    <row r="199" spans="1:20">
      <c r="A199" s="3169"/>
      <c r="B199" s="52"/>
      <c r="C199" s="21">
        <f t="shared" si="26"/>
        <v>1</v>
      </c>
      <c r="D199" s="2559"/>
      <c r="E199" s="21">
        <f t="shared" si="27"/>
        <v>0.02</v>
      </c>
      <c r="F199" s="2559"/>
      <c r="G199" s="21">
        <f t="shared" si="28"/>
        <v>0</v>
      </c>
      <c r="H199" s="631"/>
      <c r="I199" s="21">
        <f t="shared" si="29"/>
        <v>1</v>
      </c>
      <c r="J199" s="631"/>
      <c r="K199" s="21">
        <f t="shared" si="30"/>
        <v>1</v>
      </c>
      <c r="L199" s="631"/>
      <c r="M199" s="21">
        <f t="shared" si="31"/>
        <v>1</v>
      </c>
      <c r="N199" s="631"/>
      <c r="O199" s="21">
        <f t="shared" si="32"/>
        <v>1</v>
      </c>
      <c r="P199" s="2559"/>
      <c r="Q199" s="21">
        <f t="shared" si="33"/>
        <v>0</v>
      </c>
      <c r="R199" s="21">
        <f t="shared" si="34"/>
        <v>0</v>
      </c>
      <c r="S199" s="307">
        <f t="shared" si="25"/>
        <v>0</v>
      </c>
      <c r="T199" s="3190">
        <f>面积表!A194</f>
        <v>0</v>
      </c>
    </row>
    <row r="200" spans="1:20">
      <c r="A200" s="3169"/>
      <c r="B200" s="52"/>
      <c r="C200" s="21">
        <f t="shared" si="26"/>
        <v>1</v>
      </c>
      <c r="D200" s="2559"/>
      <c r="E200" s="21">
        <f t="shared" si="27"/>
        <v>0.02</v>
      </c>
      <c r="F200" s="2559"/>
      <c r="G200" s="21">
        <f t="shared" si="28"/>
        <v>0</v>
      </c>
      <c r="H200" s="631"/>
      <c r="I200" s="21">
        <f t="shared" si="29"/>
        <v>1</v>
      </c>
      <c r="J200" s="631"/>
      <c r="K200" s="21">
        <f t="shared" si="30"/>
        <v>1</v>
      </c>
      <c r="L200" s="631"/>
      <c r="M200" s="21">
        <f t="shared" si="31"/>
        <v>1</v>
      </c>
      <c r="N200" s="631"/>
      <c r="O200" s="21">
        <f t="shared" si="32"/>
        <v>1</v>
      </c>
      <c r="P200" s="2559"/>
      <c r="Q200" s="21">
        <f t="shared" si="33"/>
        <v>0</v>
      </c>
      <c r="R200" s="21">
        <f t="shared" si="34"/>
        <v>0</v>
      </c>
      <c r="S200" s="307">
        <f t="shared" si="25"/>
        <v>0</v>
      </c>
      <c r="T200" s="3190">
        <f>面积表!A195</f>
        <v>0</v>
      </c>
    </row>
    <row r="201" spans="1:20">
      <c r="A201" s="3169"/>
      <c r="B201" s="52"/>
      <c r="C201" s="21">
        <f t="shared" si="26"/>
        <v>1</v>
      </c>
      <c r="D201" s="2559"/>
      <c r="E201" s="21">
        <f t="shared" si="27"/>
        <v>0.02</v>
      </c>
      <c r="F201" s="2559"/>
      <c r="G201" s="21">
        <f t="shared" si="28"/>
        <v>0</v>
      </c>
      <c r="H201" s="631"/>
      <c r="I201" s="21">
        <f t="shared" si="29"/>
        <v>1</v>
      </c>
      <c r="J201" s="631"/>
      <c r="K201" s="21">
        <f t="shared" si="30"/>
        <v>1</v>
      </c>
      <c r="L201" s="631"/>
      <c r="M201" s="21">
        <f t="shared" si="31"/>
        <v>1</v>
      </c>
      <c r="N201" s="631"/>
      <c r="O201" s="21">
        <f t="shared" si="32"/>
        <v>1</v>
      </c>
      <c r="P201" s="2559"/>
      <c r="Q201" s="21">
        <f t="shared" si="33"/>
        <v>0</v>
      </c>
      <c r="R201" s="21">
        <f t="shared" si="34"/>
        <v>0</v>
      </c>
      <c r="S201" s="307">
        <f t="shared" si="25"/>
        <v>0</v>
      </c>
      <c r="T201" s="3190">
        <f>面积表!A196</f>
        <v>0</v>
      </c>
    </row>
    <row r="202" spans="1:20">
      <c r="A202" s="3169"/>
      <c r="B202" s="52"/>
      <c r="C202" s="21">
        <f t="shared" si="26"/>
        <v>1</v>
      </c>
      <c r="D202" s="2559"/>
      <c r="E202" s="21">
        <f t="shared" si="27"/>
        <v>0.02</v>
      </c>
      <c r="F202" s="2559"/>
      <c r="G202" s="21">
        <f t="shared" si="28"/>
        <v>0</v>
      </c>
      <c r="H202" s="631"/>
      <c r="I202" s="21">
        <f t="shared" si="29"/>
        <v>1</v>
      </c>
      <c r="J202" s="631"/>
      <c r="K202" s="21">
        <f t="shared" si="30"/>
        <v>1</v>
      </c>
      <c r="L202" s="631"/>
      <c r="M202" s="21">
        <f t="shared" si="31"/>
        <v>1</v>
      </c>
      <c r="N202" s="631"/>
      <c r="O202" s="21">
        <f t="shared" si="32"/>
        <v>1</v>
      </c>
      <c r="P202" s="2559"/>
      <c r="Q202" s="21">
        <f t="shared" si="33"/>
        <v>0</v>
      </c>
      <c r="R202" s="21">
        <f t="shared" si="34"/>
        <v>0</v>
      </c>
      <c r="S202" s="307">
        <f t="shared" si="25"/>
        <v>0</v>
      </c>
      <c r="T202" s="3190">
        <f>面积表!A197</f>
        <v>0</v>
      </c>
    </row>
    <row r="203" spans="1:20">
      <c r="A203" s="3169"/>
      <c r="B203" s="52"/>
      <c r="C203" s="21">
        <f t="shared" si="26"/>
        <v>1</v>
      </c>
      <c r="D203" s="2559"/>
      <c r="E203" s="21">
        <f t="shared" si="27"/>
        <v>0.02</v>
      </c>
      <c r="F203" s="2559"/>
      <c r="G203" s="21">
        <f t="shared" si="28"/>
        <v>0</v>
      </c>
      <c r="H203" s="631"/>
      <c r="I203" s="21">
        <f t="shared" si="29"/>
        <v>1</v>
      </c>
      <c r="J203" s="631"/>
      <c r="K203" s="21">
        <f t="shared" si="30"/>
        <v>1</v>
      </c>
      <c r="L203" s="631"/>
      <c r="M203" s="21">
        <f t="shared" si="31"/>
        <v>1</v>
      </c>
      <c r="N203" s="631"/>
      <c r="O203" s="21">
        <f t="shared" si="32"/>
        <v>1</v>
      </c>
      <c r="P203" s="2559"/>
      <c r="Q203" s="21">
        <f t="shared" si="33"/>
        <v>0</v>
      </c>
      <c r="R203" s="21">
        <f t="shared" si="34"/>
        <v>0</v>
      </c>
      <c r="S203" s="307">
        <f t="shared" si="25"/>
        <v>0</v>
      </c>
      <c r="T203" s="3190">
        <f>面积表!A198</f>
        <v>0</v>
      </c>
    </row>
    <row r="204" spans="1:20">
      <c r="A204" s="3169"/>
      <c r="B204" s="52"/>
      <c r="C204" s="21">
        <f t="shared" si="26"/>
        <v>1</v>
      </c>
      <c r="D204" s="2559"/>
      <c r="E204" s="21">
        <f t="shared" si="27"/>
        <v>0.02</v>
      </c>
      <c r="F204" s="2559"/>
      <c r="G204" s="21">
        <f t="shared" si="28"/>
        <v>0</v>
      </c>
      <c r="H204" s="631"/>
      <c r="I204" s="21">
        <f t="shared" si="29"/>
        <v>1</v>
      </c>
      <c r="J204" s="631"/>
      <c r="K204" s="21">
        <f t="shared" si="30"/>
        <v>1</v>
      </c>
      <c r="L204" s="631"/>
      <c r="M204" s="21">
        <f t="shared" si="31"/>
        <v>1</v>
      </c>
      <c r="N204" s="631"/>
      <c r="O204" s="21">
        <f t="shared" si="32"/>
        <v>1</v>
      </c>
      <c r="P204" s="2559"/>
      <c r="Q204" s="21">
        <f t="shared" si="33"/>
        <v>0</v>
      </c>
      <c r="R204" s="21">
        <f t="shared" si="34"/>
        <v>0</v>
      </c>
      <c r="S204" s="307">
        <f t="shared" si="25"/>
        <v>0</v>
      </c>
      <c r="T204" s="3190">
        <f>面积表!A199</f>
        <v>0</v>
      </c>
    </row>
    <row r="205" spans="1:20">
      <c r="A205" s="3169"/>
      <c r="B205" s="52"/>
      <c r="C205" s="21">
        <f t="shared" si="26"/>
        <v>1</v>
      </c>
      <c r="D205" s="2559"/>
      <c r="E205" s="21">
        <f t="shared" si="27"/>
        <v>0.02</v>
      </c>
      <c r="F205" s="2559"/>
      <c r="G205" s="21">
        <f t="shared" si="28"/>
        <v>0</v>
      </c>
      <c r="H205" s="631"/>
      <c r="I205" s="21">
        <f t="shared" si="29"/>
        <v>1</v>
      </c>
      <c r="J205" s="631"/>
      <c r="K205" s="21">
        <f t="shared" si="30"/>
        <v>1</v>
      </c>
      <c r="L205" s="631"/>
      <c r="M205" s="21">
        <f t="shared" si="31"/>
        <v>1</v>
      </c>
      <c r="N205" s="631"/>
      <c r="O205" s="21">
        <f t="shared" si="32"/>
        <v>1</v>
      </c>
      <c r="P205" s="2559"/>
      <c r="Q205" s="21">
        <f t="shared" si="33"/>
        <v>0</v>
      </c>
      <c r="R205" s="21">
        <f t="shared" si="34"/>
        <v>0</v>
      </c>
      <c r="S205" s="307">
        <f t="shared" si="25"/>
        <v>0</v>
      </c>
      <c r="T205" s="3190">
        <f>面积表!A200</f>
        <v>0</v>
      </c>
    </row>
    <row r="206" spans="1:20">
      <c r="A206" s="3169"/>
      <c r="B206" s="52"/>
      <c r="C206" s="21">
        <f t="shared" si="26"/>
        <v>1</v>
      </c>
      <c r="D206" s="2559"/>
      <c r="E206" s="21">
        <f t="shared" si="27"/>
        <v>0.02</v>
      </c>
      <c r="F206" s="2559"/>
      <c r="G206" s="21">
        <f t="shared" si="28"/>
        <v>0</v>
      </c>
      <c r="H206" s="631"/>
      <c r="I206" s="21">
        <f t="shared" si="29"/>
        <v>1</v>
      </c>
      <c r="J206" s="631"/>
      <c r="K206" s="21">
        <f t="shared" si="30"/>
        <v>1</v>
      </c>
      <c r="L206" s="631"/>
      <c r="M206" s="21">
        <f t="shared" si="31"/>
        <v>1</v>
      </c>
      <c r="N206" s="631"/>
      <c r="O206" s="21">
        <f t="shared" si="32"/>
        <v>1</v>
      </c>
      <c r="P206" s="2559"/>
      <c r="Q206" s="21">
        <f t="shared" si="33"/>
        <v>0</v>
      </c>
      <c r="R206" s="21">
        <f t="shared" si="34"/>
        <v>0</v>
      </c>
      <c r="S206" s="307">
        <f t="shared" si="25"/>
        <v>0</v>
      </c>
      <c r="T206" s="3190">
        <f>面积表!A201</f>
        <v>0</v>
      </c>
    </row>
    <row r="207" spans="1:20">
      <c r="A207" s="3169"/>
      <c r="B207" s="52"/>
      <c r="C207" s="21">
        <f t="shared" si="26"/>
        <v>1</v>
      </c>
      <c r="D207" s="2559"/>
      <c r="E207" s="21">
        <f t="shared" si="27"/>
        <v>0.02</v>
      </c>
      <c r="F207" s="2559"/>
      <c r="G207" s="21">
        <f t="shared" si="28"/>
        <v>0</v>
      </c>
      <c r="H207" s="631"/>
      <c r="I207" s="21">
        <f t="shared" si="29"/>
        <v>1</v>
      </c>
      <c r="J207" s="631"/>
      <c r="K207" s="21">
        <f t="shared" si="30"/>
        <v>1</v>
      </c>
      <c r="L207" s="631"/>
      <c r="M207" s="21">
        <f t="shared" si="31"/>
        <v>1</v>
      </c>
      <c r="N207" s="631"/>
      <c r="O207" s="21">
        <f t="shared" si="32"/>
        <v>1</v>
      </c>
      <c r="P207" s="2559"/>
      <c r="Q207" s="21">
        <f t="shared" si="33"/>
        <v>0</v>
      </c>
      <c r="R207" s="21">
        <f t="shared" si="34"/>
        <v>0</v>
      </c>
      <c r="S207" s="307">
        <f t="shared" si="25"/>
        <v>0</v>
      </c>
      <c r="T207" s="3190">
        <f>面积表!A202</f>
        <v>0</v>
      </c>
    </row>
    <row r="208" spans="1:20">
      <c r="A208" s="3169"/>
      <c r="B208" s="52"/>
      <c r="C208" s="21">
        <f t="shared" si="26"/>
        <v>1</v>
      </c>
      <c r="D208" s="2559"/>
      <c r="E208" s="21">
        <f t="shared" si="27"/>
        <v>0.02</v>
      </c>
      <c r="F208" s="2559"/>
      <c r="G208" s="21">
        <f t="shared" si="28"/>
        <v>0</v>
      </c>
      <c r="H208" s="631"/>
      <c r="I208" s="21">
        <f t="shared" si="29"/>
        <v>1</v>
      </c>
      <c r="J208" s="631"/>
      <c r="K208" s="21">
        <f t="shared" si="30"/>
        <v>1</v>
      </c>
      <c r="L208" s="631"/>
      <c r="M208" s="21">
        <f t="shared" si="31"/>
        <v>1</v>
      </c>
      <c r="N208" s="631"/>
      <c r="O208" s="21">
        <f t="shared" si="32"/>
        <v>1</v>
      </c>
      <c r="P208" s="2559"/>
      <c r="Q208" s="21">
        <f t="shared" si="33"/>
        <v>0</v>
      </c>
      <c r="R208" s="21">
        <f t="shared" si="34"/>
        <v>0</v>
      </c>
      <c r="S208" s="307">
        <f t="shared" si="25"/>
        <v>0</v>
      </c>
      <c r="T208" s="3190">
        <f>面积表!A203</f>
        <v>0</v>
      </c>
    </row>
    <row r="209" spans="1:20">
      <c r="A209" s="3169"/>
      <c r="B209" s="52"/>
      <c r="C209" s="21">
        <f t="shared" si="26"/>
        <v>1</v>
      </c>
      <c r="D209" s="2559"/>
      <c r="E209" s="21">
        <f t="shared" si="27"/>
        <v>0.02</v>
      </c>
      <c r="F209" s="2559"/>
      <c r="G209" s="21">
        <f t="shared" si="28"/>
        <v>0</v>
      </c>
      <c r="H209" s="631"/>
      <c r="I209" s="21">
        <f t="shared" si="29"/>
        <v>1</v>
      </c>
      <c r="J209" s="631"/>
      <c r="K209" s="21">
        <f t="shared" si="30"/>
        <v>1</v>
      </c>
      <c r="L209" s="631"/>
      <c r="M209" s="21">
        <f t="shared" si="31"/>
        <v>1</v>
      </c>
      <c r="N209" s="631"/>
      <c r="O209" s="21">
        <f t="shared" si="32"/>
        <v>1</v>
      </c>
      <c r="P209" s="2559"/>
      <c r="Q209" s="21">
        <f t="shared" si="33"/>
        <v>0</v>
      </c>
      <c r="R209" s="21">
        <f t="shared" si="34"/>
        <v>0</v>
      </c>
      <c r="S209" s="307">
        <f t="shared" si="25"/>
        <v>0</v>
      </c>
      <c r="T209" s="3190">
        <f>面积表!A204</f>
        <v>0</v>
      </c>
    </row>
    <row r="210" spans="1:20">
      <c r="A210" s="3169"/>
      <c r="B210" s="52"/>
      <c r="C210" s="21">
        <f t="shared" si="26"/>
        <v>1</v>
      </c>
      <c r="D210" s="2559"/>
      <c r="E210" s="21">
        <f t="shared" si="27"/>
        <v>0.02</v>
      </c>
      <c r="F210" s="2559"/>
      <c r="G210" s="21">
        <f t="shared" si="28"/>
        <v>0</v>
      </c>
      <c r="H210" s="631"/>
      <c r="I210" s="21">
        <f t="shared" si="29"/>
        <v>1</v>
      </c>
      <c r="J210" s="631"/>
      <c r="K210" s="21">
        <f t="shared" si="30"/>
        <v>1</v>
      </c>
      <c r="L210" s="631"/>
      <c r="M210" s="21">
        <f t="shared" si="31"/>
        <v>1</v>
      </c>
      <c r="N210" s="631"/>
      <c r="O210" s="21">
        <f t="shared" si="32"/>
        <v>1</v>
      </c>
      <c r="P210" s="2559"/>
      <c r="Q210" s="21">
        <f t="shared" si="33"/>
        <v>0</v>
      </c>
      <c r="R210" s="21">
        <f t="shared" si="34"/>
        <v>0</v>
      </c>
      <c r="S210" s="307">
        <f t="shared" si="25"/>
        <v>0</v>
      </c>
      <c r="T210" s="3190">
        <f>面积表!A205</f>
        <v>0</v>
      </c>
    </row>
    <row r="211" spans="1:20">
      <c r="A211" s="3169"/>
      <c r="B211" s="52"/>
      <c r="C211" s="21">
        <f t="shared" si="26"/>
        <v>1</v>
      </c>
      <c r="D211" s="2559"/>
      <c r="E211" s="21">
        <f t="shared" si="27"/>
        <v>0.02</v>
      </c>
      <c r="F211" s="2559"/>
      <c r="G211" s="21">
        <f t="shared" si="28"/>
        <v>0</v>
      </c>
      <c r="H211" s="631"/>
      <c r="I211" s="21">
        <f t="shared" si="29"/>
        <v>1</v>
      </c>
      <c r="J211" s="631"/>
      <c r="K211" s="21">
        <f t="shared" si="30"/>
        <v>1</v>
      </c>
      <c r="L211" s="631"/>
      <c r="M211" s="21">
        <f t="shared" si="31"/>
        <v>1</v>
      </c>
      <c r="N211" s="631"/>
      <c r="O211" s="21">
        <f t="shared" si="32"/>
        <v>1</v>
      </c>
      <c r="P211" s="2559"/>
      <c r="Q211" s="21">
        <f t="shared" si="33"/>
        <v>0</v>
      </c>
      <c r="R211" s="21">
        <f t="shared" si="34"/>
        <v>0</v>
      </c>
      <c r="S211" s="307">
        <f t="shared" si="25"/>
        <v>0</v>
      </c>
      <c r="T211" s="3190">
        <f>面积表!A206</f>
        <v>0</v>
      </c>
    </row>
    <row r="212" spans="1:20">
      <c r="A212" s="3169"/>
      <c r="B212" s="52"/>
      <c r="C212" s="21">
        <f t="shared" si="26"/>
        <v>1</v>
      </c>
      <c r="D212" s="2559"/>
      <c r="E212" s="21">
        <f t="shared" si="27"/>
        <v>0.02</v>
      </c>
      <c r="F212" s="2559"/>
      <c r="G212" s="21">
        <f t="shared" si="28"/>
        <v>0</v>
      </c>
      <c r="H212" s="631"/>
      <c r="I212" s="21">
        <f t="shared" si="29"/>
        <v>1</v>
      </c>
      <c r="J212" s="631"/>
      <c r="K212" s="21">
        <f t="shared" si="30"/>
        <v>1</v>
      </c>
      <c r="L212" s="631"/>
      <c r="M212" s="21">
        <f t="shared" si="31"/>
        <v>1</v>
      </c>
      <c r="N212" s="631"/>
      <c r="O212" s="21">
        <f t="shared" si="32"/>
        <v>1</v>
      </c>
      <c r="P212" s="2559"/>
      <c r="Q212" s="21">
        <f t="shared" si="33"/>
        <v>0</v>
      </c>
      <c r="R212" s="21">
        <f t="shared" si="34"/>
        <v>0</v>
      </c>
      <c r="S212" s="307">
        <f t="shared" si="25"/>
        <v>0</v>
      </c>
      <c r="T212" s="3190">
        <f>面积表!A207</f>
        <v>0</v>
      </c>
    </row>
    <row r="213" spans="1:20">
      <c r="A213" s="3169"/>
      <c r="B213" s="52"/>
      <c r="C213" s="21">
        <f t="shared" si="26"/>
        <v>1</v>
      </c>
      <c r="D213" s="2559"/>
      <c r="E213" s="21">
        <f t="shared" si="27"/>
        <v>0.02</v>
      </c>
      <c r="F213" s="2559"/>
      <c r="G213" s="21">
        <f t="shared" si="28"/>
        <v>0</v>
      </c>
      <c r="H213" s="631"/>
      <c r="I213" s="21">
        <f t="shared" si="29"/>
        <v>1</v>
      </c>
      <c r="J213" s="631"/>
      <c r="K213" s="21">
        <f t="shared" si="30"/>
        <v>1</v>
      </c>
      <c r="L213" s="631"/>
      <c r="M213" s="21">
        <f t="shared" si="31"/>
        <v>1</v>
      </c>
      <c r="N213" s="631"/>
      <c r="O213" s="21">
        <f t="shared" si="32"/>
        <v>1</v>
      </c>
      <c r="P213" s="2559"/>
      <c r="Q213" s="21">
        <f t="shared" si="33"/>
        <v>0</v>
      </c>
      <c r="R213" s="21">
        <f t="shared" si="34"/>
        <v>0</v>
      </c>
      <c r="S213" s="307">
        <f t="shared" si="25"/>
        <v>0</v>
      </c>
      <c r="T213" s="3190">
        <f>面积表!A208</f>
        <v>0</v>
      </c>
    </row>
    <row r="214" spans="1:20">
      <c r="A214" s="3169"/>
      <c r="B214" s="52"/>
      <c r="C214" s="21">
        <f t="shared" si="26"/>
        <v>1</v>
      </c>
      <c r="D214" s="2559"/>
      <c r="E214" s="21">
        <f t="shared" si="27"/>
        <v>0.02</v>
      </c>
      <c r="F214" s="2559"/>
      <c r="G214" s="21">
        <f t="shared" si="28"/>
        <v>0</v>
      </c>
      <c r="H214" s="631"/>
      <c r="I214" s="21">
        <f t="shared" si="29"/>
        <v>1</v>
      </c>
      <c r="J214" s="631"/>
      <c r="K214" s="21">
        <f t="shared" si="30"/>
        <v>1</v>
      </c>
      <c r="L214" s="631"/>
      <c r="M214" s="21">
        <f t="shared" si="31"/>
        <v>1</v>
      </c>
      <c r="N214" s="631"/>
      <c r="O214" s="21">
        <f t="shared" si="32"/>
        <v>1</v>
      </c>
      <c r="P214" s="2559"/>
      <c r="Q214" s="21">
        <f t="shared" si="33"/>
        <v>0</v>
      </c>
      <c r="R214" s="21">
        <f t="shared" si="34"/>
        <v>0</v>
      </c>
      <c r="S214" s="307">
        <f t="shared" si="25"/>
        <v>0</v>
      </c>
      <c r="T214" s="3190">
        <f>面积表!A209</f>
        <v>0</v>
      </c>
    </row>
    <row r="215" spans="1:20">
      <c r="A215" s="3169"/>
      <c r="B215" s="52"/>
      <c r="C215" s="21">
        <f t="shared" si="26"/>
        <v>1</v>
      </c>
      <c r="D215" s="2559"/>
      <c r="E215" s="21">
        <f t="shared" si="27"/>
        <v>0.02</v>
      </c>
      <c r="F215" s="2559"/>
      <c r="G215" s="21">
        <f t="shared" si="28"/>
        <v>0</v>
      </c>
      <c r="H215" s="631"/>
      <c r="I215" s="21">
        <f t="shared" si="29"/>
        <v>1</v>
      </c>
      <c r="J215" s="631"/>
      <c r="K215" s="21">
        <f t="shared" si="30"/>
        <v>1</v>
      </c>
      <c r="L215" s="631"/>
      <c r="M215" s="21">
        <f t="shared" si="31"/>
        <v>1</v>
      </c>
      <c r="N215" s="631"/>
      <c r="O215" s="21">
        <f t="shared" si="32"/>
        <v>1</v>
      </c>
      <c r="P215" s="2559"/>
      <c r="Q215" s="21">
        <f t="shared" si="33"/>
        <v>0</v>
      </c>
      <c r="R215" s="21">
        <f t="shared" si="34"/>
        <v>0</v>
      </c>
      <c r="S215" s="307">
        <f t="shared" si="25"/>
        <v>0</v>
      </c>
      <c r="T215" s="3190">
        <f>面积表!A210</f>
        <v>0</v>
      </c>
    </row>
    <row r="216" spans="1:20">
      <c r="A216" s="3169"/>
      <c r="B216" s="52"/>
      <c r="C216" s="21">
        <f t="shared" si="26"/>
        <v>1</v>
      </c>
      <c r="D216" s="2559"/>
      <c r="E216" s="21">
        <f t="shared" si="27"/>
        <v>0.02</v>
      </c>
      <c r="F216" s="2559"/>
      <c r="G216" s="21">
        <f t="shared" si="28"/>
        <v>0</v>
      </c>
      <c r="H216" s="631"/>
      <c r="I216" s="21">
        <f t="shared" si="29"/>
        <v>1</v>
      </c>
      <c r="J216" s="631"/>
      <c r="K216" s="21">
        <f t="shared" si="30"/>
        <v>1</v>
      </c>
      <c r="L216" s="631"/>
      <c r="M216" s="21">
        <f t="shared" si="31"/>
        <v>1</v>
      </c>
      <c r="N216" s="631"/>
      <c r="O216" s="21">
        <f t="shared" si="32"/>
        <v>1</v>
      </c>
      <c r="P216" s="2559"/>
      <c r="Q216" s="21">
        <f t="shared" si="33"/>
        <v>0</v>
      </c>
      <c r="R216" s="21">
        <f t="shared" si="34"/>
        <v>0</v>
      </c>
      <c r="S216" s="307">
        <f t="shared" ref="S216:S279" si="35">ROUND(R216*B216/10000,0)</f>
        <v>0</v>
      </c>
      <c r="T216" s="3190">
        <f>面积表!A211</f>
        <v>0</v>
      </c>
    </row>
    <row r="217" spans="1:20">
      <c r="A217" s="3169"/>
      <c r="B217" s="52"/>
      <c r="C217" s="21">
        <f t="shared" si="26"/>
        <v>1</v>
      </c>
      <c r="D217" s="2559"/>
      <c r="E217" s="21">
        <f t="shared" si="27"/>
        <v>0.02</v>
      </c>
      <c r="F217" s="2559"/>
      <c r="G217" s="21">
        <f t="shared" si="28"/>
        <v>0</v>
      </c>
      <c r="H217" s="631"/>
      <c r="I217" s="21">
        <f t="shared" si="29"/>
        <v>1</v>
      </c>
      <c r="J217" s="631"/>
      <c r="K217" s="21">
        <f t="shared" si="30"/>
        <v>1</v>
      </c>
      <c r="L217" s="631"/>
      <c r="M217" s="21">
        <f t="shared" si="31"/>
        <v>1</v>
      </c>
      <c r="N217" s="631"/>
      <c r="O217" s="21">
        <f t="shared" si="32"/>
        <v>1</v>
      </c>
      <c r="P217" s="631"/>
      <c r="Q217" s="21">
        <f t="shared" si="33"/>
        <v>0</v>
      </c>
      <c r="R217" s="21">
        <f t="shared" si="34"/>
        <v>0</v>
      </c>
      <c r="S217" s="307">
        <f t="shared" si="35"/>
        <v>0</v>
      </c>
      <c r="T217" s="3190">
        <f>面积表!A212</f>
        <v>0</v>
      </c>
    </row>
    <row r="218" spans="1:20">
      <c r="A218" s="3169"/>
      <c r="B218" s="52"/>
      <c r="C218" s="21">
        <f t="shared" ref="C218:C281" si="36">IF(B218="",1,(LOOKUP(B218,$3:$3,$4:$4)-LOOKUP($B$24,$3:$3,$4:$4)+100)/100)</f>
        <v>1</v>
      </c>
      <c r="D218" s="2559"/>
      <c r="E218" s="21">
        <f t="shared" ref="E218:E281" si="37">(SUMIF($5:$5,D218,$6:$6)-SUMIF($5:$5,$D$24,$6:$6)+100)/100</f>
        <v>0.02</v>
      </c>
      <c r="F218" s="2559"/>
      <c r="G218" s="21">
        <f t="shared" ref="G218:G281" si="38">(SUMIF($7:$7,F218,$8:$8)-SUMIF($7:$7,$F$24,$8:$8)+100)/100</f>
        <v>0</v>
      </c>
      <c r="H218" s="631"/>
      <c r="I218" s="21">
        <f t="shared" ref="I218:I281" si="39">(SUMIF($9:$9,H218,$10:$10)-SUMIF($9:$9,$H$24,$10:$10)+100)/100</f>
        <v>1</v>
      </c>
      <c r="J218" s="631"/>
      <c r="K218" s="21">
        <f t="shared" ref="K218:K281" si="40">(SUMIF($11:$11,J218,$12:$12)-SUMIF($11:$11,$J$24,$12:$12)+100)/100</f>
        <v>1</v>
      </c>
      <c r="L218" s="631"/>
      <c r="M218" s="21">
        <f t="shared" ref="M218:M281" si="41">(SUMIF($13:$13,L218,$14:$14)-SUMIF($13:$13,$L$24,$14:$14)+100)/100</f>
        <v>1</v>
      </c>
      <c r="N218" s="631"/>
      <c r="O218" s="21">
        <f t="shared" ref="O218:O281" si="42">(SUMIF($15:$15,N218,$16:$16)-SUMIF($15:$15,$N$24,$16:$16)+100)/100</f>
        <v>1</v>
      </c>
      <c r="P218" s="631"/>
      <c r="Q218" s="21">
        <f t="shared" ref="Q218:Q281" si="43">(SUMIF($17:$17,P218,$18:$18)-SUMIF($17:$17,$P$24,$18:$18)+100)/100</f>
        <v>0</v>
      </c>
      <c r="R218" s="21">
        <f t="shared" ref="R218:R281" si="44">IF(B218="",0,ROUND($R$24*C218*E218*G218*I218*K218*M218*O218*Q218,0))</f>
        <v>0</v>
      </c>
      <c r="S218" s="307">
        <f t="shared" si="35"/>
        <v>0</v>
      </c>
      <c r="T218" s="3190">
        <f>面积表!A213</f>
        <v>0</v>
      </c>
    </row>
    <row r="219" spans="1:20">
      <c r="A219" s="3169"/>
      <c r="B219" s="52"/>
      <c r="C219" s="21">
        <f t="shared" si="36"/>
        <v>1</v>
      </c>
      <c r="D219" s="2559"/>
      <c r="E219" s="21">
        <f t="shared" si="37"/>
        <v>0.02</v>
      </c>
      <c r="F219" s="2559"/>
      <c r="G219" s="21">
        <f t="shared" si="38"/>
        <v>0</v>
      </c>
      <c r="H219" s="631"/>
      <c r="I219" s="21">
        <f t="shared" si="39"/>
        <v>1</v>
      </c>
      <c r="J219" s="631"/>
      <c r="K219" s="21">
        <f t="shared" si="40"/>
        <v>1</v>
      </c>
      <c r="L219" s="631"/>
      <c r="M219" s="21">
        <f t="shared" si="41"/>
        <v>1</v>
      </c>
      <c r="N219" s="631"/>
      <c r="O219" s="21">
        <f t="shared" si="42"/>
        <v>1</v>
      </c>
      <c r="P219" s="631"/>
      <c r="Q219" s="21">
        <f t="shared" si="43"/>
        <v>0</v>
      </c>
      <c r="R219" s="21">
        <f t="shared" si="44"/>
        <v>0</v>
      </c>
      <c r="S219" s="307">
        <f t="shared" si="35"/>
        <v>0</v>
      </c>
      <c r="T219" s="3190">
        <f>面积表!A214</f>
        <v>0</v>
      </c>
    </row>
    <row r="220" spans="1:20">
      <c r="A220" s="3169"/>
      <c r="B220" s="52"/>
      <c r="C220" s="21">
        <f t="shared" si="36"/>
        <v>1</v>
      </c>
      <c r="D220" s="2559"/>
      <c r="E220" s="21">
        <f t="shared" si="37"/>
        <v>0.02</v>
      </c>
      <c r="F220" s="2559"/>
      <c r="G220" s="21">
        <f t="shared" si="38"/>
        <v>0</v>
      </c>
      <c r="H220" s="631"/>
      <c r="I220" s="21">
        <f t="shared" si="39"/>
        <v>1</v>
      </c>
      <c r="J220" s="631"/>
      <c r="K220" s="21">
        <f t="shared" si="40"/>
        <v>1</v>
      </c>
      <c r="L220" s="631"/>
      <c r="M220" s="21">
        <f t="shared" si="41"/>
        <v>1</v>
      </c>
      <c r="N220" s="631"/>
      <c r="O220" s="21">
        <f t="shared" si="42"/>
        <v>1</v>
      </c>
      <c r="P220" s="631"/>
      <c r="Q220" s="21">
        <f t="shared" si="43"/>
        <v>0</v>
      </c>
      <c r="R220" s="21">
        <f t="shared" si="44"/>
        <v>0</v>
      </c>
      <c r="S220" s="307">
        <f t="shared" si="35"/>
        <v>0</v>
      </c>
      <c r="T220" s="3190">
        <f>面积表!A215</f>
        <v>0</v>
      </c>
    </row>
    <row r="221" spans="1:20">
      <c r="A221" s="3169"/>
      <c r="B221" s="52"/>
      <c r="C221" s="21">
        <f t="shared" si="36"/>
        <v>1</v>
      </c>
      <c r="D221" s="2559"/>
      <c r="E221" s="21">
        <f t="shared" si="37"/>
        <v>0.02</v>
      </c>
      <c r="F221" s="2559"/>
      <c r="G221" s="21">
        <f t="shared" si="38"/>
        <v>0</v>
      </c>
      <c r="H221" s="631"/>
      <c r="I221" s="21">
        <f t="shared" si="39"/>
        <v>1</v>
      </c>
      <c r="J221" s="631"/>
      <c r="K221" s="21">
        <f t="shared" si="40"/>
        <v>1</v>
      </c>
      <c r="L221" s="631"/>
      <c r="M221" s="21">
        <f t="shared" si="41"/>
        <v>1</v>
      </c>
      <c r="N221" s="631"/>
      <c r="O221" s="21">
        <f t="shared" si="42"/>
        <v>1</v>
      </c>
      <c r="P221" s="631"/>
      <c r="Q221" s="21">
        <f t="shared" si="43"/>
        <v>0</v>
      </c>
      <c r="R221" s="21">
        <f t="shared" si="44"/>
        <v>0</v>
      </c>
      <c r="S221" s="307">
        <f t="shared" si="35"/>
        <v>0</v>
      </c>
      <c r="T221" s="3190">
        <f>面积表!A216</f>
        <v>0</v>
      </c>
    </row>
    <row r="222" spans="1:20">
      <c r="A222" s="3169"/>
      <c r="B222" s="52"/>
      <c r="C222" s="21">
        <f t="shared" si="36"/>
        <v>1</v>
      </c>
      <c r="D222" s="2559"/>
      <c r="E222" s="21">
        <f t="shared" si="37"/>
        <v>0.02</v>
      </c>
      <c r="F222" s="2559"/>
      <c r="G222" s="21">
        <f t="shared" si="38"/>
        <v>0</v>
      </c>
      <c r="H222" s="631"/>
      <c r="I222" s="21">
        <f t="shared" si="39"/>
        <v>1</v>
      </c>
      <c r="J222" s="631"/>
      <c r="K222" s="21">
        <f t="shared" si="40"/>
        <v>1</v>
      </c>
      <c r="L222" s="631"/>
      <c r="M222" s="21">
        <f t="shared" si="41"/>
        <v>1</v>
      </c>
      <c r="N222" s="631"/>
      <c r="O222" s="21">
        <f t="shared" si="42"/>
        <v>1</v>
      </c>
      <c r="P222" s="631"/>
      <c r="Q222" s="21">
        <f t="shared" si="43"/>
        <v>0</v>
      </c>
      <c r="R222" s="21">
        <f t="shared" si="44"/>
        <v>0</v>
      </c>
      <c r="S222" s="307">
        <f t="shared" si="35"/>
        <v>0</v>
      </c>
      <c r="T222" s="3190">
        <f>面积表!A217</f>
        <v>0</v>
      </c>
    </row>
    <row r="223" spans="1:20">
      <c r="A223" s="3169"/>
      <c r="B223" s="52"/>
      <c r="C223" s="21">
        <f t="shared" si="36"/>
        <v>1</v>
      </c>
      <c r="D223" s="2559"/>
      <c r="E223" s="21">
        <f t="shared" si="37"/>
        <v>0.02</v>
      </c>
      <c r="F223" s="2559"/>
      <c r="G223" s="21">
        <f t="shared" si="38"/>
        <v>0</v>
      </c>
      <c r="H223" s="631"/>
      <c r="I223" s="21">
        <f t="shared" si="39"/>
        <v>1</v>
      </c>
      <c r="J223" s="631"/>
      <c r="K223" s="21">
        <f t="shared" si="40"/>
        <v>1</v>
      </c>
      <c r="L223" s="631"/>
      <c r="M223" s="21">
        <f t="shared" si="41"/>
        <v>1</v>
      </c>
      <c r="N223" s="631"/>
      <c r="O223" s="21">
        <f t="shared" si="42"/>
        <v>1</v>
      </c>
      <c r="P223" s="631"/>
      <c r="Q223" s="21">
        <f t="shared" si="43"/>
        <v>0</v>
      </c>
      <c r="R223" s="21">
        <f t="shared" si="44"/>
        <v>0</v>
      </c>
      <c r="S223" s="307">
        <f t="shared" si="35"/>
        <v>0</v>
      </c>
      <c r="T223" s="3190">
        <f>面积表!A218</f>
        <v>0</v>
      </c>
    </row>
    <row r="224" spans="1:20">
      <c r="A224" s="3169"/>
      <c r="B224" s="52"/>
      <c r="C224" s="21">
        <f t="shared" si="36"/>
        <v>1</v>
      </c>
      <c r="D224" s="2559"/>
      <c r="E224" s="21">
        <f t="shared" si="37"/>
        <v>0.02</v>
      </c>
      <c r="F224" s="2559"/>
      <c r="G224" s="21">
        <f t="shared" si="38"/>
        <v>0</v>
      </c>
      <c r="H224" s="631"/>
      <c r="I224" s="21">
        <f t="shared" si="39"/>
        <v>1</v>
      </c>
      <c r="J224" s="631"/>
      <c r="K224" s="21">
        <f t="shared" si="40"/>
        <v>1</v>
      </c>
      <c r="L224" s="631"/>
      <c r="M224" s="21">
        <f t="shared" si="41"/>
        <v>1</v>
      </c>
      <c r="N224" s="631"/>
      <c r="O224" s="21">
        <f t="shared" si="42"/>
        <v>1</v>
      </c>
      <c r="P224" s="631"/>
      <c r="Q224" s="21">
        <f t="shared" si="43"/>
        <v>0</v>
      </c>
      <c r="R224" s="21">
        <f t="shared" si="44"/>
        <v>0</v>
      </c>
      <c r="S224" s="307">
        <f t="shared" si="35"/>
        <v>0</v>
      </c>
      <c r="T224" s="3190">
        <f>面积表!A219</f>
        <v>0</v>
      </c>
    </row>
    <row r="225" spans="1:20">
      <c r="A225" s="3169"/>
      <c r="B225" s="52"/>
      <c r="C225" s="21">
        <f t="shared" si="36"/>
        <v>1</v>
      </c>
      <c r="D225" s="2559"/>
      <c r="E225" s="21">
        <f t="shared" si="37"/>
        <v>0.02</v>
      </c>
      <c r="F225" s="2559"/>
      <c r="G225" s="21">
        <f t="shared" si="38"/>
        <v>0</v>
      </c>
      <c r="H225" s="631"/>
      <c r="I225" s="21">
        <f t="shared" si="39"/>
        <v>1</v>
      </c>
      <c r="J225" s="631"/>
      <c r="K225" s="21">
        <f t="shared" si="40"/>
        <v>1</v>
      </c>
      <c r="L225" s="631"/>
      <c r="M225" s="21">
        <f t="shared" si="41"/>
        <v>1</v>
      </c>
      <c r="N225" s="631"/>
      <c r="O225" s="21">
        <f t="shared" si="42"/>
        <v>1</v>
      </c>
      <c r="P225" s="631"/>
      <c r="Q225" s="21">
        <f t="shared" si="43"/>
        <v>0</v>
      </c>
      <c r="R225" s="21">
        <f t="shared" si="44"/>
        <v>0</v>
      </c>
      <c r="S225" s="307">
        <f t="shared" si="35"/>
        <v>0</v>
      </c>
      <c r="T225" s="3190">
        <f>面积表!A220</f>
        <v>0</v>
      </c>
    </row>
    <row r="226" spans="1:20">
      <c r="A226" s="3169"/>
      <c r="B226" s="52"/>
      <c r="C226" s="21">
        <f t="shared" si="36"/>
        <v>1</v>
      </c>
      <c r="D226" s="2559"/>
      <c r="E226" s="21">
        <f t="shared" si="37"/>
        <v>0.02</v>
      </c>
      <c r="F226" s="2559"/>
      <c r="G226" s="21">
        <f t="shared" si="38"/>
        <v>0</v>
      </c>
      <c r="H226" s="631"/>
      <c r="I226" s="21">
        <f t="shared" si="39"/>
        <v>1</v>
      </c>
      <c r="J226" s="631"/>
      <c r="K226" s="21">
        <f t="shared" si="40"/>
        <v>1</v>
      </c>
      <c r="L226" s="631"/>
      <c r="M226" s="21">
        <f t="shared" si="41"/>
        <v>1</v>
      </c>
      <c r="N226" s="631"/>
      <c r="O226" s="21">
        <f t="shared" si="42"/>
        <v>1</v>
      </c>
      <c r="P226" s="631"/>
      <c r="Q226" s="21">
        <f t="shared" si="43"/>
        <v>0</v>
      </c>
      <c r="R226" s="21">
        <f t="shared" si="44"/>
        <v>0</v>
      </c>
      <c r="S226" s="307">
        <f t="shared" si="35"/>
        <v>0</v>
      </c>
      <c r="T226" s="3190">
        <f>面积表!A221</f>
        <v>0</v>
      </c>
    </row>
    <row r="227" spans="1:20">
      <c r="A227" s="3169"/>
      <c r="B227" s="52"/>
      <c r="C227" s="21">
        <f t="shared" si="36"/>
        <v>1</v>
      </c>
      <c r="D227" s="2559"/>
      <c r="E227" s="21">
        <f t="shared" si="37"/>
        <v>0.02</v>
      </c>
      <c r="F227" s="2559"/>
      <c r="G227" s="21">
        <f t="shared" si="38"/>
        <v>0</v>
      </c>
      <c r="H227" s="631"/>
      <c r="I227" s="21">
        <f t="shared" si="39"/>
        <v>1</v>
      </c>
      <c r="J227" s="631"/>
      <c r="K227" s="21">
        <f t="shared" si="40"/>
        <v>1</v>
      </c>
      <c r="L227" s="631"/>
      <c r="M227" s="21">
        <f t="shared" si="41"/>
        <v>1</v>
      </c>
      <c r="N227" s="631"/>
      <c r="O227" s="21">
        <f t="shared" si="42"/>
        <v>1</v>
      </c>
      <c r="P227" s="631"/>
      <c r="Q227" s="21">
        <f t="shared" si="43"/>
        <v>0</v>
      </c>
      <c r="R227" s="21">
        <f t="shared" si="44"/>
        <v>0</v>
      </c>
      <c r="S227" s="307">
        <f t="shared" si="35"/>
        <v>0</v>
      </c>
      <c r="T227" s="3190">
        <f>面积表!A222</f>
        <v>0</v>
      </c>
    </row>
    <row r="228" spans="1:20">
      <c r="A228" s="3169"/>
      <c r="B228" s="52"/>
      <c r="C228" s="21">
        <f t="shared" si="36"/>
        <v>1</v>
      </c>
      <c r="D228" s="2559"/>
      <c r="E228" s="21">
        <f t="shared" si="37"/>
        <v>0.02</v>
      </c>
      <c r="F228" s="2559"/>
      <c r="G228" s="21">
        <f t="shared" si="38"/>
        <v>0</v>
      </c>
      <c r="H228" s="631"/>
      <c r="I228" s="21">
        <f t="shared" si="39"/>
        <v>1</v>
      </c>
      <c r="J228" s="631"/>
      <c r="K228" s="21">
        <f t="shared" si="40"/>
        <v>1</v>
      </c>
      <c r="L228" s="631"/>
      <c r="M228" s="21">
        <f t="shared" si="41"/>
        <v>1</v>
      </c>
      <c r="N228" s="631"/>
      <c r="O228" s="21">
        <f t="shared" si="42"/>
        <v>1</v>
      </c>
      <c r="P228" s="631"/>
      <c r="Q228" s="21">
        <f t="shared" si="43"/>
        <v>0</v>
      </c>
      <c r="R228" s="21">
        <f t="shared" si="44"/>
        <v>0</v>
      </c>
      <c r="S228" s="307">
        <f t="shared" si="35"/>
        <v>0</v>
      </c>
      <c r="T228" s="3190">
        <f>面积表!A223</f>
        <v>0</v>
      </c>
    </row>
    <row r="229" spans="1:20">
      <c r="A229" s="3169"/>
      <c r="B229" s="52"/>
      <c r="C229" s="21">
        <f t="shared" si="36"/>
        <v>1</v>
      </c>
      <c r="D229" s="2559"/>
      <c r="E229" s="21">
        <f t="shared" si="37"/>
        <v>0.02</v>
      </c>
      <c r="F229" s="2559"/>
      <c r="G229" s="21">
        <f t="shared" si="38"/>
        <v>0</v>
      </c>
      <c r="H229" s="631"/>
      <c r="I229" s="21">
        <f t="shared" si="39"/>
        <v>1</v>
      </c>
      <c r="J229" s="631"/>
      <c r="K229" s="21">
        <f t="shared" si="40"/>
        <v>1</v>
      </c>
      <c r="L229" s="631"/>
      <c r="M229" s="21">
        <f t="shared" si="41"/>
        <v>1</v>
      </c>
      <c r="N229" s="631"/>
      <c r="O229" s="21">
        <f t="shared" si="42"/>
        <v>1</v>
      </c>
      <c r="P229" s="631"/>
      <c r="Q229" s="21">
        <f t="shared" si="43"/>
        <v>0</v>
      </c>
      <c r="R229" s="21">
        <f t="shared" si="44"/>
        <v>0</v>
      </c>
      <c r="S229" s="307">
        <f t="shared" si="35"/>
        <v>0</v>
      </c>
      <c r="T229" s="3190">
        <f>面积表!A224</f>
        <v>0</v>
      </c>
    </row>
    <row r="230" spans="1:20">
      <c r="A230" s="3169"/>
      <c r="B230" s="52"/>
      <c r="C230" s="21">
        <f t="shared" si="36"/>
        <v>1</v>
      </c>
      <c r="D230" s="2559"/>
      <c r="E230" s="21">
        <f t="shared" si="37"/>
        <v>0.02</v>
      </c>
      <c r="F230" s="2559"/>
      <c r="G230" s="21">
        <f t="shared" si="38"/>
        <v>0</v>
      </c>
      <c r="H230" s="631"/>
      <c r="I230" s="21">
        <f t="shared" si="39"/>
        <v>1</v>
      </c>
      <c r="J230" s="631"/>
      <c r="K230" s="21">
        <f t="shared" si="40"/>
        <v>1</v>
      </c>
      <c r="L230" s="631"/>
      <c r="M230" s="21">
        <f t="shared" si="41"/>
        <v>1</v>
      </c>
      <c r="N230" s="631"/>
      <c r="O230" s="21">
        <f t="shared" si="42"/>
        <v>1</v>
      </c>
      <c r="P230" s="631"/>
      <c r="Q230" s="21">
        <f t="shared" si="43"/>
        <v>0</v>
      </c>
      <c r="R230" s="21">
        <f t="shared" si="44"/>
        <v>0</v>
      </c>
      <c r="S230" s="307">
        <f t="shared" si="35"/>
        <v>0</v>
      </c>
      <c r="T230" s="3190">
        <f>面积表!A225</f>
        <v>0</v>
      </c>
    </row>
    <row r="231" spans="1:20">
      <c r="A231" s="3169"/>
      <c r="B231" s="52"/>
      <c r="C231" s="21">
        <f t="shared" si="36"/>
        <v>1</v>
      </c>
      <c r="D231" s="2559"/>
      <c r="E231" s="21">
        <f t="shared" si="37"/>
        <v>0.02</v>
      </c>
      <c r="F231" s="2559"/>
      <c r="G231" s="21">
        <f t="shared" si="38"/>
        <v>0</v>
      </c>
      <c r="H231" s="631"/>
      <c r="I231" s="21">
        <f t="shared" si="39"/>
        <v>1</v>
      </c>
      <c r="J231" s="631"/>
      <c r="K231" s="21">
        <f t="shared" si="40"/>
        <v>1</v>
      </c>
      <c r="L231" s="631"/>
      <c r="M231" s="21">
        <f t="shared" si="41"/>
        <v>1</v>
      </c>
      <c r="N231" s="631"/>
      <c r="O231" s="21">
        <f t="shared" si="42"/>
        <v>1</v>
      </c>
      <c r="P231" s="631"/>
      <c r="Q231" s="21">
        <f t="shared" si="43"/>
        <v>0</v>
      </c>
      <c r="R231" s="21">
        <f t="shared" si="44"/>
        <v>0</v>
      </c>
      <c r="S231" s="307">
        <f t="shared" si="35"/>
        <v>0</v>
      </c>
      <c r="T231" s="3190">
        <f>面积表!A226</f>
        <v>0</v>
      </c>
    </row>
    <row r="232" spans="1:20">
      <c r="A232" s="3169"/>
      <c r="B232" s="52"/>
      <c r="C232" s="21">
        <f t="shared" si="36"/>
        <v>1</v>
      </c>
      <c r="D232" s="2559"/>
      <c r="E232" s="21">
        <f t="shared" si="37"/>
        <v>0.02</v>
      </c>
      <c r="F232" s="2559"/>
      <c r="G232" s="21">
        <f t="shared" si="38"/>
        <v>0</v>
      </c>
      <c r="H232" s="631"/>
      <c r="I232" s="21">
        <f t="shared" si="39"/>
        <v>1</v>
      </c>
      <c r="J232" s="631"/>
      <c r="K232" s="21">
        <f t="shared" si="40"/>
        <v>1</v>
      </c>
      <c r="L232" s="631"/>
      <c r="M232" s="21">
        <f t="shared" si="41"/>
        <v>1</v>
      </c>
      <c r="N232" s="631"/>
      <c r="O232" s="21">
        <f t="shared" si="42"/>
        <v>1</v>
      </c>
      <c r="P232" s="631"/>
      <c r="Q232" s="21">
        <f t="shared" si="43"/>
        <v>0</v>
      </c>
      <c r="R232" s="21">
        <f t="shared" si="44"/>
        <v>0</v>
      </c>
      <c r="S232" s="307">
        <f t="shared" si="35"/>
        <v>0</v>
      </c>
      <c r="T232" s="3190">
        <f>面积表!A227</f>
        <v>0</v>
      </c>
    </row>
    <row r="233" spans="1:20">
      <c r="A233" s="3169"/>
      <c r="B233" s="52"/>
      <c r="C233" s="21">
        <f t="shared" si="36"/>
        <v>1</v>
      </c>
      <c r="D233" s="2559"/>
      <c r="E233" s="21">
        <f t="shared" si="37"/>
        <v>0.02</v>
      </c>
      <c r="F233" s="2559"/>
      <c r="G233" s="21">
        <f t="shared" si="38"/>
        <v>0</v>
      </c>
      <c r="H233" s="631"/>
      <c r="I233" s="21">
        <f t="shared" si="39"/>
        <v>1</v>
      </c>
      <c r="J233" s="631"/>
      <c r="K233" s="21">
        <f t="shared" si="40"/>
        <v>1</v>
      </c>
      <c r="L233" s="631"/>
      <c r="M233" s="21">
        <f t="shared" si="41"/>
        <v>1</v>
      </c>
      <c r="N233" s="631"/>
      <c r="O233" s="21">
        <f t="shared" si="42"/>
        <v>1</v>
      </c>
      <c r="P233" s="631"/>
      <c r="Q233" s="21">
        <f t="shared" si="43"/>
        <v>0</v>
      </c>
      <c r="R233" s="21">
        <f t="shared" si="44"/>
        <v>0</v>
      </c>
      <c r="S233" s="307">
        <f t="shared" si="35"/>
        <v>0</v>
      </c>
      <c r="T233" s="3190">
        <f>面积表!A228</f>
        <v>0</v>
      </c>
    </row>
    <row r="234" spans="1:20">
      <c r="A234" s="3169"/>
      <c r="B234" s="52"/>
      <c r="C234" s="21">
        <f t="shared" si="36"/>
        <v>1</v>
      </c>
      <c r="D234" s="2559"/>
      <c r="E234" s="21">
        <f t="shared" si="37"/>
        <v>0.02</v>
      </c>
      <c r="F234" s="2559"/>
      <c r="G234" s="21">
        <f t="shared" si="38"/>
        <v>0</v>
      </c>
      <c r="H234" s="631"/>
      <c r="I234" s="21">
        <f t="shared" si="39"/>
        <v>1</v>
      </c>
      <c r="J234" s="631"/>
      <c r="K234" s="21">
        <f t="shared" si="40"/>
        <v>1</v>
      </c>
      <c r="L234" s="631"/>
      <c r="M234" s="21">
        <f t="shared" si="41"/>
        <v>1</v>
      </c>
      <c r="N234" s="631"/>
      <c r="O234" s="21">
        <f t="shared" si="42"/>
        <v>1</v>
      </c>
      <c r="P234" s="631"/>
      <c r="Q234" s="21">
        <f t="shared" si="43"/>
        <v>0</v>
      </c>
      <c r="R234" s="21">
        <f t="shared" si="44"/>
        <v>0</v>
      </c>
      <c r="S234" s="307">
        <f t="shared" si="35"/>
        <v>0</v>
      </c>
      <c r="T234" s="3190">
        <f>面积表!A229</f>
        <v>0</v>
      </c>
    </row>
    <row r="235" spans="1:20">
      <c r="A235" s="3169"/>
      <c r="B235" s="52"/>
      <c r="C235" s="21">
        <f t="shared" si="36"/>
        <v>1</v>
      </c>
      <c r="D235" s="2559"/>
      <c r="E235" s="21">
        <f t="shared" si="37"/>
        <v>0.02</v>
      </c>
      <c r="F235" s="2559"/>
      <c r="G235" s="21">
        <f t="shared" si="38"/>
        <v>0</v>
      </c>
      <c r="H235" s="631"/>
      <c r="I235" s="21">
        <f t="shared" si="39"/>
        <v>1</v>
      </c>
      <c r="J235" s="631"/>
      <c r="K235" s="21">
        <f t="shared" si="40"/>
        <v>1</v>
      </c>
      <c r="L235" s="631"/>
      <c r="M235" s="21">
        <f t="shared" si="41"/>
        <v>1</v>
      </c>
      <c r="N235" s="631"/>
      <c r="O235" s="21">
        <f t="shared" si="42"/>
        <v>1</v>
      </c>
      <c r="P235" s="631"/>
      <c r="Q235" s="21">
        <f t="shared" si="43"/>
        <v>0</v>
      </c>
      <c r="R235" s="21">
        <f t="shared" si="44"/>
        <v>0</v>
      </c>
      <c r="S235" s="307">
        <f t="shared" si="35"/>
        <v>0</v>
      </c>
      <c r="T235" s="3190">
        <f>面积表!A230</f>
        <v>0</v>
      </c>
    </row>
    <row r="236" spans="1:20">
      <c r="A236" s="3169"/>
      <c r="B236" s="52"/>
      <c r="C236" s="21">
        <f t="shared" si="36"/>
        <v>1</v>
      </c>
      <c r="D236" s="2559"/>
      <c r="E236" s="21">
        <f t="shared" si="37"/>
        <v>0.02</v>
      </c>
      <c r="F236" s="2559"/>
      <c r="G236" s="21">
        <f t="shared" si="38"/>
        <v>0</v>
      </c>
      <c r="H236" s="631"/>
      <c r="I236" s="21">
        <f t="shared" si="39"/>
        <v>1</v>
      </c>
      <c r="J236" s="631"/>
      <c r="K236" s="21">
        <f t="shared" si="40"/>
        <v>1</v>
      </c>
      <c r="L236" s="631"/>
      <c r="M236" s="21">
        <f t="shared" si="41"/>
        <v>1</v>
      </c>
      <c r="N236" s="631"/>
      <c r="O236" s="21">
        <f t="shared" si="42"/>
        <v>1</v>
      </c>
      <c r="P236" s="631"/>
      <c r="Q236" s="21">
        <f t="shared" si="43"/>
        <v>0</v>
      </c>
      <c r="R236" s="21">
        <f t="shared" si="44"/>
        <v>0</v>
      </c>
      <c r="S236" s="307">
        <f t="shared" si="35"/>
        <v>0</v>
      </c>
      <c r="T236" s="3190">
        <f>面积表!A231</f>
        <v>0</v>
      </c>
    </row>
    <row r="237" spans="1:20">
      <c r="A237" s="3169"/>
      <c r="B237" s="52"/>
      <c r="C237" s="21">
        <f t="shared" si="36"/>
        <v>1</v>
      </c>
      <c r="D237" s="2559"/>
      <c r="E237" s="21">
        <f t="shared" si="37"/>
        <v>0.02</v>
      </c>
      <c r="F237" s="2559"/>
      <c r="G237" s="21">
        <f t="shared" si="38"/>
        <v>0</v>
      </c>
      <c r="H237" s="631"/>
      <c r="I237" s="21">
        <f t="shared" si="39"/>
        <v>1</v>
      </c>
      <c r="J237" s="631"/>
      <c r="K237" s="21">
        <f t="shared" si="40"/>
        <v>1</v>
      </c>
      <c r="L237" s="631"/>
      <c r="M237" s="21">
        <f t="shared" si="41"/>
        <v>1</v>
      </c>
      <c r="N237" s="631"/>
      <c r="O237" s="21">
        <f t="shared" si="42"/>
        <v>1</v>
      </c>
      <c r="P237" s="631"/>
      <c r="Q237" s="21">
        <f t="shared" si="43"/>
        <v>0</v>
      </c>
      <c r="R237" s="21">
        <f t="shared" si="44"/>
        <v>0</v>
      </c>
      <c r="S237" s="307">
        <f t="shared" si="35"/>
        <v>0</v>
      </c>
      <c r="T237" s="3190">
        <f>面积表!A232</f>
        <v>0</v>
      </c>
    </row>
    <row r="238" spans="1:20">
      <c r="A238" s="3169"/>
      <c r="B238" s="52"/>
      <c r="C238" s="21">
        <f t="shared" si="36"/>
        <v>1</v>
      </c>
      <c r="D238" s="2559"/>
      <c r="E238" s="21">
        <f t="shared" si="37"/>
        <v>0.02</v>
      </c>
      <c r="F238" s="2559"/>
      <c r="G238" s="21">
        <f t="shared" si="38"/>
        <v>0</v>
      </c>
      <c r="H238" s="631"/>
      <c r="I238" s="21">
        <f t="shared" si="39"/>
        <v>1</v>
      </c>
      <c r="J238" s="631"/>
      <c r="K238" s="21">
        <f t="shared" si="40"/>
        <v>1</v>
      </c>
      <c r="L238" s="631"/>
      <c r="M238" s="21">
        <f t="shared" si="41"/>
        <v>1</v>
      </c>
      <c r="N238" s="631"/>
      <c r="O238" s="21">
        <f t="shared" si="42"/>
        <v>1</v>
      </c>
      <c r="P238" s="631"/>
      <c r="Q238" s="21">
        <f t="shared" si="43"/>
        <v>0</v>
      </c>
      <c r="R238" s="21">
        <f t="shared" si="44"/>
        <v>0</v>
      </c>
      <c r="S238" s="307">
        <f t="shared" si="35"/>
        <v>0</v>
      </c>
      <c r="T238" s="3190">
        <f>面积表!A233</f>
        <v>0</v>
      </c>
    </row>
    <row r="239" spans="1:20">
      <c r="A239" s="3169"/>
      <c r="B239" s="52"/>
      <c r="C239" s="21">
        <f t="shared" si="36"/>
        <v>1</v>
      </c>
      <c r="D239" s="2559"/>
      <c r="E239" s="21">
        <f t="shared" si="37"/>
        <v>0.02</v>
      </c>
      <c r="F239" s="2559"/>
      <c r="G239" s="21">
        <f t="shared" si="38"/>
        <v>0</v>
      </c>
      <c r="H239" s="631"/>
      <c r="I239" s="21">
        <f t="shared" si="39"/>
        <v>1</v>
      </c>
      <c r="J239" s="631"/>
      <c r="K239" s="21">
        <f t="shared" si="40"/>
        <v>1</v>
      </c>
      <c r="L239" s="631"/>
      <c r="M239" s="21">
        <f t="shared" si="41"/>
        <v>1</v>
      </c>
      <c r="N239" s="631"/>
      <c r="O239" s="21">
        <f t="shared" si="42"/>
        <v>1</v>
      </c>
      <c r="P239" s="631"/>
      <c r="Q239" s="21">
        <f t="shared" si="43"/>
        <v>0</v>
      </c>
      <c r="R239" s="21">
        <f t="shared" si="44"/>
        <v>0</v>
      </c>
      <c r="S239" s="307">
        <f t="shared" si="35"/>
        <v>0</v>
      </c>
      <c r="T239" s="3190">
        <f>面积表!A234</f>
        <v>0</v>
      </c>
    </row>
    <row r="240" spans="1:20">
      <c r="A240" s="3169"/>
      <c r="B240" s="52"/>
      <c r="C240" s="21">
        <f t="shared" si="36"/>
        <v>1</v>
      </c>
      <c r="D240" s="2559"/>
      <c r="E240" s="21">
        <f t="shared" si="37"/>
        <v>0.02</v>
      </c>
      <c r="F240" s="2559"/>
      <c r="G240" s="21">
        <f t="shared" si="38"/>
        <v>0</v>
      </c>
      <c r="H240" s="631"/>
      <c r="I240" s="21">
        <f t="shared" si="39"/>
        <v>1</v>
      </c>
      <c r="J240" s="631"/>
      <c r="K240" s="21">
        <f t="shared" si="40"/>
        <v>1</v>
      </c>
      <c r="L240" s="631"/>
      <c r="M240" s="21">
        <f t="shared" si="41"/>
        <v>1</v>
      </c>
      <c r="N240" s="631"/>
      <c r="O240" s="21">
        <f t="shared" si="42"/>
        <v>1</v>
      </c>
      <c r="P240" s="631"/>
      <c r="Q240" s="21">
        <f t="shared" si="43"/>
        <v>0</v>
      </c>
      <c r="R240" s="21">
        <f t="shared" si="44"/>
        <v>0</v>
      </c>
      <c r="S240" s="307">
        <f t="shared" si="35"/>
        <v>0</v>
      </c>
      <c r="T240" s="3190">
        <f>面积表!A235</f>
        <v>0</v>
      </c>
    </row>
    <row r="241" spans="1:20">
      <c r="A241" s="3169"/>
      <c r="B241" s="52"/>
      <c r="C241" s="21">
        <f t="shared" si="36"/>
        <v>1</v>
      </c>
      <c r="D241" s="2559"/>
      <c r="E241" s="21">
        <f t="shared" si="37"/>
        <v>0.02</v>
      </c>
      <c r="F241" s="2559"/>
      <c r="G241" s="21">
        <f t="shared" si="38"/>
        <v>0</v>
      </c>
      <c r="H241" s="631"/>
      <c r="I241" s="21">
        <f t="shared" si="39"/>
        <v>1</v>
      </c>
      <c r="J241" s="631"/>
      <c r="K241" s="21">
        <f t="shared" si="40"/>
        <v>1</v>
      </c>
      <c r="L241" s="631"/>
      <c r="M241" s="21">
        <f t="shared" si="41"/>
        <v>1</v>
      </c>
      <c r="N241" s="631"/>
      <c r="O241" s="21">
        <f t="shared" si="42"/>
        <v>1</v>
      </c>
      <c r="P241" s="631"/>
      <c r="Q241" s="21">
        <f t="shared" si="43"/>
        <v>0</v>
      </c>
      <c r="R241" s="21">
        <f t="shared" si="44"/>
        <v>0</v>
      </c>
      <c r="S241" s="307">
        <f t="shared" si="35"/>
        <v>0</v>
      </c>
      <c r="T241" s="3190">
        <f>面积表!A236</f>
        <v>0</v>
      </c>
    </row>
    <row r="242" spans="1:20">
      <c r="A242" s="3169"/>
      <c r="B242" s="52"/>
      <c r="C242" s="21">
        <f t="shared" si="36"/>
        <v>1</v>
      </c>
      <c r="D242" s="2559"/>
      <c r="E242" s="21">
        <f t="shared" si="37"/>
        <v>0.02</v>
      </c>
      <c r="F242" s="2559"/>
      <c r="G242" s="21">
        <f t="shared" si="38"/>
        <v>0</v>
      </c>
      <c r="H242" s="631"/>
      <c r="I242" s="21">
        <f t="shared" si="39"/>
        <v>1</v>
      </c>
      <c r="J242" s="631"/>
      <c r="K242" s="21">
        <f t="shared" si="40"/>
        <v>1</v>
      </c>
      <c r="L242" s="631"/>
      <c r="M242" s="21">
        <f t="shared" si="41"/>
        <v>1</v>
      </c>
      <c r="N242" s="631"/>
      <c r="O242" s="21">
        <f t="shared" si="42"/>
        <v>1</v>
      </c>
      <c r="P242" s="631"/>
      <c r="Q242" s="21">
        <f t="shared" si="43"/>
        <v>0</v>
      </c>
      <c r="R242" s="21">
        <f t="shared" si="44"/>
        <v>0</v>
      </c>
      <c r="S242" s="307">
        <f t="shared" si="35"/>
        <v>0</v>
      </c>
      <c r="T242" s="3190">
        <f>面积表!A237</f>
        <v>0</v>
      </c>
    </row>
    <row r="243" spans="1:20">
      <c r="A243" s="3169"/>
      <c r="B243" s="52"/>
      <c r="C243" s="21">
        <f t="shared" si="36"/>
        <v>1</v>
      </c>
      <c r="D243" s="2559"/>
      <c r="E243" s="21">
        <f t="shared" si="37"/>
        <v>0.02</v>
      </c>
      <c r="F243" s="2559"/>
      <c r="G243" s="21">
        <f t="shared" si="38"/>
        <v>0</v>
      </c>
      <c r="H243" s="631"/>
      <c r="I243" s="21">
        <f t="shared" si="39"/>
        <v>1</v>
      </c>
      <c r="J243" s="631"/>
      <c r="K243" s="21">
        <f t="shared" si="40"/>
        <v>1</v>
      </c>
      <c r="L243" s="631"/>
      <c r="M243" s="21">
        <f t="shared" si="41"/>
        <v>1</v>
      </c>
      <c r="N243" s="631"/>
      <c r="O243" s="21">
        <f t="shared" si="42"/>
        <v>1</v>
      </c>
      <c r="P243" s="631"/>
      <c r="Q243" s="21">
        <f t="shared" si="43"/>
        <v>0</v>
      </c>
      <c r="R243" s="21">
        <f t="shared" si="44"/>
        <v>0</v>
      </c>
      <c r="S243" s="307">
        <f t="shared" si="35"/>
        <v>0</v>
      </c>
      <c r="T243" s="3190">
        <f>面积表!A238</f>
        <v>0</v>
      </c>
    </row>
    <row r="244" spans="1:20">
      <c r="A244" s="3169"/>
      <c r="B244" s="52"/>
      <c r="C244" s="21">
        <f t="shared" si="36"/>
        <v>1</v>
      </c>
      <c r="D244" s="2559"/>
      <c r="E244" s="21">
        <f t="shared" si="37"/>
        <v>0.02</v>
      </c>
      <c r="F244" s="2559"/>
      <c r="G244" s="21">
        <f t="shared" si="38"/>
        <v>0</v>
      </c>
      <c r="H244" s="631"/>
      <c r="I244" s="21">
        <f t="shared" si="39"/>
        <v>1</v>
      </c>
      <c r="J244" s="631"/>
      <c r="K244" s="21">
        <f t="shared" si="40"/>
        <v>1</v>
      </c>
      <c r="L244" s="631"/>
      <c r="M244" s="21">
        <f t="shared" si="41"/>
        <v>1</v>
      </c>
      <c r="N244" s="631"/>
      <c r="O244" s="21">
        <f t="shared" si="42"/>
        <v>1</v>
      </c>
      <c r="P244" s="631"/>
      <c r="Q244" s="21">
        <f t="shared" si="43"/>
        <v>0</v>
      </c>
      <c r="R244" s="21">
        <f t="shared" si="44"/>
        <v>0</v>
      </c>
      <c r="S244" s="307">
        <f t="shared" si="35"/>
        <v>0</v>
      </c>
      <c r="T244" s="3190">
        <f>面积表!A239</f>
        <v>0</v>
      </c>
    </row>
    <row r="245" spans="1:20">
      <c r="A245" s="3169"/>
      <c r="B245" s="52"/>
      <c r="C245" s="21">
        <f t="shared" si="36"/>
        <v>1</v>
      </c>
      <c r="D245" s="2559"/>
      <c r="E245" s="21">
        <f t="shared" si="37"/>
        <v>0.02</v>
      </c>
      <c r="F245" s="2559"/>
      <c r="G245" s="21">
        <f t="shared" si="38"/>
        <v>0</v>
      </c>
      <c r="H245" s="631"/>
      <c r="I245" s="21">
        <f t="shared" si="39"/>
        <v>1</v>
      </c>
      <c r="J245" s="631"/>
      <c r="K245" s="21">
        <f t="shared" si="40"/>
        <v>1</v>
      </c>
      <c r="L245" s="631"/>
      <c r="M245" s="21">
        <f t="shared" si="41"/>
        <v>1</v>
      </c>
      <c r="N245" s="631"/>
      <c r="O245" s="21">
        <f t="shared" si="42"/>
        <v>1</v>
      </c>
      <c r="P245" s="631"/>
      <c r="Q245" s="21">
        <f t="shared" si="43"/>
        <v>0</v>
      </c>
      <c r="R245" s="21">
        <f t="shared" si="44"/>
        <v>0</v>
      </c>
      <c r="S245" s="307">
        <f t="shared" si="35"/>
        <v>0</v>
      </c>
      <c r="T245" s="3190">
        <f>面积表!A240</f>
        <v>0</v>
      </c>
    </row>
    <row r="246" spans="1:20">
      <c r="A246" s="3169"/>
      <c r="B246" s="52"/>
      <c r="C246" s="21">
        <f t="shared" si="36"/>
        <v>1</v>
      </c>
      <c r="D246" s="2559"/>
      <c r="E246" s="21">
        <f t="shared" si="37"/>
        <v>0.02</v>
      </c>
      <c r="F246" s="2559"/>
      <c r="G246" s="21">
        <f t="shared" si="38"/>
        <v>0</v>
      </c>
      <c r="H246" s="631"/>
      <c r="I246" s="21">
        <f t="shared" si="39"/>
        <v>1</v>
      </c>
      <c r="J246" s="631"/>
      <c r="K246" s="21">
        <f t="shared" si="40"/>
        <v>1</v>
      </c>
      <c r="L246" s="631"/>
      <c r="M246" s="21">
        <f t="shared" si="41"/>
        <v>1</v>
      </c>
      <c r="N246" s="631"/>
      <c r="O246" s="21">
        <f t="shared" si="42"/>
        <v>1</v>
      </c>
      <c r="P246" s="631"/>
      <c r="Q246" s="21">
        <f t="shared" si="43"/>
        <v>0</v>
      </c>
      <c r="R246" s="21">
        <f t="shared" si="44"/>
        <v>0</v>
      </c>
      <c r="S246" s="307">
        <f t="shared" si="35"/>
        <v>0</v>
      </c>
      <c r="T246" s="3190">
        <f>面积表!A241</f>
        <v>0</v>
      </c>
    </row>
    <row r="247" spans="1:20">
      <c r="A247" s="3169"/>
      <c r="B247" s="52"/>
      <c r="C247" s="21">
        <f t="shared" si="36"/>
        <v>1</v>
      </c>
      <c r="D247" s="2559"/>
      <c r="E247" s="21">
        <f t="shared" si="37"/>
        <v>0.02</v>
      </c>
      <c r="F247" s="2559"/>
      <c r="G247" s="21">
        <f t="shared" si="38"/>
        <v>0</v>
      </c>
      <c r="H247" s="631"/>
      <c r="I247" s="21">
        <f t="shared" si="39"/>
        <v>1</v>
      </c>
      <c r="J247" s="631"/>
      <c r="K247" s="21">
        <f t="shared" si="40"/>
        <v>1</v>
      </c>
      <c r="L247" s="631"/>
      <c r="M247" s="21">
        <f t="shared" si="41"/>
        <v>1</v>
      </c>
      <c r="N247" s="631"/>
      <c r="O247" s="21">
        <f t="shared" si="42"/>
        <v>1</v>
      </c>
      <c r="P247" s="631"/>
      <c r="Q247" s="21">
        <f t="shared" si="43"/>
        <v>0</v>
      </c>
      <c r="R247" s="21">
        <f t="shared" si="44"/>
        <v>0</v>
      </c>
      <c r="S247" s="307">
        <f t="shared" si="35"/>
        <v>0</v>
      </c>
      <c r="T247" s="3190">
        <f>面积表!A242</f>
        <v>0</v>
      </c>
    </row>
    <row r="248" spans="1:20">
      <c r="A248" s="3169"/>
      <c r="B248" s="52"/>
      <c r="C248" s="21">
        <f t="shared" si="36"/>
        <v>1</v>
      </c>
      <c r="D248" s="2559"/>
      <c r="E248" s="21">
        <f t="shared" si="37"/>
        <v>0.02</v>
      </c>
      <c r="F248" s="2559"/>
      <c r="G248" s="21">
        <f t="shared" si="38"/>
        <v>0</v>
      </c>
      <c r="H248" s="631"/>
      <c r="I248" s="21">
        <f t="shared" si="39"/>
        <v>1</v>
      </c>
      <c r="J248" s="631"/>
      <c r="K248" s="21">
        <f t="shared" si="40"/>
        <v>1</v>
      </c>
      <c r="L248" s="631"/>
      <c r="M248" s="21">
        <f t="shared" si="41"/>
        <v>1</v>
      </c>
      <c r="N248" s="631"/>
      <c r="O248" s="21">
        <f t="shared" si="42"/>
        <v>1</v>
      </c>
      <c r="P248" s="631"/>
      <c r="Q248" s="21">
        <f t="shared" si="43"/>
        <v>0</v>
      </c>
      <c r="R248" s="21">
        <f t="shared" si="44"/>
        <v>0</v>
      </c>
      <c r="S248" s="307">
        <f t="shared" si="35"/>
        <v>0</v>
      </c>
      <c r="T248" s="3190">
        <f>面积表!A243</f>
        <v>0</v>
      </c>
    </row>
    <row r="249" spans="1:20">
      <c r="A249" s="3169"/>
      <c r="B249" s="52"/>
      <c r="C249" s="21">
        <f t="shared" si="36"/>
        <v>1</v>
      </c>
      <c r="D249" s="2559"/>
      <c r="E249" s="21">
        <f t="shared" si="37"/>
        <v>0.02</v>
      </c>
      <c r="F249" s="2559"/>
      <c r="G249" s="21">
        <f t="shared" si="38"/>
        <v>0</v>
      </c>
      <c r="H249" s="631"/>
      <c r="I249" s="21">
        <f t="shared" si="39"/>
        <v>1</v>
      </c>
      <c r="J249" s="631"/>
      <c r="K249" s="21">
        <f t="shared" si="40"/>
        <v>1</v>
      </c>
      <c r="L249" s="631"/>
      <c r="M249" s="21">
        <f t="shared" si="41"/>
        <v>1</v>
      </c>
      <c r="N249" s="631"/>
      <c r="O249" s="21">
        <f t="shared" si="42"/>
        <v>1</v>
      </c>
      <c r="P249" s="631"/>
      <c r="Q249" s="21">
        <f t="shared" si="43"/>
        <v>0</v>
      </c>
      <c r="R249" s="21">
        <f t="shared" si="44"/>
        <v>0</v>
      </c>
      <c r="S249" s="307">
        <f t="shared" si="35"/>
        <v>0</v>
      </c>
      <c r="T249" s="3190">
        <f>面积表!A244</f>
        <v>0</v>
      </c>
    </row>
    <row r="250" spans="1:20">
      <c r="A250" s="3169"/>
      <c r="B250" s="52"/>
      <c r="C250" s="21">
        <f t="shared" si="36"/>
        <v>1</v>
      </c>
      <c r="D250" s="2559"/>
      <c r="E250" s="21">
        <f t="shared" si="37"/>
        <v>0.02</v>
      </c>
      <c r="F250" s="2559"/>
      <c r="G250" s="21">
        <f t="shared" si="38"/>
        <v>0</v>
      </c>
      <c r="H250" s="631"/>
      <c r="I250" s="21">
        <f t="shared" si="39"/>
        <v>1</v>
      </c>
      <c r="J250" s="631"/>
      <c r="K250" s="21">
        <f t="shared" si="40"/>
        <v>1</v>
      </c>
      <c r="L250" s="631"/>
      <c r="M250" s="21">
        <f t="shared" si="41"/>
        <v>1</v>
      </c>
      <c r="N250" s="631"/>
      <c r="O250" s="21">
        <f t="shared" si="42"/>
        <v>1</v>
      </c>
      <c r="P250" s="631"/>
      <c r="Q250" s="21">
        <f t="shared" si="43"/>
        <v>0</v>
      </c>
      <c r="R250" s="21">
        <f t="shared" si="44"/>
        <v>0</v>
      </c>
      <c r="S250" s="307">
        <f t="shared" si="35"/>
        <v>0</v>
      </c>
      <c r="T250" s="3190">
        <f>面积表!A245</f>
        <v>0</v>
      </c>
    </row>
    <row r="251" spans="1:20">
      <c r="A251" s="3169"/>
      <c r="B251" s="52"/>
      <c r="C251" s="21">
        <f t="shared" si="36"/>
        <v>1</v>
      </c>
      <c r="D251" s="2559"/>
      <c r="E251" s="21">
        <f t="shared" si="37"/>
        <v>0.02</v>
      </c>
      <c r="F251" s="2559"/>
      <c r="G251" s="21">
        <f t="shared" si="38"/>
        <v>0</v>
      </c>
      <c r="H251" s="631"/>
      <c r="I251" s="21">
        <f t="shared" si="39"/>
        <v>1</v>
      </c>
      <c r="J251" s="631"/>
      <c r="K251" s="21">
        <f t="shared" si="40"/>
        <v>1</v>
      </c>
      <c r="L251" s="631"/>
      <c r="M251" s="21">
        <f t="shared" si="41"/>
        <v>1</v>
      </c>
      <c r="N251" s="631"/>
      <c r="O251" s="21">
        <f t="shared" si="42"/>
        <v>1</v>
      </c>
      <c r="P251" s="631"/>
      <c r="Q251" s="21">
        <f t="shared" si="43"/>
        <v>0</v>
      </c>
      <c r="R251" s="21">
        <f t="shared" si="44"/>
        <v>0</v>
      </c>
      <c r="S251" s="307">
        <f t="shared" si="35"/>
        <v>0</v>
      </c>
      <c r="T251" s="3190">
        <f>面积表!A246</f>
        <v>0</v>
      </c>
    </row>
    <row r="252" spans="1:20">
      <c r="A252" s="3169"/>
      <c r="B252" s="52"/>
      <c r="C252" s="21">
        <f t="shared" si="36"/>
        <v>1</v>
      </c>
      <c r="D252" s="2559"/>
      <c r="E252" s="21">
        <f t="shared" si="37"/>
        <v>0.02</v>
      </c>
      <c r="F252" s="2559"/>
      <c r="G252" s="21">
        <f t="shared" si="38"/>
        <v>0</v>
      </c>
      <c r="H252" s="631"/>
      <c r="I252" s="21">
        <f t="shared" si="39"/>
        <v>1</v>
      </c>
      <c r="J252" s="631"/>
      <c r="K252" s="21">
        <f t="shared" si="40"/>
        <v>1</v>
      </c>
      <c r="L252" s="631"/>
      <c r="M252" s="21">
        <f t="shared" si="41"/>
        <v>1</v>
      </c>
      <c r="N252" s="631"/>
      <c r="O252" s="21">
        <f t="shared" si="42"/>
        <v>1</v>
      </c>
      <c r="P252" s="631"/>
      <c r="Q252" s="21">
        <f t="shared" si="43"/>
        <v>0</v>
      </c>
      <c r="R252" s="21">
        <f t="shared" si="44"/>
        <v>0</v>
      </c>
      <c r="S252" s="307">
        <f t="shared" si="35"/>
        <v>0</v>
      </c>
      <c r="T252" s="3190">
        <f>面积表!A247</f>
        <v>0</v>
      </c>
    </row>
    <row r="253" spans="1:20">
      <c r="A253" s="3169"/>
      <c r="B253" s="52"/>
      <c r="C253" s="21">
        <f t="shared" si="36"/>
        <v>1</v>
      </c>
      <c r="D253" s="2559"/>
      <c r="E253" s="21">
        <f t="shared" si="37"/>
        <v>0.02</v>
      </c>
      <c r="F253" s="2559"/>
      <c r="G253" s="21">
        <f t="shared" si="38"/>
        <v>0</v>
      </c>
      <c r="H253" s="631"/>
      <c r="I253" s="21">
        <f t="shared" si="39"/>
        <v>1</v>
      </c>
      <c r="J253" s="631"/>
      <c r="K253" s="21">
        <f t="shared" si="40"/>
        <v>1</v>
      </c>
      <c r="L253" s="631"/>
      <c r="M253" s="21">
        <f t="shared" si="41"/>
        <v>1</v>
      </c>
      <c r="N253" s="631"/>
      <c r="O253" s="21">
        <f t="shared" si="42"/>
        <v>1</v>
      </c>
      <c r="P253" s="631"/>
      <c r="Q253" s="21">
        <f t="shared" si="43"/>
        <v>0</v>
      </c>
      <c r="R253" s="21">
        <f t="shared" si="44"/>
        <v>0</v>
      </c>
      <c r="S253" s="307">
        <f t="shared" si="35"/>
        <v>0</v>
      </c>
      <c r="T253" s="3190">
        <f>面积表!A248</f>
        <v>0</v>
      </c>
    </row>
    <row r="254" spans="1:20">
      <c r="A254" s="3169"/>
      <c r="B254" s="52"/>
      <c r="C254" s="21">
        <f t="shared" si="36"/>
        <v>1</v>
      </c>
      <c r="D254" s="2559"/>
      <c r="E254" s="21">
        <f t="shared" si="37"/>
        <v>0.02</v>
      </c>
      <c r="F254" s="2559"/>
      <c r="G254" s="21">
        <f t="shared" si="38"/>
        <v>0</v>
      </c>
      <c r="H254" s="631"/>
      <c r="I254" s="21">
        <f t="shared" si="39"/>
        <v>1</v>
      </c>
      <c r="J254" s="631"/>
      <c r="K254" s="21">
        <f t="shared" si="40"/>
        <v>1</v>
      </c>
      <c r="L254" s="631"/>
      <c r="M254" s="21">
        <f t="shared" si="41"/>
        <v>1</v>
      </c>
      <c r="N254" s="631"/>
      <c r="O254" s="21">
        <f t="shared" si="42"/>
        <v>1</v>
      </c>
      <c r="P254" s="631"/>
      <c r="Q254" s="21">
        <f t="shared" si="43"/>
        <v>0</v>
      </c>
      <c r="R254" s="21">
        <f t="shared" si="44"/>
        <v>0</v>
      </c>
      <c r="S254" s="307">
        <f t="shared" si="35"/>
        <v>0</v>
      </c>
      <c r="T254" s="3190">
        <f>面积表!A249</f>
        <v>0</v>
      </c>
    </row>
    <row r="255" spans="1:20">
      <c r="A255" s="3169"/>
      <c r="B255" s="52"/>
      <c r="C255" s="21">
        <f t="shared" si="36"/>
        <v>1</v>
      </c>
      <c r="D255" s="2559"/>
      <c r="E255" s="21">
        <f t="shared" si="37"/>
        <v>0.02</v>
      </c>
      <c r="F255" s="2559"/>
      <c r="G255" s="21">
        <f t="shared" si="38"/>
        <v>0</v>
      </c>
      <c r="H255" s="631"/>
      <c r="I255" s="21">
        <f t="shared" si="39"/>
        <v>1</v>
      </c>
      <c r="J255" s="631"/>
      <c r="K255" s="21">
        <f t="shared" si="40"/>
        <v>1</v>
      </c>
      <c r="L255" s="631"/>
      <c r="M255" s="21">
        <f t="shared" si="41"/>
        <v>1</v>
      </c>
      <c r="N255" s="631"/>
      <c r="O255" s="21">
        <f t="shared" si="42"/>
        <v>1</v>
      </c>
      <c r="P255" s="631"/>
      <c r="Q255" s="21">
        <f t="shared" si="43"/>
        <v>0</v>
      </c>
      <c r="R255" s="21">
        <f t="shared" si="44"/>
        <v>0</v>
      </c>
      <c r="S255" s="307">
        <f t="shared" si="35"/>
        <v>0</v>
      </c>
      <c r="T255" s="3190">
        <f>面积表!A250</f>
        <v>0</v>
      </c>
    </row>
    <row r="256" spans="1:20">
      <c r="A256" s="3169"/>
      <c r="B256" s="52"/>
      <c r="C256" s="21">
        <f t="shared" si="36"/>
        <v>1</v>
      </c>
      <c r="D256" s="2559"/>
      <c r="E256" s="21">
        <f t="shared" si="37"/>
        <v>0.02</v>
      </c>
      <c r="F256" s="2559"/>
      <c r="G256" s="21">
        <f t="shared" si="38"/>
        <v>0</v>
      </c>
      <c r="H256" s="631"/>
      <c r="I256" s="21">
        <f t="shared" si="39"/>
        <v>1</v>
      </c>
      <c r="J256" s="631"/>
      <c r="K256" s="21">
        <f t="shared" si="40"/>
        <v>1</v>
      </c>
      <c r="L256" s="631"/>
      <c r="M256" s="21">
        <f t="shared" si="41"/>
        <v>1</v>
      </c>
      <c r="N256" s="631"/>
      <c r="O256" s="21">
        <f t="shared" si="42"/>
        <v>1</v>
      </c>
      <c r="P256" s="631"/>
      <c r="Q256" s="21">
        <f t="shared" si="43"/>
        <v>0</v>
      </c>
      <c r="R256" s="21">
        <f t="shared" si="44"/>
        <v>0</v>
      </c>
      <c r="S256" s="307">
        <f t="shared" si="35"/>
        <v>0</v>
      </c>
      <c r="T256" s="3190">
        <f>面积表!A251</f>
        <v>0</v>
      </c>
    </row>
    <row r="257" spans="1:20">
      <c r="A257" s="3169"/>
      <c r="B257" s="52"/>
      <c r="C257" s="21">
        <f t="shared" si="36"/>
        <v>1</v>
      </c>
      <c r="D257" s="2559"/>
      <c r="E257" s="21">
        <f t="shared" si="37"/>
        <v>0.02</v>
      </c>
      <c r="F257" s="2559"/>
      <c r="G257" s="21">
        <f t="shared" si="38"/>
        <v>0</v>
      </c>
      <c r="H257" s="631"/>
      <c r="I257" s="21">
        <f t="shared" si="39"/>
        <v>1</v>
      </c>
      <c r="J257" s="631"/>
      <c r="K257" s="21">
        <f t="shared" si="40"/>
        <v>1</v>
      </c>
      <c r="L257" s="631"/>
      <c r="M257" s="21">
        <f t="shared" si="41"/>
        <v>1</v>
      </c>
      <c r="N257" s="631"/>
      <c r="O257" s="21">
        <f t="shared" si="42"/>
        <v>1</v>
      </c>
      <c r="P257" s="631"/>
      <c r="Q257" s="21">
        <f t="shared" si="43"/>
        <v>0</v>
      </c>
      <c r="R257" s="21">
        <f t="shared" si="44"/>
        <v>0</v>
      </c>
      <c r="S257" s="307">
        <f t="shared" si="35"/>
        <v>0</v>
      </c>
      <c r="T257" s="3190">
        <f>面积表!A252</f>
        <v>0</v>
      </c>
    </row>
    <row r="258" spans="1:20">
      <c r="A258" s="3169"/>
      <c r="B258" s="52"/>
      <c r="C258" s="21">
        <f t="shared" si="36"/>
        <v>1</v>
      </c>
      <c r="D258" s="2559"/>
      <c r="E258" s="21">
        <f t="shared" si="37"/>
        <v>0.02</v>
      </c>
      <c r="F258" s="2559"/>
      <c r="G258" s="21">
        <f t="shared" si="38"/>
        <v>0</v>
      </c>
      <c r="H258" s="631"/>
      <c r="I258" s="21">
        <f t="shared" si="39"/>
        <v>1</v>
      </c>
      <c r="J258" s="631"/>
      <c r="K258" s="21">
        <f t="shared" si="40"/>
        <v>1</v>
      </c>
      <c r="L258" s="631"/>
      <c r="M258" s="21">
        <f t="shared" si="41"/>
        <v>1</v>
      </c>
      <c r="N258" s="631"/>
      <c r="O258" s="21">
        <f t="shared" si="42"/>
        <v>1</v>
      </c>
      <c r="P258" s="631"/>
      <c r="Q258" s="21">
        <f t="shared" si="43"/>
        <v>0</v>
      </c>
      <c r="R258" s="21">
        <f t="shared" si="44"/>
        <v>0</v>
      </c>
      <c r="S258" s="307">
        <f t="shared" si="35"/>
        <v>0</v>
      </c>
      <c r="T258" s="3190">
        <f>面积表!A253</f>
        <v>0</v>
      </c>
    </row>
    <row r="259" spans="1:20">
      <c r="A259" s="3169"/>
      <c r="B259" s="52"/>
      <c r="C259" s="21">
        <f t="shared" si="36"/>
        <v>1</v>
      </c>
      <c r="D259" s="2559"/>
      <c r="E259" s="21">
        <f t="shared" si="37"/>
        <v>0.02</v>
      </c>
      <c r="F259" s="2559"/>
      <c r="G259" s="21">
        <f t="shared" si="38"/>
        <v>0</v>
      </c>
      <c r="H259" s="631"/>
      <c r="I259" s="21">
        <f t="shared" si="39"/>
        <v>1</v>
      </c>
      <c r="J259" s="631"/>
      <c r="K259" s="21">
        <f t="shared" si="40"/>
        <v>1</v>
      </c>
      <c r="L259" s="631"/>
      <c r="M259" s="21">
        <f t="shared" si="41"/>
        <v>1</v>
      </c>
      <c r="N259" s="631"/>
      <c r="O259" s="21">
        <f t="shared" si="42"/>
        <v>1</v>
      </c>
      <c r="P259" s="631"/>
      <c r="Q259" s="21">
        <f t="shared" si="43"/>
        <v>0</v>
      </c>
      <c r="R259" s="21">
        <f t="shared" si="44"/>
        <v>0</v>
      </c>
      <c r="S259" s="307">
        <f t="shared" si="35"/>
        <v>0</v>
      </c>
      <c r="T259" s="3190">
        <f>面积表!A254</f>
        <v>0</v>
      </c>
    </row>
    <row r="260" spans="1:20">
      <c r="A260" s="3169"/>
      <c r="B260" s="52"/>
      <c r="C260" s="21">
        <f t="shared" si="36"/>
        <v>1</v>
      </c>
      <c r="D260" s="2559"/>
      <c r="E260" s="21">
        <f t="shared" si="37"/>
        <v>0.02</v>
      </c>
      <c r="F260" s="2559"/>
      <c r="G260" s="21">
        <f t="shared" si="38"/>
        <v>0</v>
      </c>
      <c r="H260" s="631"/>
      <c r="I260" s="21">
        <f t="shared" si="39"/>
        <v>1</v>
      </c>
      <c r="J260" s="631"/>
      <c r="K260" s="21">
        <f t="shared" si="40"/>
        <v>1</v>
      </c>
      <c r="L260" s="631"/>
      <c r="M260" s="21">
        <f t="shared" si="41"/>
        <v>1</v>
      </c>
      <c r="N260" s="631"/>
      <c r="O260" s="21">
        <f t="shared" si="42"/>
        <v>1</v>
      </c>
      <c r="P260" s="631"/>
      <c r="Q260" s="21">
        <f t="shared" si="43"/>
        <v>0</v>
      </c>
      <c r="R260" s="21">
        <f t="shared" si="44"/>
        <v>0</v>
      </c>
      <c r="S260" s="307">
        <f t="shared" si="35"/>
        <v>0</v>
      </c>
      <c r="T260" s="3190">
        <f>面积表!A255</f>
        <v>0</v>
      </c>
    </row>
    <row r="261" spans="1:20">
      <c r="A261" s="3169"/>
      <c r="B261" s="52"/>
      <c r="C261" s="21">
        <f t="shared" si="36"/>
        <v>1</v>
      </c>
      <c r="D261" s="2559"/>
      <c r="E261" s="21">
        <f t="shared" si="37"/>
        <v>0.02</v>
      </c>
      <c r="F261" s="2559"/>
      <c r="G261" s="21">
        <f t="shared" si="38"/>
        <v>0</v>
      </c>
      <c r="H261" s="631"/>
      <c r="I261" s="21">
        <f t="shared" si="39"/>
        <v>1</v>
      </c>
      <c r="J261" s="631"/>
      <c r="K261" s="21">
        <f t="shared" si="40"/>
        <v>1</v>
      </c>
      <c r="L261" s="631"/>
      <c r="M261" s="21">
        <f t="shared" si="41"/>
        <v>1</v>
      </c>
      <c r="N261" s="631"/>
      <c r="O261" s="21">
        <f t="shared" si="42"/>
        <v>1</v>
      </c>
      <c r="P261" s="631"/>
      <c r="Q261" s="21">
        <f t="shared" si="43"/>
        <v>0</v>
      </c>
      <c r="R261" s="21">
        <f t="shared" si="44"/>
        <v>0</v>
      </c>
      <c r="S261" s="307">
        <f t="shared" si="35"/>
        <v>0</v>
      </c>
      <c r="T261" s="3190">
        <f>面积表!A256</f>
        <v>0</v>
      </c>
    </row>
    <row r="262" spans="1:20">
      <c r="A262" s="3169"/>
      <c r="B262" s="52"/>
      <c r="C262" s="21">
        <f t="shared" si="36"/>
        <v>1</v>
      </c>
      <c r="D262" s="2559"/>
      <c r="E262" s="21">
        <f t="shared" si="37"/>
        <v>0.02</v>
      </c>
      <c r="F262" s="2559"/>
      <c r="G262" s="21">
        <f t="shared" si="38"/>
        <v>0</v>
      </c>
      <c r="H262" s="631"/>
      <c r="I262" s="21">
        <f t="shared" si="39"/>
        <v>1</v>
      </c>
      <c r="J262" s="631"/>
      <c r="K262" s="21">
        <f t="shared" si="40"/>
        <v>1</v>
      </c>
      <c r="L262" s="631"/>
      <c r="M262" s="21">
        <f t="shared" si="41"/>
        <v>1</v>
      </c>
      <c r="N262" s="631"/>
      <c r="O262" s="21">
        <f t="shared" si="42"/>
        <v>1</v>
      </c>
      <c r="P262" s="631"/>
      <c r="Q262" s="21">
        <f t="shared" si="43"/>
        <v>0</v>
      </c>
      <c r="R262" s="21">
        <f t="shared" si="44"/>
        <v>0</v>
      </c>
      <c r="S262" s="307">
        <f t="shared" si="35"/>
        <v>0</v>
      </c>
      <c r="T262" s="3190">
        <f>面积表!A257</f>
        <v>0</v>
      </c>
    </row>
    <row r="263" spans="1:20">
      <c r="A263" s="3169"/>
      <c r="B263" s="52"/>
      <c r="C263" s="21">
        <f t="shared" si="36"/>
        <v>1</v>
      </c>
      <c r="D263" s="2559"/>
      <c r="E263" s="21">
        <f t="shared" si="37"/>
        <v>0.02</v>
      </c>
      <c r="F263" s="2559"/>
      <c r="G263" s="21">
        <f t="shared" si="38"/>
        <v>0</v>
      </c>
      <c r="H263" s="631"/>
      <c r="I263" s="21">
        <f t="shared" si="39"/>
        <v>1</v>
      </c>
      <c r="J263" s="631"/>
      <c r="K263" s="21">
        <f t="shared" si="40"/>
        <v>1</v>
      </c>
      <c r="L263" s="631"/>
      <c r="M263" s="21">
        <f t="shared" si="41"/>
        <v>1</v>
      </c>
      <c r="N263" s="631"/>
      <c r="O263" s="21">
        <f t="shared" si="42"/>
        <v>1</v>
      </c>
      <c r="P263" s="631"/>
      <c r="Q263" s="21">
        <f t="shared" si="43"/>
        <v>0</v>
      </c>
      <c r="R263" s="21">
        <f t="shared" si="44"/>
        <v>0</v>
      </c>
      <c r="S263" s="307">
        <f t="shared" si="35"/>
        <v>0</v>
      </c>
      <c r="T263" s="3190">
        <f>面积表!A258</f>
        <v>0</v>
      </c>
    </row>
    <row r="264" spans="1:20">
      <c r="A264" s="3169"/>
      <c r="B264" s="52"/>
      <c r="C264" s="21">
        <f t="shared" si="36"/>
        <v>1</v>
      </c>
      <c r="D264" s="2559"/>
      <c r="E264" s="21">
        <f t="shared" si="37"/>
        <v>0.02</v>
      </c>
      <c r="F264" s="2559"/>
      <c r="G264" s="21">
        <f t="shared" si="38"/>
        <v>0</v>
      </c>
      <c r="H264" s="631"/>
      <c r="I264" s="21">
        <f t="shared" si="39"/>
        <v>1</v>
      </c>
      <c r="J264" s="631"/>
      <c r="K264" s="21">
        <f t="shared" si="40"/>
        <v>1</v>
      </c>
      <c r="L264" s="631"/>
      <c r="M264" s="21">
        <f t="shared" si="41"/>
        <v>1</v>
      </c>
      <c r="N264" s="631"/>
      <c r="O264" s="21">
        <f t="shared" si="42"/>
        <v>1</v>
      </c>
      <c r="P264" s="631"/>
      <c r="Q264" s="21">
        <f t="shared" si="43"/>
        <v>0</v>
      </c>
      <c r="R264" s="21">
        <f t="shared" si="44"/>
        <v>0</v>
      </c>
      <c r="S264" s="307">
        <f t="shared" si="35"/>
        <v>0</v>
      </c>
      <c r="T264" s="3190">
        <f>面积表!A259</f>
        <v>0</v>
      </c>
    </row>
    <row r="265" spans="1:20">
      <c r="A265" s="3169"/>
      <c r="B265" s="52"/>
      <c r="C265" s="21">
        <f t="shared" si="36"/>
        <v>1</v>
      </c>
      <c r="D265" s="2559"/>
      <c r="E265" s="21">
        <f t="shared" si="37"/>
        <v>0.02</v>
      </c>
      <c r="F265" s="2559"/>
      <c r="G265" s="21">
        <f t="shared" si="38"/>
        <v>0</v>
      </c>
      <c r="H265" s="631"/>
      <c r="I265" s="21">
        <f t="shared" si="39"/>
        <v>1</v>
      </c>
      <c r="J265" s="631"/>
      <c r="K265" s="21">
        <f t="shared" si="40"/>
        <v>1</v>
      </c>
      <c r="L265" s="631"/>
      <c r="M265" s="21">
        <f t="shared" si="41"/>
        <v>1</v>
      </c>
      <c r="N265" s="631"/>
      <c r="O265" s="21">
        <f t="shared" si="42"/>
        <v>1</v>
      </c>
      <c r="P265" s="631"/>
      <c r="Q265" s="21">
        <f t="shared" si="43"/>
        <v>0</v>
      </c>
      <c r="R265" s="21">
        <f t="shared" si="44"/>
        <v>0</v>
      </c>
      <c r="S265" s="307">
        <f t="shared" si="35"/>
        <v>0</v>
      </c>
      <c r="T265" s="3190">
        <f>面积表!A260</f>
        <v>0</v>
      </c>
    </row>
    <row r="266" spans="1:20">
      <c r="A266" s="3169"/>
      <c r="B266" s="52"/>
      <c r="C266" s="21">
        <f t="shared" si="36"/>
        <v>1</v>
      </c>
      <c r="D266" s="2559"/>
      <c r="E266" s="21">
        <f t="shared" si="37"/>
        <v>0.02</v>
      </c>
      <c r="F266" s="2559"/>
      <c r="G266" s="21">
        <f t="shared" si="38"/>
        <v>0</v>
      </c>
      <c r="H266" s="631"/>
      <c r="I266" s="21">
        <f t="shared" si="39"/>
        <v>1</v>
      </c>
      <c r="J266" s="631"/>
      <c r="K266" s="21">
        <f t="shared" si="40"/>
        <v>1</v>
      </c>
      <c r="L266" s="631"/>
      <c r="M266" s="21">
        <f t="shared" si="41"/>
        <v>1</v>
      </c>
      <c r="N266" s="631"/>
      <c r="O266" s="21">
        <f t="shared" si="42"/>
        <v>1</v>
      </c>
      <c r="P266" s="631"/>
      <c r="Q266" s="21">
        <f t="shared" si="43"/>
        <v>0</v>
      </c>
      <c r="R266" s="21">
        <f t="shared" si="44"/>
        <v>0</v>
      </c>
      <c r="S266" s="307">
        <f t="shared" si="35"/>
        <v>0</v>
      </c>
      <c r="T266" s="3190">
        <f>面积表!A261</f>
        <v>0</v>
      </c>
    </row>
    <row r="267" spans="1:20">
      <c r="A267" s="3169"/>
      <c r="B267" s="52"/>
      <c r="C267" s="21">
        <f t="shared" si="36"/>
        <v>1</v>
      </c>
      <c r="D267" s="2559"/>
      <c r="E267" s="21">
        <f t="shared" si="37"/>
        <v>0.02</v>
      </c>
      <c r="F267" s="2559"/>
      <c r="G267" s="21">
        <f t="shared" si="38"/>
        <v>0</v>
      </c>
      <c r="H267" s="631"/>
      <c r="I267" s="21">
        <f t="shared" si="39"/>
        <v>1</v>
      </c>
      <c r="J267" s="631"/>
      <c r="K267" s="21">
        <f t="shared" si="40"/>
        <v>1</v>
      </c>
      <c r="L267" s="631"/>
      <c r="M267" s="21">
        <f t="shared" si="41"/>
        <v>1</v>
      </c>
      <c r="N267" s="631"/>
      <c r="O267" s="21">
        <f t="shared" si="42"/>
        <v>1</v>
      </c>
      <c r="P267" s="631"/>
      <c r="Q267" s="21">
        <f t="shared" si="43"/>
        <v>0</v>
      </c>
      <c r="R267" s="21">
        <f t="shared" si="44"/>
        <v>0</v>
      </c>
      <c r="S267" s="307">
        <f t="shared" si="35"/>
        <v>0</v>
      </c>
      <c r="T267" s="3190">
        <f>面积表!A262</f>
        <v>0</v>
      </c>
    </row>
    <row r="268" spans="1:20">
      <c r="A268" s="3169"/>
      <c r="B268" s="52"/>
      <c r="C268" s="21">
        <f t="shared" si="36"/>
        <v>1</v>
      </c>
      <c r="D268" s="2559"/>
      <c r="E268" s="21">
        <f t="shared" si="37"/>
        <v>0.02</v>
      </c>
      <c r="F268" s="2559"/>
      <c r="G268" s="21">
        <f t="shared" si="38"/>
        <v>0</v>
      </c>
      <c r="H268" s="631"/>
      <c r="I268" s="21">
        <f t="shared" si="39"/>
        <v>1</v>
      </c>
      <c r="J268" s="631"/>
      <c r="K268" s="21">
        <f t="shared" si="40"/>
        <v>1</v>
      </c>
      <c r="L268" s="631"/>
      <c r="M268" s="21">
        <f t="shared" si="41"/>
        <v>1</v>
      </c>
      <c r="N268" s="631"/>
      <c r="O268" s="21">
        <f t="shared" si="42"/>
        <v>1</v>
      </c>
      <c r="P268" s="631"/>
      <c r="Q268" s="21">
        <f t="shared" si="43"/>
        <v>0</v>
      </c>
      <c r="R268" s="21">
        <f t="shared" si="44"/>
        <v>0</v>
      </c>
      <c r="S268" s="307">
        <f t="shared" si="35"/>
        <v>0</v>
      </c>
      <c r="T268" s="3190">
        <f>面积表!A263</f>
        <v>0</v>
      </c>
    </row>
    <row r="269" spans="1:20">
      <c r="A269" s="3169"/>
      <c r="B269" s="52"/>
      <c r="C269" s="21">
        <f t="shared" si="36"/>
        <v>1</v>
      </c>
      <c r="D269" s="2559"/>
      <c r="E269" s="21">
        <f t="shared" si="37"/>
        <v>0.02</v>
      </c>
      <c r="F269" s="2559"/>
      <c r="G269" s="21">
        <f t="shared" si="38"/>
        <v>0</v>
      </c>
      <c r="H269" s="631"/>
      <c r="I269" s="21">
        <f t="shared" si="39"/>
        <v>1</v>
      </c>
      <c r="J269" s="631"/>
      <c r="K269" s="21">
        <f t="shared" si="40"/>
        <v>1</v>
      </c>
      <c r="L269" s="631"/>
      <c r="M269" s="21">
        <f t="shared" si="41"/>
        <v>1</v>
      </c>
      <c r="N269" s="631"/>
      <c r="O269" s="21">
        <f t="shared" si="42"/>
        <v>1</v>
      </c>
      <c r="P269" s="631"/>
      <c r="Q269" s="21">
        <f t="shared" si="43"/>
        <v>0</v>
      </c>
      <c r="R269" s="21">
        <f t="shared" si="44"/>
        <v>0</v>
      </c>
      <c r="S269" s="307">
        <f t="shared" si="35"/>
        <v>0</v>
      </c>
      <c r="T269" s="3190">
        <f>面积表!A264</f>
        <v>0</v>
      </c>
    </row>
    <row r="270" spans="1:20">
      <c r="A270" s="3169"/>
      <c r="B270" s="52"/>
      <c r="C270" s="21">
        <f t="shared" si="36"/>
        <v>1</v>
      </c>
      <c r="D270" s="2559"/>
      <c r="E270" s="21">
        <f t="shared" si="37"/>
        <v>0.02</v>
      </c>
      <c r="F270" s="2559"/>
      <c r="G270" s="21">
        <f t="shared" si="38"/>
        <v>0</v>
      </c>
      <c r="H270" s="631"/>
      <c r="I270" s="21">
        <f t="shared" si="39"/>
        <v>1</v>
      </c>
      <c r="J270" s="631"/>
      <c r="K270" s="21">
        <f t="shared" si="40"/>
        <v>1</v>
      </c>
      <c r="L270" s="631"/>
      <c r="M270" s="21">
        <f t="shared" si="41"/>
        <v>1</v>
      </c>
      <c r="N270" s="631"/>
      <c r="O270" s="21">
        <f t="shared" si="42"/>
        <v>1</v>
      </c>
      <c r="P270" s="631"/>
      <c r="Q270" s="21">
        <f t="shared" si="43"/>
        <v>0</v>
      </c>
      <c r="R270" s="21">
        <f t="shared" si="44"/>
        <v>0</v>
      </c>
      <c r="S270" s="307">
        <f t="shared" si="35"/>
        <v>0</v>
      </c>
      <c r="T270" s="3190">
        <f>面积表!A265</f>
        <v>0</v>
      </c>
    </row>
    <row r="271" spans="1:20">
      <c r="A271" s="3169"/>
      <c r="B271" s="52"/>
      <c r="C271" s="21">
        <f t="shared" si="36"/>
        <v>1</v>
      </c>
      <c r="D271" s="2559"/>
      <c r="E271" s="21">
        <f t="shared" si="37"/>
        <v>0.02</v>
      </c>
      <c r="F271" s="2559"/>
      <c r="G271" s="21">
        <f t="shared" si="38"/>
        <v>0</v>
      </c>
      <c r="H271" s="631"/>
      <c r="I271" s="21">
        <f t="shared" si="39"/>
        <v>1</v>
      </c>
      <c r="J271" s="631"/>
      <c r="K271" s="21">
        <f t="shared" si="40"/>
        <v>1</v>
      </c>
      <c r="L271" s="631"/>
      <c r="M271" s="21">
        <f t="shared" si="41"/>
        <v>1</v>
      </c>
      <c r="N271" s="631"/>
      <c r="O271" s="21">
        <f t="shared" si="42"/>
        <v>1</v>
      </c>
      <c r="P271" s="631"/>
      <c r="Q271" s="21">
        <f t="shared" si="43"/>
        <v>0</v>
      </c>
      <c r="R271" s="21">
        <f t="shared" si="44"/>
        <v>0</v>
      </c>
      <c r="S271" s="307">
        <f t="shared" si="35"/>
        <v>0</v>
      </c>
      <c r="T271" s="3190">
        <f>面积表!A266</f>
        <v>0</v>
      </c>
    </row>
    <row r="272" spans="1:20">
      <c r="A272" s="3169"/>
      <c r="B272" s="52"/>
      <c r="C272" s="21">
        <f t="shared" si="36"/>
        <v>1</v>
      </c>
      <c r="D272" s="2559"/>
      <c r="E272" s="21">
        <f t="shared" si="37"/>
        <v>0.02</v>
      </c>
      <c r="F272" s="2559"/>
      <c r="G272" s="21">
        <f t="shared" si="38"/>
        <v>0</v>
      </c>
      <c r="H272" s="631"/>
      <c r="I272" s="21">
        <f t="shared" si="39"/>
        <v>1</v>
      </c>
      <c r="J272" s="631"/>
      <c r="K272" s="21">
        <f t="shared" si="40"/>
        <v>1</v>
      </c>
      <c r="L272" s="631"/>
      <c r="M272" s="21">
        <f t="shared" si="41"/>
        <v>1</v>
      </c>
      <c r="N272" s="631"/>
      <c r="O272" s="21">
        <f t="shared" si="42"/>
        <v>1</v>
      </c>
      <c r="P272" s="631"/>
      <c r="Q272" s="21">
        <f t="shared" si="43"/>
        <v>0</v>
      </c>
      <c r="R272" s="21">
        <f t="shared" si="44"/>
        <v>0</v>
      </c>
      <c r="S272" s="307">
        <f t="shared" si="35"/>
        <v>0</v>
      </c>
      <c r="T272" s="3190">
        <f>面积表!A267</f>
        <v>0</v>
      </c>
    </row>
    <row r="273" spans="1:20">
      <c r="A273" s="3169"/>
      <c r="B273" s="52"/>
      <c r="C273" s="21">
        <f t="shared" si="36"/>
        <v>1</v>
      </c>
      <c r="D273" s="2559"/>
      <c r="E273" s="21">
        <f t="shared" si="37"/>
        <v>0.02</v>
      </c>
      <c r="F273" s="2559"/>
      <c r="G273" s="21">
        <f t="shared" si="38"/>
        <v>0</v>
      </c>
      <c r="H273" s="631"/>
      <c r="I273" s="21">
        <f t="shared" si="39"/>
        <v>1</v>
      </c>
      <c r="J273" s="631"/>
      <c r="K273" s="21">
        <f t="shared" si="40"/>
        <v>1</v>
      </c>
      <c r="L273" s="631"/>
      <c r="M273" s="21">
        <f t="shared" si="41"/>
        <v>1</v>
      </c>
      <c r="N273" s="631"/>
      <c r="O273" s="21">
        <f t="shared" si="42"/>
        <v>1</v>
      </c>
      <c r="P273" s="631"/>
      <c r="Q273" s="21">
        <f t="shared" si="43"/>
        <v>0</v>
      </c>
      <c r="R273" s="21">
        <f t="shared" si="44"/>
        <v>0</v>
      </c>
      <c r="S273" s="307">
        <f t="shared" si="35"/>
        <v>0</v>
      </c>
      <c r="T273" s="3190">
        <f>面积表!A268</f>
        <v>0</v>
      </c>
    </row>
    <row r="274" spans="1:20">
      <c r="A274" s="3169"/>
      <c r="B274" s="52"/>
      <c r="C274" s="21">
        <f t="shared" si="36"/>
        <v>1</v>
      </c>
      <c r="D274" s="2559"/>
      <c r="E274" s="21">
        <f t="shared" si="37"/>
        <v>0.02</v>
      </c>
      <c r="F274" s="2559"/>
      <c r="G274" s="21">
        <f t="shared" si="38"/>
        <v>0</v>
      </c>
      <c r="H274" s="631"/>
      <c r="I274" s="21">
        <f t="shared" si="39"/>
        <v>1</v>
      </c>
      <c r="J274" s="631"/>
      <c r="K274" s="21">
        <f t="shared" si="40"/>
        <v>1</v>
      </c>
      <c r="L274" s="631"/>
      <c r="M274" s="21">
        <f t="shared" si="41"/>
        <v>1</v>
      </c>
      <c r="N274" s="631"/>
      <c r="O274" s="21">
        <f t="shared" si="42"/>
        <v>1</v>
      </c>
      <c r="P274" s="631"/>
      <c r="Q274" s="21">
        <f t="shared" si="43"/>
        <v>0</v>
      </c>
      <c r="R274" s="21">
        <f t="shared" si="44"/>
        <v>0</v>
      </c>
      <c r="S274" s="307">
        <f t="shared" si="35"/>
        <v>0</v>
      </c>
      <c r="T274" s="3190">
        <f>面积表!A269</f>
        <v>0</v>
      </c>
    </row>
    <row r="275" spans="1:20">
      <c r="A275" s="3169"/>
      <c r="B275" s="52"/>
      <c r="C275" s="21">
        <f t="shared" si="36"/>
        <v>1</v>
      </c>
      <c r="D275" s="2559"/>
      <c r="E275" s="21">
        <f t="shared" si="37"/>
        <v>0.02</v>
      </c>
      <c r="F275" s="2559"/>
      <c r="G275" s="21">
        <f t="shared" si="38"/>
        <v>0</v>
      </c>
      <c r="H275" s="631"/>
      <c r="I275" s="21">
        <f t="shared" si="39"/>
        <v>1</v>
      </c>
      <c r="J275" s="631"/>
      <c r="K275" s="21">
        <f t="shared" si="40"/>
        <v>1</v>
      </c>
      <c r="L275" s="631"/>
      <c r="M275" s="21">
        <f t="shared" si="41"/>
        <v>1</v>
      </c>
      <c r="N275" s="631"/>
      <c r="O275" s="21">
        <f t="shared" si="42"/>
        <v>1</v>
      </c>
      <c r="P275" s="631"/>
      <c r="Q275" s="21">
        <f t="shared" si="43"/>
        <v>0</v>
      </c>
      <c r="R275" s="21">
        <f t="shared" si="44"/>
        <v>0</v>
      </c>
      <c r="S275" s="307">
        <f t="shared" si="35"/>
        <v>0</v>
      </c>
      <c r="T275" s="3190">
        <f>面积表!A270</f>
        <v>0</v>
      </c>
    </row>
    <row r="276" spans="1:20">
      <c r="A276" s="3169"/>
      <c r="B276" s="52"/>
      <c r="C276" s="21">
        <f t="shared" si="36"/>
        <v>1</v>
      </c>
      <c r="D276" s="2559"/>
      <c r="E276" s="21">
        <f t="shared" si="37"/>
        <v>0.02</v>
      </c>
      <c r="F276" s="2559"/>
      <c r="G276" s="21">
        <f t="shared" si="38"/>
        <v>0</v>
      </c>
      <c r="H276" s="631"/>
      <c r="I276" s="21">
        <f t="shared" si="39"/>
        <v>1</v>
      </c>
      <c r="J276" s="631"/>
      <c r="K276" s="21">
        <f t="shared" si="40"/>
        <v>1</v>
      </c>
      <c r="L276" s="631"/>
      <c r="M276" s="21">
        <f t="shared" si="41"/>
        <v>1</v>
      </c>
      <c r="N276" s="631"/>
      <c r="O276" s="21">
        <f t="shared" si="42"/>
        <v>1</v>
      </c>
      <c r="P276" s="631"/>
      <c r="Q276" s="21">
        <f t="shared" si="43"/>
        <v>0</v>
      </c>
      <c r="R276" s="21">
        <f t="shared" si="44"/>
        <v>0</v>
      </c>
      <c r="S276" s="307">
        <f t="shared" si="35"/>
        <v>0</v>
      </c>
      <c r="T276" s="3190">
        <f>面积表!A271</f>
        <v>0</v>
      </c>
    </row>
    <row r="277" spans="1:20">
      <c r="A277" s="3169"/>
      <c r="B277" s="52"/>
      <c r="C277" s="21">
        <f t="shared" si="36"/>
        <v>1</v>
      </c>
      <c r="D277" s="2559"/>
      <c r="E277" s="21">
        <f t="shared" si="37"/>
        <v>0.02</v>
      </c>
      <c r="F277" s="2559"/>
      <c r="G277" s="21">
        <f t="shared" si="38"/>
        <v>0</v>
      </c>
      <c r="H277" s="631"/>
      <c r="I277" s="21">
        <f t="shared" si="39"/>
        <v>1</v>
      </c>
      <c r="J277" s="631"/>
      <c r="K277" s="21">
        <f t="shared" si="40"/>
        <v>1</v>
      </c>
      <c r="L277" s="631"/>
      <c r="M277" s="21">
        <f t="shared" si="41"/>
        <v>1</v>
      </c>
      <c r="N277" s="631"/>
      <c r="O277" s="21">
        <f t="shared" si="42"/>
        <v>1</v>
      </c>
      <c r="P277" s="631"/>
      <c r="Q277" s="21">
        <f t="shared" si="43"/>
        <v>0</v>
      </c>
      <c r="R277" s="21">
        <f t="shared" si="44"/>
        <v>0</v>
      </c>
      <c r="S277" s="307">
        <f t="shared" si="35"/>
        <v>0</v>
      </c>
      <c r="T277" s="3190">
        <f>面积表!A272</f>
        <v>0</v>
      </c>
    </row>
    <row r="278" spans="1:20">
      <c r="A278" s="3169"/>
      <c r="B278" s="52"/>
      <c r="C278" s="21">
        <f t="shared" si="36"/>
        <v>1</v>
      </c>
      <c r="D278" s="2559"/>
      <c r="E278" s="21">
        <f t="shared" si="37"/>
        <v>0.02</v>
      </c>
      <c r="F278" s="2559"/>
      <c r="G278" s="21">
        <f t="shared" si="38"/>
        <v>0</v>
      </c>
      <c r="H278" s="631"/>
      <c r="I278" s="21">
        <f t="shared" si="39"/>
        <v>1</v>
      </c>
      <c r="J278" s="631"/>
      <c r="K278" s="21">
        <f t="shared" si="40"/>
        <v>1</v>
      </c>
      <c r="L278" s="631"/>
      <c r="M278" s="21">
        <f t="shared" si="41"/>
        <v>1</v>
      </c>
      <c r="N278" s="631"/>
      <c r="O278" s="21">
        <f t="shared" si="42"/>
        <v>1</v>
      </c>
      <c r="P278" s="631"/>
      <c r="Q278" s="21">
        <f t="shared" si="43"/>
        <v>0</v>
      </c>
      <c r="R278" s="21">
        <f t="shared" si="44"/>
        <v>0</v>
      </c>
      <c r="S278" s="307">
        <f t="shared" si="35"/>
        <v>0</v>
      </c>
      <c r="T278" s="3190">
        <f>面积表!A273</f>
        <v>0</v>
      </c>
    </row>
    <row r="279" spans="1:20">
      <c r="A279" s="3169"/>
      <c r="B279" s="52"/>
      <c r="C279" s="21">
        <f t="shared" si="36"/>
        <v>1</v>
      </c>
      <c r="D279" s="2559"/>
      <c r="E279" s="21">
        <f t="shared" si="37"/>
        <v>0.02</v>
      </c>
      <c r="F279" s="2559"/>
      <c r="G279" s="21">
        <f t="shared" si="38"/>
        <v>0</v>
      </c>
      <c r="H279" s="631"/>
      <c r="I279" s="21">
        <f t="shared" si="39"/>
        <v>1</v>
      </c>
      <c r="J279" s="631"/>
      <c r="K279" s="21">
        <f t="shared" si="40"/>
        <v>1</v>
      </c>
      <c r="L279" s="631"/>
      <c r="M279" s="21">
        <f t="shared" si="41"/>
        <v>1</v>
      </c>
      <c r="N279" s="631"/>
      <c r="O279" s="21">
        <f t="shared" si="42"/>
        <v>1</v>
      </c>
      <c r="P279" s="631"/>
      <c r="Q279" s="21">
        <f t="shared" si="43"/>
        <v>0</v>
      </c>
      <c r="R279" s="21">
        <f t="shared" si="44"/>
        <v>0</v>
      </c>
      <c r="S279" s="307">
        <f t="shared" si="35"/>
        <v>0</v>
      </c>
      <c r="T279" s="3190">
        <f>面积表!A274</f>
        <v>0</v>
      </c>
    </row>
    <row r="280" spans="1:20">
      <c r="A280" s="3169"/>
      <c r="B280" s="52"/>
      <c r="C280" s="21">
        <f t="shared" si="36"/>
        <v>1</v>
      </c>
      <c r="D280" s="2559"/>
      <c r="E280" s="21">
        <f t="shared" si="37"/>
        <v>0.02</v>
      </c>
      <c r="F280" s="2559"/>
      <c r="G280" s="21">
        <f t="shared" si="38"/>
        <v>0</v>
      </c>
      <c r="H280" s="631"/>
      <c r="I280" s="21">
        <f t="shared" si="39"/>
        <v>1</v>
      </c>
      <c r="J280" s="631"/>
      <c r="K280" s="21">
        <f t="shared" si="40"/>
        <v>1</v>
      </c>
      <c r="L280" s="631"/>
      <c r="M280" s="21">
        <f t="shared" si="41"/>
        <v>1</v>
      </c>
      <c r="N280" s="631"/>
      <c r="O280" s="21">
        <f t="shared" si="42"/>
        <v>1</v>
      </c>
      <c r="P280" s="631"/>
      <c r="Q280" s="21">
        <f t="shared" si="43"/>
        <v>0</v>
      </c>
      <c r="R280" s="21">
        <f t="shared" si="44"/>
        <v>0</v>
      </c>
      <c r="S280" s="307">
        <f t="shared" ref="S280:S343" si="45">ROUND(R280*B280/10000,0)</f>
        <v>0</v>
      </c>
      <c r="T280" s="3190">
        <f>面积表!A275</f>
        <v>0</v>
      </c>
    </row>
    <row r="281" spans="1:20">
      <c r="A281" s="3169"/>
      <c r="B281" s="52"/>
      <c r="C281" s="21">
        <f t="shared" si="36"/>
        <v>1</v>
      </c>
      <c r="D281" s="2559"/>
      <c r="E281" s="21">
        <f t="shared" si="37"/>
        <v>0.02</v>
      </c>
      <c r="F281" s="2559"/>
      <c r="G281" s="21">
        <f t="shared" si="38"/>
        <v>0</v>
      </c>
      <c r="H281" s="631"/>
      <c r="I281" s="21">
        <f t="shared" si="39"/>
        <v>1</v>
      </c>
      <c r="J281" s="631"/>
      <c r="K281" s="21">
        <f t="shared" si="40"/>
        <v>1</v>
      </c>
      <c r="L281" s="631"/>
      <c r="M281" s="21">
        <f t="shared" si="41"/>
        <v>1</v>
      </c>
      <c r="N281" s="631"/>
      <c r="O281" s="21">
        <f t="shared" si="42"/>
        <v>1</v>
      </c>
      <c r="P281" s="631"/>
      <c r="Q281" s="21">
        <f t="shared" si="43"/>
        <v>0</v>
      </c>
      <c r="R281" s="21">
        <f t="shared" si="44"/>
        <v>0</v>
      </c>
      <c r="S281" s="307">
        <f t="shared" si="45"/>
        <v>0</v>
      </c>
      <c r="T281" s="3190">
        <f>面积表!A276</f>
        <v>0</v>
      </c>
    </row>
    <row r="282" spans="1:20">
      <c r="A282" s="3169"/>
      <c r="B282" s="52"/>
      <c r="C282" s="21">
        <f t="shared" ref="C282:C345" si="46">IF(B282="",1,(LOOKUP(B282,$3:$3,$4:$4)-LOOKUP($B$24,$3:$3,$4:$4)+100)/100)</f>
        <v>1</v>
      </c>
      <c r="D282" s="2559"/>
      <c r="E282" s="21">
        <f t="shared" ref="E282:E345" si="47">(SUMIF($5:$5,D282,$6:$6)-SUMIF($5:$5,$D$24,$6:$6)+100)/100</f>
        <v>0.02</v>
      </c>
      <c r="F282" s="2559"/>
      <c r="G282" s="21">
        <f t="shared" ref="G282:G345" si="48">(SUMIF($7:$7,F282,$8:$8)-SUMIF($7:$7,$F$24,$8:$8)+100)/100</f>
        <v>0</v>
      </c>
      <c r="H282" s="631"/>
      <c r="I282" s="21">
        <f t="shared" ref="I282:I345" si="49">(SUMIF($9:$9,H282,$10:$10)-SUMIF($9:$9,$H$24,$10:$10)+100)/100</f>
        <v>1</v>
      </c>
      <c r="J282" s="631"/>
      <c r="K282" s="21">
        <f t="shared" ref="K282:K345" si="50">(SUMIF($11:$11,J282,$12:$12)-SUMIF($11:$11,$J$24,$12:$12)+100)/100</f>
        <v>1</v>
      </c>
      <c r="L282" s="631"/>
      <c r="M282" s="21">
        <f t="shared" ref="M282:M345" si="51">(SUMIF($13:$13,L282,$14:$14)-SUMIF($13:$13,$L$24,$14:$14)+100)/100</f>
        <v>1</v>
      </c>
      <c r="N282" s="631"/>
      <c r="O282" s="21">
        <f t="shared" ref="O282:O345" si="52">(SUMIF($15:$15,N282,$16:$16)-SUMIF($15:$15,$N$24,$16:$16)+100)/100</f>
        <v>1</v>
      </c>
      <c r="P282" s="631"/>
      <c r="Q282" s="21">
        <f t="shared" ref="Q282:Q345" si="53">(SUMIF($17:$17,P282,$18:$18)-SUMIF($17:$17,$P$24,$18:$18)+100)/100</f>
        <v>0</v>
      </c>
      <c r="R282" s="21">
        <f t="shared" ref="R282:R345" si="54">IF(B282="",0,ROUND($R$24*C282*E282*G282*I282*K282*M282*O282*Q282,0))</f>
        <v>0</v>
      </c>
      <c r="S282" s="307">
        <f t="shared" si="45"/>
        <v>0</v>
      </c>
      <c r="T282" s="3190">
        <f>面积表!A277</f>
        <v>0</v>
      </c>
    </row>
    <row r="283" spans="1:20">
      <c r="A283" s="3169"/>
      <c r="B283" s="52"/>
      <c r="C283" s="21">
        <f t="shared" si="46"/>
        <v>1</v>
      </c>
      <c r="D283" s="2559"/>
      <c r="E283" s="21">
        <f t="shared" si="47"/>
        <v>0.02</v>
      </c>
      <c r="F283" s="2559"/>
      <c r="G283" s="21">
        <f t="shared" si="48"/>
        <v>0</v>
      </c>
      <c r="H283" s="631"/>
      <c r="I283" s="21">
        <f t="shared" si="49"/>
        <v>1</v>
      </c>
      <c r="J283" s="631"/>
      <c r="K283" s="21">
        <f t="shared" si="50"/>
        <v>1</v>
      </c>
      <c r="L283" s="631"/>
      <c r="M283" s="21">
        <f t="shared" si="51"/>
        <v>1</v>
      </c>
      <c r="N283" s="631"/>
      <c r="O283" s="21">
        <f t="shared" si="52"/>
        <v>1</v>
      </c>
      <c r="P283" s="631"/>
      <c r="Q283" s="21">
        <f t="shared" si="53"/>
        <v>0</v>
      </c>
      <c r="R283" s="21">
        <f t="shared" si="54"/>
        <v>0</v>
      </c>
      <c r="S283" s="307">
        <f t="shared" si="45"/>
        <v>0</v>
      </c>
      <c r="T283" s="3190">
        <f>面积表!A278</f>
        <v>0</v>
      </c>
    </row>
    <row r="284" spans="1:20">
      <c r="A284" s="3169"/>
      <c r="B284" s="52"/>
      <c r="C284" s="21">
        <f t="shared" si="46"/>
        <v>1</v>
      </c>
      <c r="D284" s="2559"/>
      <c r="E284" s="21">
        <f t="shared" si="47"/>
        <v>0.02</v>
      </c>
      <c r="F284" s="2559"/>
      <c r="G284" s="21">
        <f t="shared" si="48"/>
        <v>0</v>
      </c>
      <c r="H284" s="631"/>
      <c r="I284" s="21">
        <f t="shared" si="49"/>
        <v>1</v>
      </c>
      <c r="J284" s="631"/>
      <c r="K284" s="21">
        <f t="shared" si="50"/>
        <v>1</v>
      </c>
      <c r="L284" s="631"/>
      <c r="M284" s="21">
        <f t="shared" si="51"/>
        <v>1</v>
      </c>
      <c r="N284" s="631"/>
      <c r="O284" s="21">
        <f t="shared" si="52"/>
        <v>1</v>
      </c>
      <c r="P284" s="631"/>
      <c r="Q284" s="21">
        <f t="shared" si="53"/>
        <v>0</v>
      </c>
      <c r="R284" s="21">
        <f t="shared" si="54"/>
        <v>0</v>
      </c>
      <c r="S284" s="307">
        <f t="shared" si="45"/>
        <v>0</v>
      </c>
      <c r="T284" s="3190">
        <f>面积表!A279</f>
        <v>0</v>
      </c>
    </row>
    <row r="285" spans="1:20">
      <c r="A285" s="3169"/>
      <c r="B285" s="52"/>
      <c r="C285" s="21">
        <f t="shared" si="46"/>
        <v>1</v>
      </c>
      <c r="D285" s="2559"/>
      <c r="E285" s="21">
        <f t="shared" si="47"/>
        <v>0.02</v>
      </c>
      <c r="F285" s="2559"/>
      <c r="G285" s="21">
        <f t="shared" si="48"/>
        <v>0</v>
      </c>
      <c r="H285" s="631"/>
      <c r="I285" s="21">
        <f t="shared" si="49"/>
        <v>1</v>
      </c>
      <c r="J285" s="631"/>
      <c r="K285" s="21">
        <f t="shared" si="50"/>
        <v>1</v>
      </c>
      <c r="L285" s="631"/>
      <c r="M285" s="21">
        <f t="shared" si="51"/>
        <v>1</v>
      </c>
      <c r="N285" s="631"/>
      <c r="O285" s="21">
        <f t="shared" si="52"/>
        <v>1</v>
      </c>
      <c r="P285" s="631"/>
      <c r="Q285" s="21">
        <f t="shared" si="53"/>
        <v>0</v>
      </c>
      <c r="R285" s="21">
        <f t="shared" si="54"/>
        <v>0</v>
      </c>
      <c r="S285" s="307">
        <f t="shared" si="45"/>
        <v>0</v>
      </c>
      <c r="T285" s="3190">
        <f>面积表!A280</f>
        <v>0</v>
      </c>
    </row>
    <row r="286" spans="1:20">
      <c r="A286" s="3169"/>
      <c r="B286" s="52"/>
      <c r="C286" s="21">
        <f t="shared" si="46"/>
        <v>1</v>
      </c>
      <c r="D286" s="2559"/>
      <c r="E286" s="21">
        <f t="shared" si="47"/>
        <v>0.02</v>
      </c>
      <c r="F286" s="2559"/>
      <c r="G286" s="21">
        <f t="shared" si="48"/>
        <v>0</v>
      </c>
      <c r="H286" s="631"/>
      <c r="I286" s="21">
        <f t="shared" si="49"/>
        <v>1</v>
      </c>
      <c r="J286" s="631"/>
      <c r="K286" s="21">
        <f t="shared" si="50"/>
        <v>1</v>
      </c>
      <c r="L286" s="631"/>
      <c r="M286" s="21">
        <f t="shared" si="51"/>
        <v>1</v>
      </c>
      <c r="N286" s="631"/>
      <c r="O286" s="21">
        <f t="shared" si="52"/>
        <v>1</v>
      </c>
      <c r="P286" s="631"/>
      <c r="Q286" s="21">
        <f t="shared" si="53"/>
        <v>0</v>
      </c>
      <c r="R286" s="21">
        <f t="shared" si="54"/>
        <v>0</v>
      </c>
      <c r="S286" s="307">
        <f t="shared" si="45"/>
        <v>0</v>
      </c>
      <c r="T286" s="3190">
        <f>面积表!A281</f>
        <v>0</v>
      </c>
    </row>
    <row r="287" spans="1:20">
      <c r="A287" s="3169"/>
      <c r="B287" s="52"/>
      <c r="C287" s="21">
        <f t="shared" si="46"/>
        <v>1</v>
      </c>
      <c r="D287" s="2559"/>
      <c r="E287" s="21">
        <f t="shared" si="47"/>
        <v>0.02</v>
      </c>
      <c r="F287" s="2559"/>
      <c r="G287" s="21">
        <f t="shared" si="48"/>
        <v>0</v>
      </c>
      <c r="H287" s="631"/>
      <c r="I287" s="21">
        <f t="shared" si="49"/>
        <v>1</v>
      </c>
      <c r="J287" s="631"/>
      <c r="K287" s="21">
        <f t="shared" si="50"/>
        <v>1</v>
      </c>
      <c r="L287" s="631"/>
      <c r="M287" s="21">
        <f t="shared" si="51"/>
        <v>1</v>
      </c>
      <c r="N287" s="631"/>
      <c r="O287" s="21">
        <f t="shared" si="52"/>
        <v>1</v>
      </c>
      <c r="P287" s="631"/>
      <c r="Q287" s="21">
        <f t="shared" si="53"/>
        <v>0</v>
      </c>
      <c r="R287" s="21">
        <f t="shared" si="54"/>
        <v>0</v>
      </c>
      <c r="S287" s="307">
        <f t="shared" si="45"/>
        <v>0</v>
      </c>
      <c r="T287" s="3190">
        <f>面积表!A282</f>
        <v>0</v>
      </c>
    </row>
    <row r="288" spans="1:20">
      <c r="A288" s="3169"/>
      <c r="B288" s="52"/>
      <c r="C288" s="21">
        <f t="shared" si="46"/>
        <v>1</v>
      </c>
      <c r="D288" s="2559"/>
      <c r="E288" s="21">
        <f t="shared" si="47"/>
        <v>0.02</v>
      </c>
      <c r="F288" s="2559"/>
      <c r="G288" s="21">
        <f t="shared" si="48"/>
        <v>0</v>
      </c>
      <c r="H288" s="631"/>
      <c r="I288" s="21">
        <f t="shared" si="49"/>
        <v>1</v>
      </c>
      <c r="J288" s="631"/>
      <c r="K288" s="21">
        <f t="shared" si="50"/>
        <v>1</v>
      </c>
      <c r="L288" s="631"/>
      <c r="M288" s="21">
        <f t="shared" si="51"/>
        <v>1</v>
      </c>
      <c r="N288" s="631"/>
      <c r="O288" s="21">
        <f t="shared" si="52"/>
        <v>1</v>
      </c>
      <c r="P288" s="631"/>
      <c r="Q288" s="21">
        <f t="shared" si="53"/>
        <v>0</v>
      </c>
      <c r="R288" s="21">
        <f t="shared" si="54"/>
        <v>0</v>
      </c>
      <c r="S288" s="307">
        <f t="shared" si="45"/>
        <v>0</v>
      </c>
      <c r="T288" s="3190">
        <f>面积表!A283</f>
        <v>0</v>
      </c>
    </row>
    <row r="289" spans="1:20">
      <c r="A289" s="3169"/>
      <c r="B289" s="52"/>
      <c r="C289" s="21">
        <f t="shared" si="46"/>
        <v>1</v>
      </c>
      <c r="D289" s="2559"/>
      <c r="E289" s="21">
        <f t="shared" si="47"/>
        <v>0.02</v>
      </c>
      <c r="F289" s="2559"/>
      <c r="G289" s="21">
        <f t="shared" si="48"/>
        <v>0</v>
      </c>
      <c r="H289" s="631"/>
      <c r="I289" s="21">
        <f t="shared" si="49"/>
        <v>1</v>
      </c>
      <c r="J289" s="631"/>
      <c r="K289" s="21">
        <f t="shared" si="50"/>
        <v>1</v>
      </c>
      <c r="L289" s="631"/>
      <c r="M289" s="21">
        <f t="shared" si="51"/>
        <v>1</v>
      </c>
      <c r="N289" s="631"/>
      <c r="O289" s="21">
        <f t="shared" si="52"/>
        <v>1</v>
      </c>
      <c r="P289" s="631"/>
      <c r="Q289" s="21">
        <f t="shared" si="53"/>
        <v>0</v>
      </c>
      <c r="R289" s="21">
        <f t="shared" si="54"/>
        <v>0</v>
      </c>
      <c r="S289" s="307">
        <f t="shared" si="45"/>
        <v>0</v>
      </c>
      <c r="T289" s="3190">
        <f>面积表!A284</f>
        <v>0</v>
      </c>
    </row>
    <row r="290" spans="1:20">
      <c r="A290" s="3169"/>
      <c r="B290" s="52"/>
      <c r="C290" s="21">
        <f t="shared" si="46"/>
        <v>1</v>
      </c>
      <c r="D290" s="2559"/>
      <c r="E290" s="21">
        <f t="shared" si="47"/>
        <v>0.02</v>
      </c>
      <c r="F290" s="2559"/>
      <c r="G290" s="21">
        <f t="shared" si="48"/>
        <v>0</v>
      </c>
      <c r="H290" s="631"/>
      <c r="I290" s="21">
        <f t="shared" si="49"/>
        <v>1</v>
      </c>
      <c r="J290" s="631"/>
      <c r="K290" s="21">
        <f t="shared" si="50"/>
        <v>1</v>
      </c>
      <c r="L290" s="631"/>
      <c r="M290" s="21">
        <f t="shared" si="51"/>
        <v>1</v>
      </c>
      <c r="N290" s="631"/>
      <c r="O290" s="21">
        <f t="shared" si="52"/>
        <v>1</v>
      </c>
      <c r="P290" s="631"/>
      <c r="Q290" s="21">
        <f t="shared" si="53"/>
        <v>0</v>
      </c>
      <c r="R290" s="21">
        <f t="shared" si="54"/>
        <v>0</v>
      </c>
      <c r="S290" s="307">
        <f t="shared" si="45"/>
        <v>0</v>
      </c>
      <c r="T290" s="3190">
        <f>面积表!A285</f>
        <v>0</v>
      </c>
    </row>
    <row r="291" spans="1:20">
      <c r="A291" s="3169"/>
      <c r="B291" s="52"/>
      <c r="C291" s="21">
        <f t="shared" si="46"/>
        <v>1</v>
      </c>
      <c r="D291" s="2559"/>
      <c r="E291" s="21">
        <f t="shared" si="47"/>
        <v>0.02</v>
      </c>
      <c r="F291" s="2559"/>
      <c r="G291" s="21">
        <f t="shared" si="48"/>
        <v>0</v>
      </c>
      <c r="H291" s="631"/>
      <c r="I291" s="21">
        <f t="shared" si="49"/>
        <v>1</v>
      </c>
      <c r="J291" s="631"/>
      <c r="K291" s="21">
        <f t="shared" si="50"/>
        <v>1</v>
      </c>
      <c r="L291" s="631"/>
      <c r="M291" s="21">
        <f t="shared" si="51"/>
        <v>1</v>
      </c>
      <c r="N291" s="631"/>
      <c r="O291" s="21">
        <f t="shared" si="52"/>
        <v>1</v>
      </c>
      <c r="P291" s="631"/>
      <c r="Q291" s="21">
        <f t="shared" si="53"/>
        <v>0</v>
      </c>
      <c r="R291" s="21">
        <f t="shared" si="54"/>
        <v>0</v>
      </c>
      <c r="S291" s="307">
        <f t="shared" si="45"/>
        <v>0</v>
      </c>
      <c r="T291" s="3190">
        <f>面积表!A286</f>
        <v>0</v>
      </c>
    </row>
    <row r="292" spans="1:20">
      <c r="A292" s="3169"/>
      <c r="B292" s="52"/>
      <c r="C292" s="21">
        <f t="shared" si="46"/>
        <v>1</v>
      </c>
      <c r="D292" s="2559"/>
      <c r="E292" s="21">
        <f t="shared" si="47"/>
        <v>0.02</v>
      </c>
      <c r="F292" s="2559"/>
      <c r="G292" s="21">
        <f t="shared" si="48"/>
        <v>0</v>
      </c>
      <c r="H292" s="631"/>
      <c r="I292" s="21">
        <f t="shared" si="49"/>
        <v>1</v>
      </c>
      <c r="J292" s="631"/>
      <c r="K292" s="21">
        <f t="shared" si="50"/>
        <v>1</v>
      </c>
      <c r="L292" s="631"/>
      <c r="M292" s="21">
        <f t="shared" si="51"/>
        <v>1</v>
      </c>
      <c r="N292" s="631"/>
      <c r="O292" s="21">
        <f t="shared" si="52"/>
        <v>1</v>
      </c>
      <c r="P292" s="631"/>
      <c r="Q292" s="21">
        <f t="shared" si="53"/>
        <v>0</v>
      </c>
      <c r="R292" s="21">
        <f t="shared" si="54"/>
        <v>0</v>
      </c>
      <c r="S292" s="307">
        <f t="shared" si="45"/>
        <v>0</v>
      </c>
      <c r="T292" s="3190">
        <f>面积表!A287</f>
        <v>0</v>
      </c>
    </row>
    <row r="293" spans="1:20">
      <c r="A293" s="3169"/>
      <c r="B293" s="52"/>
      <c r="C293" s="21">
        <f t="shared" si="46"/>
        <v>1</v>
      </c>
      <c r="D293" s="2559"/>
      <c r="E293" s="21">
        <f t="shared" si="47"/>
        <v>0.02</v>
      </c>
      <c r="F293" s="2559"/>
      <c r="G293" s="21">
        <f t="shared" si="48"/>
        <v>0</v>
      </c>
      <c r="H293" s="631"/>
      <c r="I293" s="21">
        <f t="shared" si="49"/>
        <v>1</v>
      </c>
      <c r="J293" s="631"/>
      <c r="K293" s="21">
        <f t="shared" si="50"/>
        <v>1</v>
      </c>
      <c r="L293" s="631"/>
      <c r="M293" s="21">
        <f t="shared" si="51"/>
        <v>1</v>
      </c>
      <c r="N293" s="631"/>
      <c r="O293" s="21">
        <f t="shared" si="52"/>
        <v>1</v>
      </c>
      <c r="P293" s="631"/>
      <c r="Q293" s="21">
        <f t="shared" si="53"/>
        <v>0</v>
      </c>
      <c r="R293" s="21">
        <f t="shared" si="54"/>
        <v>0</v>
      </c>
      <c r="S293" s="307">
        <f t="shared" si="45"/>
        <v>0</v>
      </c>
      <c r="T293" s="3190">
        <f>面积表!A288</f>
        <v>0</v>
      </c>
    </row>
    <row r="294" spans="1:20">
      <c r="A294" s="3169"/>
      <c r="B294" s="52"/>
      <c r="C294" s="21">
        <f t="shared" si="46"/>
        <v>1</v>
      </c>
      <c r="D294" s="2559"/>
      <c r="E294" s="21">
        <f t="shared" si="47"/>
        <v>0.02</v>
      </c>
      <c r="F294" s="2559"/>
      <c r="G294" s="21">
        <f t="shared" si="48"/>
        <v>0</v>
      </c>
      <c r="H294" s="631"/>
      <c r="I294" s="21">
        <f t="shared" si="49"/>
        <v>1</v>
      </c>
      <c r="J294" s="631"/>
      <c r="K294" s="21">
        <f t="shared" si="50"/>
        <v>1</v>
      </c>
      <c r="L294" s="631"/>
      <c r="M294" s="21">
        <f t="shared" si="51"/>
        <v>1</v>
      </c>
      <c r="N294" s="631"/>
      <c r="O294" s="21">
        <f t="shared" si="52"/>
        <v>1</v>
      </c>
      <c r="P294" s="631"/>
      <c r="Q294" s="21">
        <f t="shared" si="53"/>
        <v>0</v>
      </c>
      <c r="R294" s="21">
        <f t="shared" si="54"/>
        <v>0</v>
      </c>
      <c r="S294" s="307">
        <f t="shared" si="45"/>
        <v>0</v>
      </c>
      <c r="T294" s="3190">
        <f>面积表!A289</f>
        <v>0</v>
      </c>
    </row>
    <row r="295" spans="1:20">
      <c r="A295" s="3169"/>
      <c r="B295" s="52"/>
      <c r="C295" s="21">
        <f t="shared" si="46"/>
        <v>1</v>
      </c>
      <c r="D295" s="2559"/>
      <c r="E295" s="21">
        <f t="shared" si="47"/>
        <v>0.02</v>
      </c>
      <c r="F295" s="2559"/>
      <c r="G295" s="21">
        <f t="shared" si="48"/>
        <v>0</v>
      </c>
      <c r="H295" s="631"/>
      <c r="I295" s="21">
        <f t="shared" si="49"/>
        <v>1</v>
      </c>
      <c r="J295" s="631"/>
      <c r="K295" s="21">
        <f t="shared" si="50"/>
        <v>1</v>
      </c>
      <c r="L295" s="631"/>
      <c r="M295" s="21">
        <f t="shared" si="51"/>
        <v>1</v>
      </c>
      <c r="N295" s="631"/>
      <c r="O295" s="21">
        <f t="shared" si="52"/>
        <v>1</v>
      </c>
      <c r="P295" s="631"/>
      <c r="Q295" s="21">
        <f t="shared" si="53"/>
        <v>0</v>
      </c>
      <c r="R295" s="21">
        <f t="shared" si="54"/>
        <v>0</v>
      </c>
      <c r="S295" s="307">
        <f t="shared" si="45"/>
        <v>0</v>
      </c>
      <c r="T295" s="3190">
        <f>面积表!A290</f>
        <v>0</v>
      </c>
    </row>
    <row r="296" spans="1:20">
      <c r="A296" s="3169"/>
      <c r="B296" s="52"/>
      <c r="C296" s="21">
        <f t="shared" si="46"/>
        <v>1</v>
      </c>
      <c r="D296" s="2559"/>
      <c r="E296" s="21">
        <f t="shared" si="47"/>
        <v>0.02</v>
      </c>
      <c r="F296" s="2559"/>
      <c r="G296" s="21">
        <f t="shared" si="48"/>
        <v>0</v>
      </c>
      <c r="H296" s="631"/>
      <c r="I296" s="21">
        <f t="shared" si="49"/>
        <v>1</v>
      </c>
      <c r="J296" s="631"/>
      <c r="K296" s="21">
        <f t="shared" si="50"/>
        <v>1</v>
      </c>
      <c r="L296" s="631"/>
      <c r="M296" s="21">
        <f t="shared" si="51"/>
        <v>1</v>
      </c>
      <c r="N296" s="631"/>
      <c r="O296" s="21">
        <f t="shared" si="52"/>
        <v>1</v>
      </c>
      <c r="P296" s="631"/>
      <c r="Q296" s="21">
        <f t="shared" si="53"/>
        <v>0</v>
      </c>
      <c r="R296" s="21">
        <f t="shared" si="54"/>
        <v>0</v>
      </c>
      <c r="S296" s="307">
        <f t="shared" si="45"/>
        <v>0</v>
      </c>
      <c r="T296" s="3190">
        <f>面积表!A291</f>
        <v>0</v>
      </c>
    </row>
    <row r="297" spans="1:20">
      <c r="A297" s="3169"/>
      <c r="B297" s="52"/>
      <c r="C297" s="21">
        <f t="shared" si="46"/>
        <v>1</v>
      </c>
      <c r="D297" s="2559"/>
      <c r="E297" s="21">
        <f t="shared" si="47"/>
        <v>0.02</v>
      </c>
      <c r="F297" s="2559"/>
      <c r="G297" s="21">
        <f t="shared" si="48"/>
        <v>0</v>
      </c>
      <c r="H297" s="631"/>
      <c r="I297" s="21">
        <f t="shared" si="49"/>
        <v>1</v>
      </c>
      <c r="J297" s="631"/>
      <c r="K297" s="21">
        <f t="shared" si="50"/>
        <v>1</v>
      </c>
      <c r="L297" s="631"/>
      <c r="M297" s="21">
        <f t="shared" si="51"/>
        <v>1</v>
      </c>
      <c r="N297" s="631"/>
      <c r="O297" s="21">
        <f t="shared" si="52"/>
        <v>1</v>
      </c>
      <c r="P297" s="631"/>
      <c r="Q297" s="21">
        <f t="shared" si="53"/>
        <v>0</v>
      </c>
      <c r="R297" s="21">
        <f t="shared" si="54"/>
        <v>0</v>
      </c>
      <c r="S297" s="307">
        <f t="shared" si="45"/>
        <v>0</v>
      </c>
      <c r="T297" s="3190">
        <f>面积表!A292</f>
        <v>0</v>
      </c>
    </row>
    <row r="298" spans="1:20">
      <c r="A298" s="3169"/>
      <c r="B298" s="52"/>
      <c r="C298" s="21">
        <f t="shared" si="46"/>
        <v>1</v>
      </c>
      <c r="D298" s="2559"/>
      <c r="E298" s="21">
        <f t="shared" si="47"/>
        <v>0.02</v>
      </c>
      <c r="F298" s="2559"/>
      <c r="G298" s="21">
        <f t="shared" si="48"/>
        <v>0</v>
      </c>
      <c r="H298" s="631"/>
      <c r="I298" s="21">
        <f t="shared" si="49"/>
        <v>1</v>
      </c>
      <c r="J298" s="631"/>
      <c r="K298" s="21">
        <f t="shared" si="50"/>
        <v>1</v>
      </c>
      <c r="L298" s="631"/>
      <c r="M298" s="21">
        <f t="shared" si="51"/>
        <v>1</v>
      </c>
      <c r="N298" s="631"/>
      <c r="O298" s="21">
        <f t="shared" si="52"/>
        <v>1</v>
      </c>
      <c r="P298" s="631"/>
      <c r="Q298" s="21">
        <f t="shared" si="53"/>
        <v>0</v>
      </c>
      <c r="R298" s="21">
        <f t="shared" si="54"/>
        <v>0</v>
      </c>
      <c r="S298" s="307">
        <f t="shared" si="45"/>
        <v>0</v>
      </c>
      <c r="T298" s="3190">
        <f>面积表!A293</f>
        <v>0</v>
      </c>
    </row>
    <row r="299" spans="1:20">
      <c r="A299" s="3169"/>
      <c r="B299" s="52"/>
      <c r="C299" s="21">
        <f t="shared" si="46"/>
        <v>1</v>
      </c>
      <c r="D299" s="2559"/>
      <c r="E299" s="21">
        <f t="shared" si="47"/>
        <v>0.02</v>
      </c>
      <c r="F299" s="2559"/>
      <c r="G299" s="21">
        <f t="shared" si="48"/>
        <v>0</v>
      </c>
      <c r="H299" s="631"/>
      <c r="I299" s="21">
        <f t="shared" si="49"/>
        <v>1</v>
      </c>
      <c r="J299" s="631"/>
      <c r="K299" s="21">
        <f t="shared" si="50"/>
        <v>1</v>
      </c>
      <c r="L299" s="631"/>
      <c r="M299" s="21">
        <f t="shared" si="51"/>
        <v>1</v>
      </c>
      <c r="N299" s="631"/>
      <c r="O299" s="21">
        <f t="shared" si="52"/>
        <v>1</v>
      </c>
      <c r="P299" s="631"/>
      <c r="Q299" s="21">
        <f t="shared" si="53"/>
        <v>0</v>
      </c>
      <c r="R299" s="21">
        <f t="shared" si="54"/>
        <v>0</v>
      </c>
      <c r="S299" s="307">
        <f t="shared" si="45"/>
        <v>0</v>
      </c>
      <c r="T299" s="3190">
        <f>面积表!A294</f>
        <v>0</v>
      </c>
    </row>
    <row r="300" spans="1:20">
      <c r="A300" s="3169"/>
      <c r="B300" s="52"/>
      <c r="C300" s="21">
        <f t="shared" si="46"/>
        <v>1</v>
      </c>
      <c r="D300" s="2559"/>
      <c r="E300" s="21">
        <f t="shared" si="47"/>
        <v>0.02</v>
      </c>
      <c r="F300" s="2559"/>
      <c r="G300" s="21">
        <f t="shared" si="48"/>
        <v>0</v>
      </c>
      <c r="H300" s="631"/>
      <c r="I300" s="21">
        <f t="shared" si="49"/>
        <v>1</v>
      </c>
      <c r="J300" s="631"/>
      <c r="K300" s="21">
        <f t="shared" si="50"/>
        <v>1</v>
      </c>
      <c r="L300" s="631"/>
      <c r="M300" s="21">
        <f t="shared" si="51"/>
        <v>1</v>
      </c>
      <c r="N300" s="631"/>
      <c r="O300" s="21">
        <f t="shared" si="52"/>
        <v>1</v>
      </c>
      <c r="P300" s="631"/>
      <c r="Q300" s="21">
        <f t="shared" si="53"/>
        <v>0</v>
      </c>
      <c r="R300" s="21">
        <f t="shared" si="54"/>
        <v>0</v>
      </c>
      <c r="S300" s="307">
        <f t="shared" si="45"/>
        <v>0</v>
      </c>
      <c r="T300" s="3190">
        <f>面积表!A295</f>
        <v>0</v>
      </c>
    </row>
    <row r="301" spans="1:20">
      <c r="A301" s="3169"/>
      <c r="B301" s="52"/>
      <c r="C301" s="21">
        <f t="shared" si="46"/>
        <v>1</v>
      </c>
      <c r="D301" s="2559"/>
      <c r="E301" s="21">
        <f t="shared" si="47"/>
        <v>0.02</v>
      </c>
      <c r="F301" s="2559"/>
      <c r="G301" s="21">
        <f t="shared" si="48"/>
        <v>0</v>
      </c>
      <c r="H301" s="631"/>
      <c r="I301" s="21">
        <f t="shared" si="49"/>
        <v>1</v>
      </c>
      <c r="J301" s="631"/>
      <c r="K301" s="21">
        <f t="shared" si="50"/>
        <v>1</v>
      </c>
      <c r="L301" s="631"/>
      <c r="M301" s="21">
        <f t="shared" si="51"/>
        <v>1</v>
      </c>
      <c r="N301" s="631"/>
      <c r="O301" s="21">
        <f t="shared" si="52"/>
        <v>1</v>
      </c>
      <c r="P301" s="631"/>
      <c r="Q301" s="21">
        <f t="shared" si="53"/>
        <v>0</v>
      </c>
      <c r="R301" s="21">
        <f t="shared" si="54"/>
        <v>0</v>
      </c>
      <c r="S301" s="307">
        <f t="shared" si="45"/>
        <v>0</v>
      </c>
      <c r="T301" s="3190">
        <f>面积表!A296</f>
        <v>0</v>
      </c>
    </row>
    <row r="302" spans="1:20">
      <c r="A302" s="3169"/>
      <c r="B302" s="52"/>
      <c r="C302" s="21">
        <f t="shared" si="46"/>
        <v>1</v>
      </c>
      <c r="D302" s="2559"/>
      <c r="E302" s="21">
        <f t="shared" si="47"/>
        <v>0.02</v>
      </c>
      <c r="F302" s="2559"/>
      <c r="G302" s="21">
        <f t="shared" si="48"/>
        <v>0</v>
      </c>
      <c r="H302" s="631"/>
      <c r="I302" s="21">
        <f t="shared" si="49"/>
        <v>1</v>
      </c>
      <c r="J302" s="631"/>
      <c r="K302" s="21">
        <f t="shared" si="50"/>
        <v>1</v>
      </c>
      <c r="L302" s="631"/>
      <c r="M302" s="21">
        <f t="shared" si="51"/>
        <v>1</v>
      </c>
      <c r="N302" s="631"/>
      <c r="O302" s="21">
        <f t="shared" si="52"/>
        <v>1</v>
      </c>
      <c r="P302" s="631"/>
      <c r="Q302" s="21">
        <f t="shared" si="53"/>
        <v>0</v>
      </c>
      <c r="R302" s="21">
        <f t="shared" si="54"/>
        <v>0</v>
      </c>
      <c r="S302" s="307">
        <f t="shared" si="45"/>
        <v>0</v>
      </c>
      <c r="T302" s="3190">
        <f>面积表!A297</f>
        <v>0</v>
      </c>
    </row>
    <row r="303" spans="1:20">
      <c r="A303" s="3169"/>
      <c r="B303" s="52"/>
      <c r="C303" s="21">
        <f t="shared" si="46"/>
        <v>1</v>
      </c>
      <c r="D303" s="2559"/>
      <c r="E303" s="21">
        <f t="shared" si="47"/>
        <v>0.02</v>
      </c>
      <c r="F303" s="2559"/>
      <c r="G303" s="21">
        <f t="shared" si="48"/>
        <v>0</v>
      </c>
      <c r="H303" s="631"/>
      <c r="I303" s="21">
        <f t="shared" si="49"/>
        <v>1</v>
      </c>
      <c r="J303" s="631"/>
      <c r="K303" s="21">
        <f t="shared" si="50"/>
        <v>1</v>
      </c>
      <c r="L303" s="631"/>
      <c r="M303" s="21">
        <f t="shared" si="51"/>
        <v>1</v>
      </c>
      <c r="N303" s="631"/>
      <c r="O303" s="21">
        <f t="shared" si="52"/>
        <v>1</v>
      </c>
      <c r="P303" s="631"/>
      <c r="Q303" s="21">
        <f t="shared" si="53"/>
        <v>0</v>
      </c>
      <c r="R303" s="21">
        <f t="shared" si="54"/>
        <v>0</v>
      </c>
      <c r="S303" s="307">
        <f t="shared" si="45"/>
        <v>0</v>
      </c>
      <c r="T303" s="3190">
        <f>面积表!A298</f>
        <v>0</v>
      </c>
    </row>
    <row r="304" spans="1:20">
      <c r="A304" s="3169"/>
      <c r="B304" s="52"/>
      <c r="C304" s="21">
        <f t="shared" si="46"/>
        <v>1</v>
      </c>
      <c r="D304" s="2559"/>
      <c r="E304" s="21">
        <f t="shared" si="47"/>
        <v>0.02</v>
      </c>
      <c r="F304" s="2559"/>
      <c r="G304" s="21">
        <f t="shared" si="48"/>
        <v>0</v>
      </c>
      <c r="H304" s="631"/>
      <c r="I304" s="21">
        <f t="shared" si="49"/>
        <v>1</v>
      </c>
      <c r="J304" s="631"/>
      <c r="K304" s="21">
        <f t="shared" si="50"/>
        <v>1</v>
      </c>
      <c r="L304" s="631"/>
      <c r="M304" s="21">
        <f t="shared" si="51"/>
        <v>1</v>
      </c>
      <c r="N304" s="631"/>
      <c r="O304" s="21">
        <f t="shared" si="52"/>
        <v>1</v>
      </c>
      <c r="P304" s="631"/>
      <c r="Q304" s="21">
        <f t="shared" si="53"/>
        <v>0</v>
      </c>
      <c r="R304" s="21">
        <f t="shared" si="54"/>
        <v>0</v>
      </c>
      <c r="S304" s="307">
        <f t="shared" si="45"/>
        <v>0</v>
      </c>
      <c r="T304" s="3190">
        <f>面积表!A299</f>
        <v>0</v>
      </c>
    </row>
    <row r="305" spans="1:20">
      <c r="A305" s="3169"/>
      <c r="B305" s="52"/>
      <c r="C305" s="21">
        <f t="shared" si="46"/>
        <v>1</v>
      </c>
      <c r="D305" s="2559"/>
      <c r="E305" s="21">
        <f t="shared" si="47"/>
        <v>0.02</v>
      </c>
      <c r="F305" s="2559"/>
      <c r="G305" s="21">
        <f t="shared" si="48"/>
        <v>0</v>
      </c>
      <c r="H305" s="631"/>
      <c r="I305" s="21">
        <f t="shared" si="49"/>
        <v>1</v>
      </c>
      <c r="J305" s="631"/>
      <c r="K305" s="21">
        <f t="shared" si="50"/>
        <v>1</v>
      </c>
      <c r="L305" s="631"/>
      <c r="M305" s="21">
        <f t="shared" si="51"/>
        <v>1</v>
      </c>
      <c r="N305" s="631"/>
      <c r="O305" s="21">
        <f t="shared" si="52"/>
        <v>1</v>
      </c>
      <c r="P305" s="631"/>
      <c r="Q305" s="21">
        <f t="shared" si="53"/>
        <v>0</v>
      </c>
      <c r="R305" s="21">
        <f t="shared" si="54"/>
        <v>0</v>
      </c>
      <c r="S305" s="307">
        <f t="shared" si="45"/>
        <v>0</v>
      </c>
      <c r="T305" s="3190">
        <f>面积表!A300</f>
        <v>0</v>
      </c>
    </row>
    <row r="306" spans="1:20">
      <c r="A306" s="3169"/>
      <c r="B306" s="52"/>
      <c r="C306" s="21">
        <f t="shared" si="46"/>
        <v>1</v>
      </c>
      <c r="D306" s="2559"/>
      <c r="E306" s="21">
        <f t="shared" si="47"/>
        <v>0.02</v>
      </c>
      <c r="F306" s="2559"/>
      <c r="G306" s="21">
        <f t="shared" si="48"/>
        <v>0</v>
      </c>
      <c r="H306" s="631"/>
      <c r="I306" s="21">
        <f t="shared" si="49"/>
        <v>1</v>
      </c>
      <c r="J306" s="631"/>
      <c r="K306" s="21">
        <f t="shared" si="50"/>
        <v>1</v>
      </c>
      <c r="L306" s="631"/>
      <c r="M306" s="21">
        <f t="shared" si="51"/>
        <v>1</v>
      </c>
      <c r="N306" s="631"/>
      <c r="O306" s="21">
        <f t="shared" si="52"/>
        <v>1</v>
      </c>
      <c r="P306" s="631"/>
      <c r="Q306" s="21">
        <f t="shared" si="53"/>
        <v>0</v>
      </c>
      <c r="R306" s="21">
        <f t="shared" si="54"/>
        <v>0</v>
      </c>
      <c r="S306" s="307">
        <f t="shared" si="45"/>
        <v>0</v>
      </c>
      <c r="T306" s="3190">
        <f>面积表!A301</f>
        <v>0</v>
      </c>
    </row>
    <row r="307" spans="1:20">
      <c r="A307" s="3169"/>
      <c r="B307" s="52"/>
      <c r="C307" s="21">
        <f t="shared" si="46"/>
        <v>1</v>
      </c>
      <c r="D307" s="2559"/>
      <c r="E307" s="21">
        <f t="shared" si="47"/>
        <v>0.02</v>
      </c>
      <c r="F307" s="2559"/>
      <c r="G307" s="21">
        <f t="shared" si="48"/>
        <v>0</v>
      </c>
      <c r="H307" s="631"/>
      <c r="I307" s="21">
        <f t="shared" si="49"/>
        <v>1</v>
      </c>
      <c r="J307" s="631"/>
      <c r="K307" s="21">
        <f t="shared" si="50"/>
        <v>1</v>
      </c>
      <c r="L307" s="631"/>
      <c r="M307" s="21">
        <f t="shared" si="51"/>
        <v>1</v>
      </c>
      <c r="N307" s="631"/>
      <c r="O307" s="21">
        <f t="shared" si="52"/>
        <v>1</v>
      </c>
      <c r="P307" s="631"/>
      <c r="Q307" s="21">
        <f t="shared" si="53"/>
        <v>0</v>
      </c>
      <c r="R307" s="21">
        <f t="shared" si="54"/>
        <v>0</v>
      </c>
      <c r="S307" s="307">
        <f t="shared" si="45"/>
        <v>0</v>
      </c>
      <c r="T307" s="3190">
        <f>面积表!A302</f>
        <v>0</v>
      </c>
    </row>
    <row r="308" spans="1:20">
      <c r="A308" s="3169"/>
      <c r="B308" s="52"/>
      <c r="C308" s="21">
        <f t="shared" si="46"/>
        <v>1</v>
      </c>
      <c r="D308" s="2559"/>
      <c r="E308" s="21">
        <f t="shared" si="47"/>
        <v>0.02</v>
      </c>
      <c r="F308" s="2559"/>
      <c r="G308" s="21">
        <f t="shared" si="48"/>
        <v>0</v>
      </c>
      <c r="H308" s="631"/>
      <c r="I308" s="21">
        <f t="shared" si="49"/>
        <v>1</v>
      </c>
      <c r="J308" s="631"/>
      <c r="K308" s="21">
        <f t="shared" si="50"/>
        <v>1</v>
      </c>
      <c r="L308" s="631"/>
      <c r="M308" s="21">
        <f t="shared" si="51"/>
        <v>1</v>
      </c>
      <c r="N308" s="631"/>
      <c r="O308" s="21">
        <f t="shared" si="52"/>
        <v>1</v>
      </c>
      <c r="P308" s="631"/>
      <c r="Q308" s="21">
        <f t="shared" si="53"/>
        <v>0</v>
      </c>
      <c r="R308" s="21">
        <f t="shared" si="54"/>
        <v>0</v>
      </c>
      <c r="S308" s="307">
        <f t="shared" si="45"/>
        <v>0</v>
      </c>
      <c r="T308" s="3190">
        <f>面积表!A303</f>
        <v>0</v>
      </c>
    </row>
    <row r="309" spans="1:20">
      <c r="A309" s="3169"/>
      <c r="B309" s="52"/>
      <c r="C309" s="21">
        <f t="shared" si="46"/>
        <v>1</v>
      </c>
      <c r="D309" s="2559"/>
      <c r="E309" s="21">
        <f t="shared" si="47"/>
        <v>0.02</v>
      </c>
      <c r="F309" s="2559"/>
      <c r="G309" s="21">
        <f t="shared" si="48"/>
        <v>0</v>
      </c>
      <c r="H309" s="631"/>
      <c r="I309" s="21">
        <f t="shared" si="49"/>
        <v>1</v>
      </c>
      <c r="J309" s="631"/>
      <c r="K309" s="21">
        <f t="shared" si="50"/>
        <v>1</v>
      </c>
      <c r="L309" s="631"/>
      <c r="M309" s="21">
        <f t="shared" si="51"/>
        <v>1</v>
      </c>
      <c r="N309" s="631"/>
      <c r="O309" s="21">
        <f t="shared" si="52"/>
        <v>1</v>
      </c>
      <c r="P309" s="631"/>
      <c r="Q309" s="21">
        <f t="shared" si="53"/>
        <v>0</v>
      </c>
      <c r="R309" s="21">
        <f t="shared" si="54"/>
        <v>0</v>
      </c>
      <c r="S309" s="307">
        <f t="shared" si="45"/>
        <v>0</v>
      </c>
      <c r="T309" s="3190">
        <f>面积表!A304</f>
        <v>0</v>
      </c>
    </row>
    <row r="310" spans="1:20">
      <c r="A310" s="3169"/>
      <c r="B310" s="52"/>
      <c r="C310" s="21">
        <f t="shared" si="46"/>
        <v>1</v>
      </c>
      <c r="D310" s="2559"/>
      <c r="E310" s="21">
        <f t="shared" si="47"/>
        <v>0.02</v>
      </c>
      <c r="F310" s="2559"/>
      <c r="G310" s="21">
        <f t="shared" si="48"/>
        <v>0</v>
      </c>
      <c r="H310" s="631"/>
      <c r="I310" s="21">
        <f t="shared" si="49"/>
        <v>1</v>
      </c>
      <c r="J310" s="631"/>
      <c r="K310" s="21">
        <f t="shared" si="50"/>
        <v>1</v>
      </c>
      <c r="L310" s="631"/>
      <c r="M310" s="21">
        <f t="shared" si="51"/>
        <v>1</v>
      </c>
      <c r="N310" s="631"/>
      <c r="O310" s="21">
        <f t="shared" si="52"/>
        <v>1</v>
      </c>
      <c r="P310" s="631"/>
      <c r="Q310" s="21">
        <f t="shared" si="53"/>
        <v>0</v>
      </c>
      <c r="R310" s="21">
        <f t="shared" si="54"/>
        <v>0</v>
      </c>
      <c r="S310" s="307">
        <f t="shared" si="45"/>
        <v>0</v>
      </c>
      <c r="T310" s="3190">
        <f>面积表!A305</f>
        <v>0</v>
      </c>
    </row>
    <row r="311" spans="1:20">
      <c r="A311" s="3169"/>
      <c r="B311" s="52"/>
      <c r="C311" s="21">
        <f t="shared" si="46"/>
        <v>1</v>
      </c>
      <c r="D311" s="2559"/>
      <c r="E311" s="21">
        <f t="shared" si="47"/>
        <v>0.02</v>
      </c>
      <c r="F311" s="2559"/>
      <c r="G311" s="21">
        <f t="shared" si="48"/>
        <v>0</v>
      </c>
      <c r="H311" s="631"/>
      <c r="I311" s="21">
        <f t="shared" si="49"/>
        <v>1</v>
      </c>
      <c r="J311" s="631"/>
      <c r="K311" s="21">
        <f t="shared" si="50"/>
        <v>1</v>
      </c>
      <c r="L311" s="631"/>
      <c r="M311" s="21">
        <f t="shared" si="51"/>
        <v>1</v>
      </c>
      <c r="N311" s="631"/>
      <c r="O311" s="21">
        <f t="shared" si="52"/>
        <v>1</v>
      </c>
      <c r="P311" s="631"/>
      <c r="Q311" s="21">
        <f t="shared" si="53"/>
        <v>0</v>
      </c>
      <c r="R311" s="21">
        <f t="shared" si="54"/>
        <v>0</v>
      </c>
      <c r="S311" s="307">
        <f t="shared" si="45"/>
        <v>0</v>
      </c>
      <c r="T311" s="3190">
        <f>面积表!A306</f>
        <v>0</v>
      </c>
    </row>
    <row r="312" spans="1:20">
      <c r="A312" s="3169"/>
      <c r="B312" s="52"/>
      <c r="C312" s="21">
        <f t="shared" si="46"/>
        <v>1</v>
      </c>
      <c r="D312" s="2559"/>
      <c r="E312" s="21">
        <f t="shared" si="47"/>
        <v>0.02</v>
      </c>
      <c r="F312" s="2559"/>
      <c r="G312" s="21">
        <f t="shared" si="48"/>
        <v>0</v>
      </c>
      <c r="H312" s="631"/>
      <c r="I312" s="21">
        <f t="shared" si="49"/>
        <v>1</v>
      </c>
      <c r="J312" s="631"/>
      <c r="K312" s="21">
        <f t="shared" si="50"/>
        <v>1</v>
      </c>
      <c r="L312" s="631"/>
      <c r="M312" s="21">
        <f t="shared" si="51"/>
        <v>1</v>
      </c>
      <c r="N312" s="631"/>
      <c r="O312" s="21">
        <f t="shared" si="52"/>
        <v>1</v>
      </c>
      <c r="P312" s="631"/>
      <c r="Q312" s="21">
        <f t="shared" si="53"/>
        <v>0</v>
      </c>
      <c r="R312" s="21">
        <f t="shared" si="54"/>
        <v>0</v>
      </c>
      <c r="S312" s="307">
        <f t="shared" si="45"/>
        <v>0</v>
      </c>
      <c r="T312" s="3190">
        <f>面积表!A307</f>
        <v>0</v>
      </c>
    </row>
    <row r="313" spans="1:20">
      <c r="A313" s="3169"/>
      <c r="B313" s="52"/>
      <c r="C313" s="21">
        <f t="shared" si="46"/>
        <v>1</v>
      </c>
      <c r="D313" s="2559"/>
      <c r="E313" s="21">
        <f t="shared" si="47"/>
        <v>0.02</v>
      </c>
      <c r="F313" s="2559"/>
      <c r="G313" s="21">
        <f t="shared" si="48"/>
        <v>0</v>
      </c>
      <c r="H313" s="631"/>
      <c r="I313" s="21">
        <f t="shared" si="49"/>
        <v>1</v>
      </c>
      <c r="J313" s="631"/>
      <c r="K313" s="21">
        <f t="shared" si="50"/>
        <v>1</v>
      </c>
      <c r="L313" s="631"/>
      <c r="M313" s="21">
        <f t="shared" si="51"/>
        <v>1</v>
      </c>
      <c r="N313" s="631"/>
      <c r="O313" s="21">
        <f t="shared" si="52"/>
        <v>1</v>
      </c>
      <c r="P313" s="631"/>
      <c r="Q313" s="21">
        <f t="shared" si="53"/>
        <v>0</v>
      </c>
      <c r="R313" s="21">
        <f t="shared" si="54"/>
        <v>0</v>
      </c>
      <c r="S313" s="307">
        <f t="shared" si="45"/>
        <v>0</v>
      </c>
      <c r="T313" s="3190">
        <f>面积表!A308</f>
        <v>0</v>
      </c>
    </row>
    <row r="314" spans="1:20">
      <c r="A314" s="3169"/>
      <c r="B314" s="52"/>
      <c r="C314" s="21">
        <f t="shared" si="46"/>
        <v>1</v>
      </c>
      <c r="D314" s="2559"/>
      <c r="E314" s="21">
        <f t="shared" si="47"/>
        <v>0.02</v>
      </c>
      <c r="F314" s="2559"/>
      <c r="G314" s="21">
        <f t="shared" si="48"/>
        <v>0</v>
      </c>
      <c r="H314" s="631"/>
      <c r="I314" s="21">
        <f t="shared" si="49"/>
        <v>1</v>
      </c>
      <c r="J314" s="631"/>
      <c r="K314" s="21">
        <f t="shared" si="50"/>
        <v>1</v>
      </c>
      <c r="L314" s="631"/>
      <c r="M314" s="21">
        <f t="shared" si="51"/>
        <v>1</v>
      </c>
      <c r="N314" s="631"/>
      <c r="O314" s="21">
        <f t="shared" si="52"/>
        <v>1</v>
      </c>
      <c r="P314" s="631"/>
      <c r="Q314" s="21">
        <f t="shared" si="53"/>
        <v>0</v>
      </c>
      <c r="R314" s="21">
        <f t="shared" si="54"/>
        <v>0</v>
      </c>
      <c r="S314" s="307">
        <f t="shared" si="45"/>
        <v>0</v>
      </c>
      <c r="T314" s="3190">
        <f>面积表!A309</f>
        <v>0</v>
      </c>
    </row>
    <row r="315" spans="1:20">
      <c r="A315" s="3169"/>
      <c r="B315" s="52"/>
      <c r="C315" s="21">
        <f t="shared" si="46"/>
        <v>1</v>
      </c>
      <c r="D315" s="2559"/>
      <c r="E315" s="21">
        <f t="shared" si="47"/>
        <v>0.02</v>
      </c>
      <c r="F315" s="2559"/>
      <c r="G315" s="21">
        <f t="shared" si="48"/>
        <v>0</v>
      </c>
      <c r="H315" s="631"/>
      <c r="I315" s="21">
        <f t="shared" si="49"/>
        <v>1</v>
      </c>
      <c r="J315" s="631"/>
      <c r="K315" s="21">
        <f t="shared" si="50"/>
        <v>1</v>
      </c>
      <c r="L315" s="631"/>
      <c r="M315" s="21">
        <f t="shared" si="51"/>
        <v>1</v>
      </c>
      <c r="N315" s="631"/>
      <c r="O315" s="21">
        <f t="shared" si="52"/>
        <v>1</v>
      </c>
      <c r="P315" s="631"/>
      <c r="Q315" s="21">
        <f t="shared" si="53"/>
        <v>0</v>
      </c>
      <c r="R315" s="21">
        <f t="shared" si="54"/>
        <v>0</v>
      </c>
      <c r="S315" s="307">
        <f t="shared" si="45"/>
        <v>0</v>
      </c>
      <c r="T315" s="3190">
        <f>面积表!A310</f>
        <v>0</v>
      </c>
    </row>
    <row r="316" spans="1:20">
      <c r="A316" s="3169"/>
      <c r="B316" s="52"/>
      <c r="C316" s="21">
        <f t="shared" si="46"/>
        <v>1</v>
      </c>
      <c r="D316" s="2559"/>
      <c r="E316" s="21">
        <f t="shared" si="47"/>
        <v>0.02</v>
      </c>
      <c r="F316" s="2559"/>
      <c r="G316" s="21">
        <f t="shared" si="48"/>
        <v>0</v>
      </c>
      <c r="H316" s="631"/>
      <c r="I316" s="21">
        <f t="shared" si="49"/>
        <v>1</v>
      </c>
      <c r="J316" s="631"/>
      <c r="K316" s="21">
        <f t="shared" si="50"/>
        <v>1</v>
      </c>
      <c r="L316" s="631"/>
      <c r="M316" s="21">
        <f t="shared" si="51"/>
        <v>1</v>
      </c>
      <c r="N316" s="631"/>
      <c r="O316" s="21">
        <f t="shared" si="52"/>
        <v>1</v>
      </c>
      <c r="P316" s="631"/>
      <c r="Q316" s="21">
        <f t="shared" si="53"/>
        <v>0</v>
      </c>
      <c r="R316" s="21">
        <f t="shared" si="54"/>
        <v>0</v>
      </c>
      <c r="S316" s="307">
        <f t="shared" si="45"/>
        <v>0</v>
      </c>
      <c r="T316" s="3190">
        <f>面积表!A311</f>
        <v>0</v>
      </c>
    </row>
    <row r="317" spans="1:20">
      <c r="A317" s="3169"/>
      <c r="B317" s="52"/>
      <c r="C317" s="21">
        <f t="shared" si="46"/>
        <v>1</v>
      </c>
      <c r="D317" s="2559"/>
      <c r="E317" s="21">
        <f t="shared" si="47"/>
        <v>0.02</v>
      </c>
      <c r="F317" s="2559"/>
      <c r="G317" s="21">
        <f t="shared" si="48"/>
        <v>0</v>
      </c>
      <c r="H317" s="631"/>
      <c r="I317" s="21">
        <f t="shared" si="49"/>
        <v>1</v>
      </c>
      <c r="J317" s="631"/>
      <c r="K317" s="21">
        <f t="shared" si="50"/>
        <v>1</v>
      </c>
      <c r="L317" s="631"/>
      <c r="M317" s="21">
        <f t="shared" si="51"/>
        <v>1</v>
      </c>
      <c r="N317" s="631"/>
      <c r="O317" s="21">
        <f t="shared" si="52"/>
        <v>1</v>
      </c>
      <c r="P317" s="631"/>
      <c r="Q317" s="21">
        <f t="shared" si="53"/>
        <v>0</v>
      </c>
      <c r="R317" s="21">
        <f t="shared" si="54"/>
        <v>0</v>
      </c>
      <c r="S317" s="307">
        <f t="shared" si="45"/>
        <v>0</v>
      </c>
      <c r="T317" s="3190">
        <f>面积表!A312</f>
        <v>0</v>
      </c>
    </row>
    <row r="318" spans="1:20">
      <c r="A318" s="3169"/>
      <c r="B318" s="52"/>
      <c r="C318" s="21">
        <f t="shared" si="46"/>
        <v>1</v>
      </c>
      <c r="D318" s="2559"/>
      <c r="E318" s="21">
        <f t="shared" si="47"/>
        <v>0.02</v>
      </c>
      <c r="F318" s="2559"/>
      <c r="G318" s="21">
        <f t="shared" si="48"/>
        <v>0</v>
      </c>
      <c r="H318" s="631"/>
      <c r="I318" s="21">
        <f t="shared" si="49"/>
        <v>1</v>
      </c>
      <c r="J318" s="631"/>
      <c r="K318" s="21">
        <f t="shared" si="50"/>
        <v>1</v>
      </c>
      <c r="L318" s="631"/>
      <c r="M318" s="21">
        <f t="shared" si="51"/>
        <v>1</v>
      </c>
      <c r="N318" s="631"/>
      <c r="O318" s="21">
        <f t="shared" si="52"/>
        <v>1</v>
      </c>
      <c r="P318" s="631"/>
      <c r="Q318" s="21">
        <f t="shared" si="53"/>
        <v>0</v>
      </c>
      <c r="R318" s="21">
        <f t="shared" si="54"/>
        <v>0</v>
      </c>
      <c r="S318" s="307">
        <f t="shared" si="45"/>
        <v>0</v>
      </c>
      <c r="T318" s="3190">
        <f>面积表!A313</f>
        <v>0</v>
      </c>
    </row>
    <row r="319" spans="1:20">
      <c r="A319" s="3169"/>
      <c r="B319" s="52"/>
      <c r="C319" s="21">
        <f t="shared" si="46"/>
        <v>1</v>
      </c>
      <c r="D319" s="2559"/>
      <c r="E319" s="21">
        <f t="shared" si="47"/>
        <v>0.02</v>
      </c>
      <c r="F319" s="2559"/>
      <c r="G319" s="21">
        <f t="shared" si="48"/>
        <v>0</v>
      </c>
      <c r="H319" s="631"/>
      <c r="I319" s="21">
        <f t="shared" si="49"/>
        <v>1</v>
      </c>
      <c r="J319" s="631"/>
      <c r="K319" s="21">
        <f t="shared" si="50"/>
        <v>1</v>
      </c>
      <c r="L319" s="631"/>
      <c r="M319" s="21">
        <f t="shared" si="51"/>
        <v>1</v>
      </c>
      <c r="N319" s="631"/>
      <c r="O319" s="21">
        <f t="shared" si="52"/>
        <v>1</v>
      </c>
      <c r="P319" s="631"/>
      <c r="Q319" s="21">
        <f t="shared" si="53"/>
        <v>0</v>
      </c>
      <c r="R319" s="21">
        <f t="shared" si="54"/>
        <v>0</v>
      </c>
      <c r="S319" s="307">
        <f t="shared" si="45"/>
        <v>0</v>
      </c>
      <c r="T319" s="3190">
        <f>面积表!A314</f>
        <v>0</v>
      </c>
    </row>
    <row r="320" spans="1:20">
      <c r="A320" s="3169"/>
      <c r="B320" s="52"/>
      <c r="C320" s="21">
        <f t="shared" si="46"/>
        <v>1</v>
      </c>
      <c r="D320" s="2559"/>
      <c r="E320" s="21">
        <f t="shared" si="47"/>
        <v>0.02</v>
      </c>
      <c r="F320" s="2559"/>
      <c r="G320" s="21">
        <f t="shared" si="48"/>
        <v>0</v>
      </c>
      <c r="H320" s="631"/>
      <c r="I320" s="21">
        <f t="shared" si="49"/>
        <v>1</v>
      </c>
      <c r="J320" s="631"/>
      <c r="K320" s="21">
        <f t="shared" si="50"/>
        <v>1</v>
      </c>
      <c r="L320" s="631"/>
      <c r="M320" s="21">
        <f t="shared" si="51"/>
        <v>1</v>
      </c>
      <c r="N320" s="631"/>
      <c r="O320" s="21">
        <f t="shared" si="52"/>
        <v>1</v>
      </c>
      <c r="P320" s="631"/>
      <c r="Q320" s="21">
        <f t="shared" si="53"/>
        <v>0</v>
      </c>
      <c r="R320" s="21">
        <f t="shared" si="54"/>
        <v>0</v>
      </c>
      <c r="S320" s="307">
        <f t="shared" si="45"/>
        <v>0</v>
      </c>
      <c r="T320" s="3190">
        <f>面积表!A315</f>
        <v>0</v>
      </c>
    </row>
    <row r="321" spans="1:20">
      <c r="A321" s="3169"/>
      <c r="B321" s="52"/>
      <c r="C321" s="21">
        <f t="shared" si="46"/>
        <v>1</v>
      </c>
      <c r="D321" s="2559"/>
      <c r="E321" s="21">
        <f t="shared" si="47"/>
        <v>0.02</v>
      </c>
      <c r="F321" s="2559"/>
      <c r="G321" s="21">
        <f t="shared" si="48"/>
        <v>0</v>
      </c>
      <c r="H321" s="631"/>
      <c r="I321" s="21">
        <f t="shared" si="49"/>
        <v>1</v>
      </c>
      <c r="J321" s="631"/>
      <c r="K321" s="21">
        <f t="shared" si="50"/>
        <v>1</v>
      </c>
      <c r="L321" s="631"/>
      <c r="M321" s="21">
        <f t="shared" si="51"/>
        <v>1</v>
      </c>
      <c r="N321" s="631"/>
      <c r="O321" s="21">
        <f t="shared" si="52"/>
        <v>1</v>
      </c>
      <c r="P321" s="631"/>
      <c r="Q321" s="21">
        <f t="shared" si="53"/>
        <v>0</v>
      </c>
      <c r="R321" s="21">
        <f t="shared" si="54"/>
        <v>0</v>
      </c>
      <c r="S321" s="307">
        <f t="shared" si="45"/>
        <v>0</v>
      </c>
      <c r="T321" s="3190">
        <f>面积表!A316</f>
        <v>0</v>
      </c>
    </row>
    <row r="322" spans="1:20">
      <c r="A322" s="3169"/>
      <c r="B322" s="52"/>
      <c r="C322" s="21">
        <f t="shared" si="46"/>
        <v>1</v>
      </c>
      <c r="D322" s="2559"/>
      <c r="E322" s="21">
        <f t="shared" si="47"/>
        <v>0.02</v>
      </c>
      <c r="F322" s="2559"/>
      <c r="G322" s="21">
        <f t="shared" si="48"/>
        <v>0</v>
      </c>
      <c r="H322" s="631"/>
      <c r="I322" s="21">
        <f t="shared" si="49"/>
        <v>1</v>
      </c>
      <c r="J322" s="631"/>
      <c r="K322" s="21">
        <f t="shared" si="50"/>
        <v>1</v>
      </c>
      <c r="L322" s="631"/>
      <c r="M322" s="21">
        <f t="shared" si="51"/>
        <v>1</v>
      </c>
      <c r="N322" s="631"/>
      <c r="O322" s="21">
        <f t="shared" si="52"/>
        <v>1</v>
      </c>
      <c r="P322" s="631"/>
      <c r="Q322" s="21">
        <f t="shared" si="53"/>
        <v>0</v>
      </c>
      <c r="R322" s="21">
        <f t="shared" si="54"/>
        <v>0</v>
      </c>
      <c r="S322" s="307">
        <f t="shared" si="45"/>
        <v>0</v>
      </c>
      <c r="T322" s="3190">
        <f>面积表!A317</f>
        <v>0</v>
      </c>
    </row>
    <row r="323" spans="1:20">
      <c r="A323" s="3169"/>
      <c r="B323" s="52"/>
      <c r="C323" s="21">
        <f t="shared" si="46"/>
        <v>1</v>
      </c>
      <c r="D323" s="2559"/>
      <c r="E323" s="21">
        <f t="shared" si="47"/>
        <v>0.02</v>
      </c>
      <c r="F323" s="2559"/>
      <c r="G323" s="21">
        <f t="shared" si="48"/>
        <v>0</v>
      </c>
      <c r="H323" s="631"/>
      <c r="I323" s="21">
        <f t="shared" si="49"/>
        <v>1</v>
      </c>
      <c r="J323" s="631"/>
      <c r="K323" s="21">
        <f t="shared" si="50"/>
        <v>1</v>
      </c>
      <c r="L323" s="631"/>
      <c r="M323" s="21">
        <f t="shared" si="51"/>
        <v>1</v>
      </c>
      <c r="N323" s="631"/>
      <c r="O323" s="21">
        <f t="shared" si="52"/>
        <v>1</v>
      </c>
      <c r="P323" s="631"/>
      <c r="Q323" s="21">
        <f t="shared" si="53"/>
        <v>0</v>
      </c>
      <c r="R323" s="21">
        <f t="shared" si="54"/>
        <v>0</v>
      </c>
      <c r="S323" s="307">
        <f t="shared" si="45"/>
        <v>0</v>
      </c>
      <c r="T323" s="3190">
        <f>面积表!A318</f>
        <v>0</v>
      </c>
    </row>
    <row r="324" spans="1:20">
      <c r="A324" s="3169"/>
      <c r="B324" s="52"/>
      <c r="C324" s="21">
        <f t="shared" si="46"/>
        <v>1</v>
      </c>
      <c r="D324" s="2559"/>
      <c r="E324" s="21">
        <f t="shared" si="47"/>
        <v>0.02</v>
      </c>
      <c r="F324" s="2559"/>
      <c r="G324" s="21">
        <f t="shared" si="48"/>
        <v>0</v>
      </c>
      <c r="H324" s="631"/>
      <c r="I324" s="21">
        <f t="shared" si="49"/>
        <v>1</v>
      </c>
      <c r="J324" s="631"/>
      <c r="K324" s="21">
        <f t="shared" si="50"/>
        <v>1</v>
      </c>
      <c r="L324" s="631"/>
      <c r="M324" s="21">
        <f t="shared" si="51"/>
        <v>1</v>
      </c>
      <c r="N324" s="631"/>
      <c r="O324" s="21">
        <f t="shared" si="52"/>
        <v>1</v>
      </c>
      <c r="P324" s="631"/>
      <c r="Q324" s="21">
        <f t="shared" si="53"/>
        <v>0</v>
      </c>
      <c r="R324" s="21">
        <f t="shared" si="54"/>
        <v>0</v>
      </c>
      <c r="S324" s="307">
        <f t="shared" si="45"/>
        <v>0</v>
      </c>
      <c r="T324" s="3190">
        <f>面积表!A319</f>
        <v>0</v>
      </c>
    </row>
    <row r="325" spans="1:20">
      <c r="A325" s="3169"/>
      <c r="B325" s="52"/>
      <c r="C325" s="21">
        <f t="shared" si="46"/>
        <v>1</v>
      </c>
      <c r="D325" s="2559"/>
      <c r="E325" s="21">
        <f t="shared" si="47"/>
        <v>0.02</v>
      </c>
      <c r="F325" s="2559"/>
      <c r="G325" s="21">
        <f t="shared" si="48"/>
        <v>0</v>
      </c>
      <c r="H325" s="631"/>
      <c r="I325" s="21">
        <f t="shared" si="49"/>
        <v>1</v>
      </c>
      <c r="J325" s="631"/>
      <c r="K325" s="21">
        <f t="shared" si="50"/>
        <v>1</v>
      </c>
      <c r="L325" s="631"/>
      <c r="M325" s="21">
        <f t="shared" si="51"/>
        <v>1</v>
      </c>
      <c r="N325" s="631"/>
      <c r="O325" s="21">
        <f t="shared" si="52"/>
        <v>1</v>
      </c>
      <c r="P325" s="631"/>
      <c r="Q325" s="21">
        <f t="shared" si="53"/>
        <v>0</v>
      </c>
      <c r="R325" s="21">
        <f t="shared" si="54"/>
        <v>0</v>
      </c>
      <c r="S325" s="307">
        <f t="shared" si="45"/>
        <v>0</v>
      </c>
      <c r="T325" s="3190">
        <f>面积表!A320</f>
        <v>0</v>
      </c>
    </row>
    <row r="326" spans="1:20">
      <c r="A326" s="3169"/>
      <c r="B326" s="52"/>
      <c r="C326" s="21">
        <f t="shared" si="46"/>
        <v>1</v>
      </c>
      <c r="D326" s="2559"/>
      <c r="E326" s="21">
        <f t="shared" si="47"/>
        <v>0.02</v>
      </c>
      <c r="F326" s="2559"/>
      <c r="G326" s="21">
        <f t="shared" si="48"/>
        <v>0</v>
      </c>
      <c r="H326" s="631"/>
      <c r="I326" s="21">
        <f t="shared" si="49"/>
        <v>1</v>
      </c>
      <c r="J326" s="631"/>
      <c r="K326" s="21">
        <f t="shared" si="50"/>
        <v>1</v>
      </c>
      <c r="L326" s="631"/>
      <c r="M326" s="21">
        <f t="shared" si="51"/>
        <v>1</v>
      </c>
      <c r="N326" s="631"/>
      <c r="O326" s="21">
        <f t="shared" si="52"/>
        <v>1</v>
      </c>
      <c r="P326" s="631"/>
      <c r="Q326" s="21">
        <f t="shared" si="53"/>
        <v>0</v>
      </c>
      <c r="R326" s="21">
        <f t="shared" si="54"/>
        <v>0</v>
      </c>
      <c r="S326" s="307">
        <f t="shared" si="45"/>
        <v>0</v>
      </c>
      <c r="T326" s="3190">
        <f>面积表!A321</f>
        <v>0</v>
      </c>
    </row>
    <row r="327" spans="1:20">
      <c r="A327" s="3169"/>
      <c r="B327" s="52"/>
      <c r="C327" s="21">
        <f t="shared" si="46"/>
        <v>1</v>
      </c>
      <c r="D327" s="2559"/>
      <c r="E327" s="21">
        <f t="shared" si="47"/>
        <v>0.02</v>
      </c>
      <c r="F327" s="2559"/>
      <c r="G327" s="21">
        <f t="shared" si="48"/>
        <v>0</v>
      </c>
      <c r="H327" s="631"/>
      <c r="I327" s="21">
        <f t="shared" si="49"/>
        <v>1</v>
      </c>
      <c r="J327" s="631"/>
      <c r="K327" s="21">
        <f t="shared" si="50"/>
        <v>1</v>
      </c>
      <c r="L327" s="631"/>
      <c r="M327" s="21">
        <f t="shared" si="51"/>
        <v>1</v>
      </c>
      <c r="N327" s="631"/>
      <c r="O327" s="21">
        <f t="shared" si="52"/>
        <v>1</v>
      </c>
      <c r="P327" s="631"/>
      <c r="Q327" s="21">
        <f t="shared" si="53"/>
        <v>0</v>
      </c>
      <c r="R327" s="21">
        <f t="shared" si="54"/>
        <v>0</v>
      </c>
      <c r="S327" s="307">
        <f t="shared" si="45"/>
        <v>0</v>
      </c>
      <c r="T327" s="3190">
        <f>面积表!A322</f>
        <v>0</v>
      </c>
    </row>
    <row r="328" spans="1:20">
      <c r="A328" s="3169"/>
      <c r="B328" s="52"/>
      <c r="C328" s="21">
        <f t="shared" si="46"/>
        <v>1</v>
      </c>
      <c r="D328" s="2559"/>
      <c r="E328" s="21">
        <f t="shared" si="47"/>
        <v>0.02</v>
      </c>
      <c r="F328" s="2559"/>
      <c r="G328" s="21">
        <f t="shared" si="48"/>
        <v>0</v>
      </c>
      <c r="H328" s="631"/>
      <c r="I328" s="21">
        <f t="shared" si="49"/>
        <v>1</v>
      </c>
      <c r="J328" s="631"/>
      <c r="K328" s="21">
        <f t="shared" si="50"/>
        <v>1</v>
      </c>
      <c r="L328" s="631"/>
      <c r="M328" s="21">
        <f t="shared" si="51"/>
        <v>1</v>
      </c>
      <c r="N328" s="631"/>
      <c r="O328" s="21">
        <f t="shared" si="52"/>
        <v>1</v>
      </c>
      <c r="P328" s="631"/>
      <c r="Q328" s="21">
        <f t="shared" si="53"/>
        <v>0</v>
      </c>
      <c r="R328" s="21">
        <f t="shared" si="54"/>
        <v>0</v>
      </c>
      <c r="S328" s="307">
        <f t="shared" si="45"/>
        <v>0</v>
      </c>
      <c r="T328" s="3190">
        <f>面积表!A323</f>
        <v>0</v>
      </c>
    </row>
    <row r="329" spans="1:20">
      <c r="A329" s="3169"/>
      <c r="B329" s="52"/>
      <c r="C329" s="21">
        <f t="shared" si="46"/>
        <v>1</v>
      </c>
      <c r="D329" s="2559"/>
      <c r="E329" s="21">
        <f t="shared" si="47"/>
        <v>0.02</v>
      </c>
      <c r="F329" s="2559"/>
      <c r="G329" s="21">
        <f t="shared" si="48"/>
        <v>0</v>
      </c>
      <c r="H329" s="631"/>
      <c r="I329" s="21">
        <f t="shared" si="49"/>
        <v>1</v>
      </c>
      <c r="J329" s="631"/>
      <c r="K329" s="21">
        <f t="shared" si="50"/>
        <v>1</v>
      </c>
      <c r="L329" s="631"/>
      <c r="M329" s="21">
        <f t="shared" si="51"/>
        <v>1</v>
      </c>
      <c r="N329" s="631"/>
      <c r="O329" s="21">
        <f t="shared" si="52"/>
        <v>1</v>
      </c>
      <c r="P329" s="631"/>
      <c r="Q329" s="21">
        <f t="shared" si="53"/>
        <v>0</v>
      </c>
      <c r="R329" s="21">
        <f t="shared" si="54"/>
        <v>0</v>
      </c>
      <c r="S329" s="307">
        <f t="shared" si="45"/>
        <v>0</v>
      </c>
      <c r="T329" s="3190">
        <f>面积表!A324</f>
        <v>0</v>
      </c>
    </row>
    <row r="330" spans="1:20">
      <c r="A330" s="3169"/>
      <c r="B330" s="52"/>
      <c r="C330" s="21">
        <f t="shared" si="46"/>
        <v>1</v>
      </c>
      <c r="D330" s="2559"/>
      <c r="E330" s="21">
        <f t="shared" si="47"/>
        <v>0.02</v>
      </c>
      <c r="F330" s="2559"/>
      <c r="G330" s="21">
        <f t="shared" si="48"/>
        <v>0</v>
      </c>
      <c r="H330" s="631"/>
      <c r="I330" s="21">
        <f t="shared" si="49"/>
        <v>1</v>
      </c>
      <c r="J330" s="631"/>
      <c r="K330" s="21">
        <f t="shared" si="50"/>
        <v>1</v>
      </c>
      <c r="L330" s="631"/>
      <c r="M330" s="21">
        <f t="shared" si="51"/>
        <v>1</v>
      </c>
      <c r="N330" s="631"/>
      <c r="O330" s="21">
        <f t="shared" si="52"/>
        <v>1</v>
      </c>
      <c r="P330" s="631"/>
      <c r="Q330" s="21">
        <f t="shared" si="53"/>
        <v>0</v>
      </c>
      <c r="R330" s="21">
        <f t="shared" si="54"/>
        <v>0</v>
      </c>
      <c r="S330" s="307">
        <f t="shared" si="45"/>
        <v>0</v>
      </c>
      <c r="T330" s="3190">
        <f>面积表!A325</f>
        <v>0</v>
      </c>
    </row>
    <row r="331" spans="1:20">
      <c r="A331" s="3169"/>
      <c r="B331" s="52"/>
      <c r="C331" s="21">
        <f t="shared" si="46"/>
        <v>1</v>
      </c>
      <c r="D331" s="2559"/>
      <c r="E331" s="21">
        <f t="shared" si="47"/>
        <v>0.02</v>
      </c>
      <c r="F331" s="2559"/>
      <c r="G331" s="21">
        <f t="shared" si="48"/>
        <v>0</v>
      </c>
      <c r="H331" s="631"/>
      <c r="I331" s="21">
        <f t="shared" si="49"/>
        <v>1</v>
      </c>
      <c r="J331" s="631"/>
      <c r="K331" s="21">
        <f t="shared" si="50"/>
        <v>1</v>
      </c>
      <c r="L331" s="631"/>
      <c r="M331" s="21">
        <f t="shared" si="51"/>
        <v>1</v>
      </c>
      <c r="N331" s="631"/>
      <c r="O331" s="21">
        <f t="shared" si="52"/>
        <v>1</v>
      </c>
      <c r="P331" s="631"/>
      <c r="Q331" s="21">
        <f t="shared" si="53"/>
        <v>0</v>
      </c>
      <c r="R331" s="21">
        <f t="shared" si="54"/>
        <v>0</v>
      </c>
      <c r="S331" s="307">
        <f t="shared" si="45"/>
        <v>0</v>
      </c>
      <c r="T331" s="3190">
        <f>面积表!A326</f>
        <v>0</v>
      </c>
    </row>
    <row r="332" spans="1:20">
      <c r="A332" s="3169"/>
      <c r="B332" s="52"/>
      <c r="C332" s="21">
        <f t="shared" si="46"/>
        <v>1</v>
      </c>
      <c r="D332" s="2559"/>
      <c r="E332" s="21">
        <f t="shared" si="47"/>
        <v>0.02</v>
      </c>
      <c r="F332" s="2559"/>
      <c r="G332" s="21">
        <f t="shared" si="48"/>
        <v>0</v>
      </c>
      <c r="H332" s="631"/>
      <c r="I332" s="21">
        <f t="shared" si="49"/>
        <v>1</v>
      </c>
      <c r="J332" s="631"/>
      <c r="K332" s="21">
        <f t="shared" si="50"/>
        <v>1</v>
      </c>
      <c r="L332" s="631"/>
      <c r="M332" s="21">
        <f t="shared" si="51"/>
        <v>1</v>
      </c>
      <c r="N332" s="631"/>
      <c r="O332" s="21">
        <f t="shared" si="52"/>
        <v>1</v>
      </c>
      <c r="P332" s="631"/>
      <c r="Q332" s="21">
        <f t="shared" si="53"/>
        <v>0</v>
      </c>
      <c r="R332" s="21">
        <f t="shared" si="54"/>
        <v>0</v>
      </c>
      <c r="S332" s="307">
        <f t="shared" si="45"/>
        <v>0</v>
      </c>
      <c r="T332" s="3190">
        <f>面积表!A327</f>
        <v>0</v>
      </c>
    </row>
    <row r="333" spans="1:20">
      <c r="A333" s="3169"/>
      <c r="B333" s="52"/>
      <c r="C333" s="21">
        <f t="shared" si="46"/>
        <v>1</v>
      </c>
      <c r="D333" s="2559"/>
      <c r="E333" s="21">
        <f t="shared" si="47"/>
        <v>0.02</v>
      </c>
      <c r="F333" s="2559"/>
      <c r="G333" s="21">
        <f t="shared" si="48"/>
        <v>0</v>
      </c>
      <c r="H333" s="631"/>
      <c r="I333" s="21">
        <f t="shared" si="49"/>
        <v>1</v>
      </c>
      <c r="J333" s="631"/>
      <c r="K333" s="21">
        <f t="shared" si="50"/>
        <v>1</v>
      </c>
      <c r="L333" s="631"/>
      <c r="M333" s="21">
        <f t="shared" si="51"/>
        <v>1</v>
      </c>
      <c r="N333" s="631"/>
      <c r="O333" s="21">
        <f t="shared" si="52"/>
        <v>1</v>
      </c>
      <c r="P333" s="631"/>
      <c r="Q333" s="21">
        <f t="shared" si="53"/>
        <v>0</v>
      </c>
      <c r="R333" s="21">
        <f t="shared" si="54"/>
        <v>0</v>
      </c>
      <c r="S333" s="307">
        <f t="shared" si="45"/>
        <v>0</v>
      </c>
      <c r="T333" s="3190">
        <f>面积表!A328</f>
        <v>0</v>
      </c>
    </row>
    <row r="334" spans="1:20">
      <c r="A334" s="3169"/>
      <c r="B334" s="52"/>
      <c r="C334" s="21">
        <f t="shared" si="46"/>
        <v>1</v>
      </c>
      <c r="D334" s="2559"/>
      <c r="E334" s="21">
        <f t="shared" si="47"/>
        <v>0.02</v>
      </c>
      <c r="F334" s="2559"/>
      <c r="G334" s="21">
        <f t="shared" si="48"/>
        <v>0</v>
      </c>
      <c r="H334" s="631"/>
      <c r="I334" s="21">
        <f t="shared" si="49"/>
        <v>1</v>
      </c>
      <c r="J334" s="631"/>
      <c r="K334" s="21">
        <f t="shared" si="50"/>
        <v>1</v>
      </c>
      <c r="L334" s="631"/>
      <c r="M334" s="21">
        <f t="shared" si="51"/>
        <v>1</v>
      </c>
      <c r="N334" s="631"/>
      <c r="O334" s="21">
        <f t="shared" si="52"/>
        <v>1</v>
      </c>
      <c r="P334" s="631"/>
      <c r="Q334" s="21">
        <f t="shared" si="53"/>
        <v>0</v>
      </c>
      <c r="R334" s="21">
        <f t="shared" si="54"/>
        <v>0</v>
      </c>
      <c r="S334" s="307">
        <f t="shared" si="45"/>
        <v>0</v>
      </c>
      <c r="T334" s="3190">
        <f>面积表!A329</f>
        <v>0</v>
      </c>
    </row>
    <row r="335" spans="1:20">
      <c r="A335" s="3169"/>
      <c r="B335" s="52"/>
      <c r="C335" s="21">
        <f t="shared" si="46"/>
        <v>1</v>
      </c>
      <c r="D335" s="2559"/>
      <c r="E335" s="21">
        <f t="shared" si="47"/>
        <v>0.02</v>
      </c>
      <c r="F335" s="2559"/>
      <c r="G335" s="21">
        <f t="shared" si="48"/>
        <v>0</v>
      </c>
      <c r="H335" s="631"/>
      <c r="I335" s="21">
        <f t="shared" si="49"/>
        <v>1</v>
      </c>
      <c r="J335" s="631"/>
      <c r="K335" s="21">
        <f t="shared" si="50"/>
        <v>1</v>
      </c>
      <c r="L335" s="631"/>
      <c r="M335" s="21">
        <f t="shared" si="51"/>
        <v>1</v>
      </c>
      <c r="N335" s="631"/>
      <c r="O335" s="21">
        <f t="shared" si="52"/>
        <v>1</v>
      </c>
      <c r="P335" s="631"/>
      <c r="Q335" s="21">
        <f t="shared" si="53"/>
        <v>0</v>
      </c>
      <c r="R335" s="21">
        <f t="shared" si="54"/>
        <v>0</v>
      </c>
      <c r="S335" s="307">
        <f t="shared" si="45"/>
        <v>0</v>
      </c>
      <c r="T335" s="3190">
        <f>面积表!A330</f>
        <v>0</v>
      </c>
    </row>
    <row r="336" spans="1:20">
      <c r="A336" s="3169"/>
      <c r="B336" s="52"/>
      <c r="C336" s="21">
        <f t="shared" si="46"/>
        <v>1</v>
      </c>
      <c r="D336" s="2559"/>
      <c r="E336" s="21">
        <f t="shared" si="47"/>
        <v>0.02</v>
      </c>
      <c r="F336" s="2559"/>
      <c r="G336" s="21">
        <f t="shared" si="48"/>
        <v>0</v>
      </c>
      <c r="H336" s="631"/>
      <c r="I336" s="21">
        <f t="shared" si="49"/>
        <v>1</v>
      </c>
      <c r="J336" s="631"/>
      <c r="K336" s="21">
        <f t="shared" si="50"/>
        <v>1</v>
      </c>
      <c r="L336" s="631"/>
      <c r="M336" s="21">
        <f t="shared" si="51"/>
        <v>1</v>
      </c>
      <c r="N336" s="631"/>
      <c r="O336" s="21">
        <f t="shared" si="52"/>
        <v>1</v>
      </c>
      <c r="P336" s="631"/>
      <c r="Q336" s="21">
        <f t="shared" si="53"/>
        <v>0</v>
      </c>
      <c r="R336" s="21">
        <f t="shared" si="54"/>
        <v>0</v>
      </c>
      <c r="S336" s="307">
        <f t="shared" si="45"/>
        <v>0</v>
      </c>
      <c r="T336" s="3190">
        <f>面积表!A331</f>
        <v>0</v>
      </c>
    </row>
    <row r="337" spans="1:20">
      <c r="A337" s="3169"/>
      <c r="B337" s="52"/>
      <c r="C337" s="21">
        <f t="shared" si="46"/>
        <v>1</v>
      </c>
      <c r="D337" s="2559"/>
      <c r="E337" s="21">
        <f t="shared" si="47"/>
        <v>0.02</v>
      </c>
      <c r="F337" s="2559"/>
      <c r="G337" s="21">
        <f t="shared" si="48"/>
        <v>0</v>
      </c>
      <c r="H337" s="631"/>
      <c r="I337" s="21">
        <f t="shared" si="49"/>
        <v>1</v>
      </c>
      <c r="J337" s="631"/>
      <c r="K337" s="21">
        <f t="shared" si="50"/>
        <v>1</v>
      </c>
      <c r="L337" s="631"/>
      <c r="M337" s="21">
        <f t="shared" si="51"/>
        <v>1</v>
      </c>
      <c r="N337" s="631"/>
      <c r="O337" s="21">
        <f t="shared" si="52"/>
        <v>1</v>
      </c>
      <c r="P337" s="631"/>
      <c r="Q337" s="21">
        <f t="shared" si="53"/>
        <v>0</v>
      </c>
      <c r="R337" s="21">
        <f t="shared" si="54"/>
        <v>0</v>
      </c>
      <c r="S337" s="307">
        <f t="shared" si="45"/>
        <v>0</v>
      </c>
      <c r="T337" s="3190">
        <f>面积表!A332</f>
        <v>0</v>
      </c>
    </row>
    <row r="338" spans="1:20">
      <c r="A338" s="3169"/>
      <c r="B338" s="52"/>
      <c r="C338" s="21">
        <f t="shared" si="46"/>
        <v>1</v>
      </c>
      <c r="D338" s="2559"/>
      <c r="E338" s="21">
        <f t="shared" si="47"/>
        <v>0.02</v>
      </c>
      <c r="F338" s="2559"/>
      <c r="G338" s="21">
        <f t="shared" si="48"/>
        <v>0</v>
      </c>
      <c r="H338" s="631"/>
      <c r="I338" s="21">
        <f t="shared" si="49"/>
        <v>1</v>
      </c>
      <c r="J338" s="631"/>
      <c r="K338" s="21">
        <f t="shared" si="50"/>
        <v>1</v>
      </c>
      <c r="L338" s="631"/>
      <c r="M338" s="21">
        <f t="shared" si="51"/>
        <v>1</v>
      </c>
      <c r="N338" s="631"/>
      <c r="O338" s="21">
        <f t="shared" si="52"/>
        <v>1</v>
      </c>
      <c r="P338" s="631"/>
      <c r="Q338" s="21">
        <f t="shared" si="53"/>
        <v>0</v>
      </c>
      <c r="R338" s="21">
        <f t="shared" si="54"/>
        <v>0</v>
      </c>
      <c r="S338" s="307">
        <f t="shared" si="45"/>
        <v>0</v>
      </c>
      <c r="T338" s="3190">
        <f>面积表!A333</f>
        <v>0</v>
      </c>
    </row>
    <row r="339" spans="1:20">
      <c r="A339" s="3169"/>
      <c r="B339" s="52"/>
      <c r="C339" s="21">
        <f t="shared" si="46"/>
        <v>1</v>
      </c>
      <c r="D339" s="2559"/>
      <c r="E339" s="21">
        <f t="shared" si="47"/>
        <v>0.02</v>
      </c>
      <c r="F339" s="2559"/>
      <c r="G339" s="21">
        <f t="shared" si="48"/>
        <v>0</v>
      </c>
      <c r="H339" s="631"/>
      <c r="I339" s="21">
        <f t="shared" si="49"/>
        <v>1</v>
      </c>
      <c r="J339" s="631"/>
      <c r="K339" s="21">
        <f t="shared" si="50"/>
        <v>1</v>
      </c>
      <c r="L339" s="631"/>
      <c r="M339" s="21">
        <f t="shared" si="51"/>
        <v>1</v>
      </c>
      <c r="N339" s="631"/>
      <c r="O339" s="21">
        <f t="shared" si="52"/>
        <v>1</v>
      </c>
      <c r="P339" s="631"/>
      <c r="Q339" s="21">
        <f t="shared" si="53"/>
        <v>0</v>
      </c>
      <c r="R339" s="21">
        <f t="shared" si="54"/>
        <v>0</v>
      </c>
      <c r="S339" s="307">
        <f t="shared" si="45"/>
        <v>0</v>
      </c>
      <c r="T339" s="3190">
        <f>面积表!A334</f>
        <v>0</v>
      </c>
    </row>
    <row r="340" spans="1:20">
      <c r="A340" s="3169"/>
      <c r="B340" s="52"/>
      <c r="C340" s="21">
        <f t="shared" si="46"/>
        <v>1</v>
      </c>
      <c r="D340" s="2559"/>
      <c r="E340" s="21">
        <f t="shared" si="47"/>
        <v>0.02</v>
      </c>
      <c r="F340" s="2559"/>
      <c r="G340" s="21">
        <f t="shared" si="48"/>
        <v>0</v>
      </c>
      <c r="H340" s="631"/>
      <c r="I340" s="21">
        <f t="shared" si="49"/>
        <v>1</v>
      </c>
      <c r="J340" s="631"/>
      <c r="K340" s="21">
        <f t="shared" si="50"/>
        <v>1</v>
      </c>
      <c r="L340" s="631"/>
      <c r="M340" s="21">
        <f t="shared" si="51"/>
        <v>1</v>
      </c>
      <c r="N340" s="631"/>
      <c r="O340" s="21">
        <f t="shared" si="52"/>
        <v>1</v>
      </c>
      <c r="P340" s="631"/>
      <c r="Q340" s="21">
        <f t="shared" si="53"/>
        <v>0</v>
      </c>
      <c r="R340" s="21">
        <f t="shared" si="54"/>
        <v>0</v>
      </c>
      <c r="S340" s="307">
        <f t="shared" si="45"/>
        <v>0</v>
      </c>
      <c r="T340" s="3190">
        <f>面积表!A335</f>
        <v>0</v>
      </c>
    </row>
    <row r="341" spans="1:20">
      <c r="A341" s="3169"/>
      <c r="B341" s="52"/>
      <c r="C341" s="21">
        <f t="shared" si="46"/>
        <v>1</v>
      </c>
      <c r="D341" s="2559"/>
      <c r="E341" s="21">
        <f t="shared" si="47"/>
        <v>0.02</v>
      </c>
      <c r="F341" s="2559"/>
      <c r="G341" s="21">
        <f t="shared" si="48"/>
        <v>0</v>
      </c>
      <c r="H341" s="631"/>
      <c r="I341" s="21">
        <f t="shared" si="49"/>
        <v>1</v>
      </c>
      <c r="J341" s="631"/>
      <c r="K341" s="21">
        <f t="shared" si="50"/>
        <v>1</v>
      </c>
      <c r="L341" s="631"/>
      <c r="M341" s="21">
        <f t="shared" si="51"/>
        <v>1</v>
      </c>
      <c r="N341" s="631"/>
      <c r="O341" s="21">
        <f t="shared" si="52"/>
        <v>1</v>
      </c>
      <c r="P341" s="631"/>
      <c r="Q341" s="21">
        <f t="shared" si="53"/>
        <v>0</v>
      </c>
      <c r="R341" s="21">
        <f t="shared" si="54"/>
        <v>0</v>
      </c>
      <c r="S341" s="307">
        <f t="shared" si="45"/>
        <v>0</v>
      </c>
      <c r="T341" s="3190">
        <f>面积表!A336</f>
        <v>0</v>
      </c>
    </row>
    <row r="342" spans="1:20">
      <c r="A342" s="3169"/>
      <c r="B342" s="52"/>
      <c r="C342" s="21">
        <f t="shared" si="46"/>
        <v>1</v>
      </c>
      <c r="D342" s="2559"/>
      <c r="E342" s="21">
        <f t="shared" si="47"/>
        <v>0.02</v>
      </c>
      <c r="F342" s="2559"/>
      <c r="G342" s="21">
        <f t="shared" si="48"/>
        <v>0</v>
      </c>
      <c r="H342" s="631"/>
      <c r="I342" s="21">
        <f t="shared" si="49"/>
        <v>1</v>
      </c>
      <c r="J342" s="631"/>
      <c r="K342" s="21">
        <f t="shared" si="50"/>
        <v>1</v>
      </c>
      <c r="L342" s="631"/>
      <c r="M342" s="21">
        <f t="shared" si="51"/>
        <v>1</v>
      </c>
      <c r="N342" s="631"/>
      <c r="O342" s="21">
        <f t="shared" si="52"/>
        <v>1</v>
      </c>
      <c r="P342" s="631"/>
      <c r="Q342" s="21">
        <f t="shared" si="53"/>
        <v>0</v>
      </c>
      <c r="R342" s="21">
        <f t="shared" si="54"/>
        <v>0</v>
      </c>
      <c r="S342" s="307">
        <f t="shared" si="45"/>
        <v>0</v>
      </c>
      <c r="T342" s="3190">
        <f>面积表!A337</f>
        <v>0</v>
      </c>
    </row>
    <row r="343" spans="1:20">
      <c r="A343" s="3169"/>
      <c r="B343" s="52"/>
      <c r="C343" s="21">
        <f t="shared" si="46"/>
        <v>1</v>
      </c>
      <c r="D343" s="2559"/>
      <c r="E343" s="21">
        <f t="shared" si="47"/>
        <v>0.02</v>
      </c>
      <c r="F343" s="2559"/>
      <c r="G343" s="21">
        <f t="shared" si="48"/>
        <v>0</v>
      </c>
      <c r="H343" s="631"/>
      <c r="I343" s="21">
        <f t="shared" si="49"/>
        <v>1</v>
      </c>
      <c r="J343" s="631"/>
      <c r="K343" s="21">
        <f t="shared" si="50"/>
        <v>1</v>
      </c>
      <c r="L343" s="631"/>
      <c r="M343" s="21">
        <f t="shared" si="51"/>
        <v>1</v>
      </c>
      <c r="N343" s="631"/>
      <c r="O343" s="21">
        <f t="shared" si="52"/>
        <v>1</v>
      </c>
      <c r="P343" s="631"/>
      <c r="Q343" s="21">
        <f t="shared" si="53"/>
        <v>0</v>
      </c>
      <c r="R343" s="21">
        <f t="shared" si="54"/>
        <v>0</v>
      </c>
      <c r="S343" s="307">
        <f t="shared" si="45"/>
        <v>0</v>
      </c>
      <c r="T343" s="3190">
        <f>面积表!A338</f>
        <v>0</v>
      </c>
    </row>
    <row r="344" spans="1:20">
      <c r="A344" s="3169"/>
      <c r="B344" s="52"/>
      <c r="C344" s="21">
        <f t="shared" si="46"/>
        <v>1</v>
      </c>
      <c r="D344" s="2559"/>
      <c r="E344" s="21">
        <f t="shared" si="47"/>
        <v>0.02</v>
      </c>
      <c r="F344" s="2559"/>
      <c r="G344" s="21">
        <f t="shared" si="48"/>
        <v>0</v>
      </c>
      <c r="H344" s="631"/>
      <c r="I344" s="21">
        <f t="shared" si="49"/>
        <v>1</v>
      </c>
      <c r="J344" s="631"/>
      <c r="K344" s="21">
        <f t="shared" si="50"/>
        <v>1</v>
      </c>
      <c r="L344" s="631"/>
      <c r="M344" s="21">
        <f t="shared" si="51"/>
        <v>1</v>
      </c>
      <c r="N344" s="631"/>
      <c r="O344" s="21">
        <f t="shared" si="52"/>
        <v>1</v>
      </c>
      <c r="P344" s="631"/>
      <c r="Q344" s="21">
        <f t="shared" si="53"/>
        <v>0</v>
      </c>
      <c r="R344" s="21">
        <f t="shared" si="54"/>
        <v>0</v>
      </c>
      <c r="S344" s="307">
        <f t="shared" ref="S344:S407" si="55">ROUND(R344*B344/10000,0)</f>
        <v>0</v>
      </c>
      <c r="T344" s="3190">
        <f>面积表!A339</f>
        <v>0</v>
      </c>
    </row>
    <row r="345" spans="1:20">
      <c r="A345" s="3169"/>
      <c r="B345" s="52"/>
      <c r="C345" s="21">
        <f t="shared" si="46"/>
        <v>1</v>
      </c>
      <c r="D345" s="2559"/>
      <c r="E345" s="21">
        <f t="shared" si="47"/>
        <v>0.02</v>
      </c>
      <c r="F345" s="2559"/>
      <c r="G345" s="21">
        <f t="shared" si="48"/>
        <v>0</v>
      </c>
      <c r="H345" s="631"/>
      <c r="I345" s="21">
        <f t="shared" si="49"/>
        <v>1</v>
      </c>
      <c r="J345" s="631"/>
      <c r="K345" s="21">
        <f t="shared" si="50"/>
        <v>1</v>
      </c>
      <c r="L345" s="631"/>
      <c r="M345" s="21">
        <f t="shared" si="51"/>
        <v>1</v>
      </c>
      <c r="N345" s="631"/>
      <c r="O345" s="21">
        <f t="shared" si="52"/>
        <v>1</v>
      </c>
      <c r="P345" s="631"/>
      <c r="Q345" s="21">
        <f t="shared" si="53"/>
        <v>0</v>
      </c>
      <c r="R345" s="21">
        <f t="shared" si="54"/>
        <v>0</v>
      </c>
      <c r="S345" s="307">
        <f t="shared" si="55"/>
        <v>0</v>
      </c>
      <c r="T345" s="3190">
        <f>面积表!A340</f>
        <v>0</v>
      </c>
    </row>
    <row r="346" spans="1:20">
      <c r="A346" s="3169"/>
      <c r="B346" s="52"/>
      <c r="C346" s="21">
        <f t="shared" ref="C346:C409" si="56">IF(B346="",1,(LOOKUP(B346,$3:$3,$4:$4)-LOOKUP($B$24,$3:$3,$4:$4)+100)/100)</f>
        <v>1</v>
      </c>
      <c r="D346" s="2559"/>
      <c r="E346" s="21">
        <f t="shared" ref="E346:E409" si="57">(SUMIF($5:$5,D346,$6:$6)-SUMIF($5:$5,$D$24,$6:$6)+100)/100</f>
        <v>0.02</v>
      </c>
      <c r="F346" s="2559"/>
      <c r="G346" s="21">
        <f t="shared" ref="G346:G409" si="58">(SUMIF($7:$7,F346,$8:$8)-SUMIF($7:$7,$F$24,$8:$8)+100)/100</f>
        <v>0</v>
      </c>
      <c r="H346" s="631"/>
      <c r="I346" s="21">
        <f t="shared" ref="I346:I409" si="59">(SUMIF($9:$9,H346,$10:$10)-SUMIF($9:$9,$H$24,$10:$10)+100)/100</f>
        <v>1</v>
      </c>
      <c r="J346" s="631"/>
      <c r="K346" s="21">
        <f t="shared" ref="K346:K409" si="60">(SUMIF($11:$11,J346,$12:$12)-SUMIF($11:$11,$J$24,$12:$12)+100)/100</f>
        <v>1</v>
      </c>
      <c r="L346" s="631"/>
      <c r="M346" s="21">
        <f t="shared" ref="M346:M409" si="61">(SUMIF($13:$13,L346,$14:$14)-SUMIF($13:$13,$L$24,$14:$14)+100)/100</f>
        <v>1</v>
      </c>
      <c r="N346" s="631"/>
      <c r="O346" s="21">
        <f t="shared" ref="O346:O409" si="62">(SUMIF($15:$15,N346,$16:$16)-SUMIF($15:$15,$N$24,$16:$16)+100)/100</f>
        <v>1</v>
      </c>
      <c r="P346" s="631"/>
      <c r="Q346" s="21">
        <f t="shared" ref="Q346:Q409" si="63">(SUMIF($17:$17,P346,$18:$18)-SUMIF($17:$17,$P$24,$18:$18)+100)/100</f>
        <v>0</v>
      </c>
      <c r="R346" s="21">
        <f t="shared" ref="R346:R409" si="64">IF(B346="",0,ROUND($R$24*C346*E346*G346*I346*K346*M346*O346*Q346,0))</f>
        <v>0</v>
      </c>
      <c r="S346" s="307">
        <f t="shared" si="55"/>
        <v>0</v>
      </c>
      <c r="T346" s="3190">
        <f>面积表!A341</f>
        <v>0</v>
      </c>
    </row>
    <row r="347" spans="1:20">
      <c r="A347" s="3169"/>
      <c r="B347" s="52"/>
      <c r="C347" s="21">
        <f t="shared" si="56"/>
        <v>1</v>
      </c>
      <c r="D347" s="2559"/>
      <c r="E347" s="21">
        <f t="shared" si="57"/>
        <v>0.02</v>
      </c>
      <c r="F347" s="2559"/>
      <c r="G347" s="21">
        <f t="shared" si="58"/>
        <v>0</v>
      </c>
      <c r="H347" s="631"/>
      <c r="I347" s="21">
        <f t="shared" si="59"/>
        <v>1</v>
      </c>
      <c r="J347" s="631"/>
      <c r="K347" s="21">
        <f t="shared" si="60"/>
        <v>1</v>
      </c>
      <c r="L347" s="631"/>
      <c r="M347" s="21">
        <f t="shared" si="61"/>
        <v>1</v>
      </c>
      <c r="N347" s="631"/>
      <c r="O347" s="21">
        <f t="shared" si="62"/>
        <v>1</v>
      </c>
      <c r="P347" s="631"/>
      <c r="Q347" s="21">
        <f t="shared" si="63"/>
        <v>0</v>
      </c>
      <c r="R347" s="21">
        <f t="shared" si="64"/>
        <v>0</v>
      </c>
      <c r="S347" s="307">
        <f t="shared" si="55"/>
        <v>0</v>
      </c>
      <c r="T347" s="3190">
        <f>面积表!A342</f>
        <v>0</v>
      </c>
    </row>
    <row r="348" spans="1:20">
      <c r="A348" s="3169"/>
      <c r="B348" s="52"/>
      <c r="C348" s="21">
        <f t="shared" si="56"/>
        <v>1</v>
      </c>
      <c r="D348" s="2559"/>
      <c r="E348" s="21">
        <f t="shared" si="57"/>
        <v>0.02</v>
      </c>
      <c r="F348" s="2559"/>
      <c r="G348" s="21">
        <f t="shared" si="58"/>
        <v>0</v>
      </c>
      <c r="H348" s="631"/>
      <c r="I348" s="21">
        <f t="shared" si="59"/>
        <v>1</v>
      </c>
      <c r="J348" s="631"/>
      <c r="K348" s="21">
        <f t="shared" si="60"/>
        <v>1</v>
      </c>
      <c r="L348" s="631"/>
      <c r="M348" s="21">
        <f t="shared" si="61"/>
        <v>1</v>
      </c>
      <c r="N348" s="631"/>
      <c r="O348" s="21">
        <f t="shared" si="62"/>
        <v>1</v>
      </c>
      <c r="P348" s="631"/>
      <c r="Q348" s="21">
        <f t="shared" si="63"/>
        <v>0</v>
      </c>
      <c r="R348" s="21">
        <f t="shared" si="64"/>
        <v>0</v>
      </c>
      <c r="S348" s="307">
        <f t="shared" si="55"/>
        <v>0</v>
      </c>
      <c r="T348" s="3190">
        <f>面积表!A343</f>
        <v>0</v>
      </c>
    </row>
    <row r="349" spans="1:20">
      <c r="A349" s="3169"/>
      <c r="B349" s="52"/>
      <c r="C349" s="21">
        <f t="shared" si="56"/>
        <v>1</v>
      </c>
      <c r="D349" s="2559"/>
      <c r="E349" s="21">
        <f t="shared" si="57"/>
        <v>0.02</v>
      </c>
      <c r="F349" s="2559"/>
      <c r="G349" s="21">
        <f t="shared" si="58"/>
        <v>0</v>
      </c>
      <c r="H349" s="631"/>
      <c r="I349" s="21">
        <f t="shared" si="59"/>
        <v>1</v>
      </c>
      <c r="J349" s="631"/>
      <c r="K349" s="21">
        <f t="shared" si="60"/>
        <v>1</v>
      </c>
      <c r="L349" s="631"/>
      <c r="M349" s="21">
        <f t="shared" si="61"/>
        <v>1</v>
      </c>
      <c r="N349" s="631"/>
      <c r="O349" s="21">
        <f t="shared" si="62"/>
        <v>1</v>
      </c>
      <c r="P349" s="631"/>
      <c r="Q349" s="21">
        <f t="shared" si="63"/>
        <v>0</v>
      </c>
      <c r="R349" s="21">
        <f t="shared" si="64"/>
        <v>0</v>
      </c>
      <c r="S349" s="307">
        <f t="shared" si="55"/>
        <v>0</v>
      </c>
      <c r="T349" s="3190">
        <f>面积表!A344</f>
        <v>0</v>
      </c>
    </row>
    <row r="350" spans="1:20">
      <c r="A350" s="3169"/>
      <c r="B350" s="52"/>
      <c r="C350" s="21">
        <f t="shared" si="56"/>
        <v>1</v>
      </c>
      <c r="D350" s="2559"/>
      <c r="E350" s="21">
        <f t="shared" si="57"/>
        <v>0.02</v>
      </c>
      <c r="F350" s="2559"/>
      <c r="G350" s="21">
        <f t="shared" si="58"/>
        <v>0</v>
      </c>
      <c r="H350" s="631"/>
      <c r="I350" s="21">
        <f t="shared" si="59"/>
        <v>1</v>
      </c>
      <c r="J350" s="631"/>
      <c r="K350" s="21">
        <f t="shared" si="60"/>
        <v>1</v>
      </c>
      <c r="L350" s="631"/>
      <c r="M350" s="21">
        <f t="shared" si="61"/>
        <v>1</v>
      </c>
      <c r="N350" s="631"/>
      <c r="O350" s="21">
        <f t="shared" si="62"/>
        <v>1</v>
      </c>
      <c r="P350" s="631"/>
      <c r="Q350" s="21">
        <f t="shared" si="63"/>
        <v>0</v>
      </c>
      <c r="R350" s="21">
        <f t="shared" si="64"/>
        <v>0</v>
      </c>
      <c r="S350" s="307">
        <f t="shared" si="55"/>
        <v>0</v>
      </c>
      <c r="T350" s="3190">
        <f>面积表!A345</f>
        <v>0</v>
      </c>
    </row>
    <row r="351" spans="1:20">
      <c r="A351" s="3169"/>
      <c r="B351" s="52"/>
      <c r="C351" s="21">
        <f t="shared" si="56"/>
        <v>1</v>
      </c>
      <c r="D351" s="2559"/>
      <c r="E351" s="21">
        <f t="shared" si="57"/>
        <v>0.02</v>
      </c>
      <c r="F351" s="2559"/>
      <c r="G351" s="21">
        <f t="shared" si="58"/>
        <v>0</v>
      </c>
      <c r="H351" s="631"/>
      <c r="I351" s="21">
        <f t="shared" si="59"/>
        <v>1</v>
      </c>
      <c r="J351" s="631"/>
      <c r="K351" s="21">
        <f t="shared" si="60"/>
        <v>1</v>
      </c>
      <c r="L351" s="631"/>
      <c r="M351" s="21">
        <f t="shared" si="61"/>
        <v>1</v>
      </c>
      <c r="N351" s="631"/>
      <c r="O351" s="21">
        <f t="shared" si="62"/>
        <v>1</v>
      </c>
      <c r="P351" s="631"/>
      <c r="Q351" s="21">
        <f t="shared" si="63"/>
        <v>0</v>
      </c>
      <c r="R351" s="21">
        <f t="shared" si="64"/>
        <v>0</v>
      </c>
      <c r="S351" s="307">
        <f t="shared" si="55"/>
        <v>0</v>
      </c>
      <c r="T351" s="3190">
        <f>面积表!A346</f>
        <v>0</v>
      </c>
    </row>
    <row r="352" spans="1:20">
      <c r="A352" s="3169"/>
      <c r="B352" s="52"/>
      <c r="C352" s="21">
        <f t="shared" si="56"/>
        <v>1</v>
      </c>
      <c r="D352" s="2559"/>
      <c r="E352" s="21">
        <f t="shared" si="57"/>
        <v>0.02</v>
      </c>
      <c r="F352" s="2559"/>
      <c r="G352" s="21">
        <f t="shared" si="58"/>
        <v>0</v>
      </c>
      <c r="H352" s="631"/>
      <c r="I352" s="21">
        <f t="shared" si="59"/>
        <v>1</v>
      </c>
      <c r="J352" s="631"/>
      <c r="K352" s="21">
        <f t="shared" si="60"/>
        <v>1</v>
      </c>
      <c r="L352" s="631"/>
      <c r="M352" s="21">
        <f t="shared" si="61"/>
        <v>1</v>
      </c>
      <c r="N352" s="631"/>
      <c r="O352" s="21">
        <f t="shared" si="62"/>
        <v>1</v>
      </c>
      <c r="P352" s="631"/>
      <c r="Q352" s="21">
        <f t="shared" si="63"/>
        <v>0</v>
      </c>
      <c r="R352" s="21">
        <f t="shared" si="64"/>
        <v>0</v>
      </c>
      <c r="S352" s="307">
        <f t="shared" si="55"/>
        <v>0</v>
      </c>
      <c r="T352" s="3190">
        <f>面积表!A347</f>
        <v>0</v>
      </c>
    </row>
    <row r="353" spans="1:20">
      <c r="A353" s="3169"/>
      <c r="B353" s="52"/>
      <c r="C353" s="21">
        <f t="shared" si="56"/>
        <v>1</v>
      </c>
      <c r="D353" s="2559"/>
      <c r="E353" s="21">
        <f t="shared" si="57"/>
        <v>0.02</v>
      </c>
      <c r="F353" s="2559"/>
      <c r="G353" s="21">
        <f t="shared" si="58"/>
        <v>0</v>
      </c>
      <c r="H353" s="631"/>
      <c r="I353" s="21">
        <f t="shared" si="59"/>
        <v>1</v>
      </c>
      <c r="J353" s="631"/>
      <c r="K353" s="21">
        <f t="shared" si="60"/>
        <v>1</v>
      </c>
      <c r="L353" s="631"/>
      <c r="M353" s="21">
        <f t="shared" si="61"/>
        <v>1</v>
      </c>
      <c r="N353" s="631"/>
      <c r="O353" s="21">
        <f t="shared" si="62"/>
        <v>1</v>
      </c>
      <c r="P353" s="631"/>
      <c r="Q353" s="21">
        <f t="shared" si="63"/>
        <v>0</v>
      </c>
      <c r="R353" s="21">
        <f t="shared" si="64"/>
        <v>0</v>
      </c>
      <c r="S353" s="307">
        <f t="shared" si="55"/>
        <v>0</v>
      </c>
      <c r="T353" s="3190">
        <f>面积表!A348</f>
        <v>0</v>
      </c>
    </row>
    <row r="354" spans="1:20">
      <c r="A354" s="3169"/>
      <c r="B354" s="52"/>
      <c r="C354" s="21">
        <f t="shared" si="56"/>
        <v>1</v>
      </c>
      <c r="D354" s="2559"/>
      <c r="E354" s="21">
        <f t="shared" si="57"/>
        <v>0.02</v>
      </c>
      <c r="F354" s="2559"/>
      <c r="G354" s="21">
        <f t="shared" si="58"/>
        <v>0</v>
      </c>
      <c r="H354" s="631"/>
      <c r="I354" s="21">
        <f t="shared" si="59"/>
        <v>1</v>
      </c>
      <c r="J354" s="631"/>
      <c r="K354" s="21">
        <f t="shared" si="60"/>
        <v>1</v>
      </c>
      <c r="L354" s="631"/>
      <c r="M354" s="21">
        <f t="shared" si="61"/>
        <v>1</v>
      </c>
      <c r="N354" s="631"/>
      <c r="O354" s="21">
        <f t="shared" si="62"/>
        <v>1</v>
      </c>
      <c r="P354" s="631"/>
      <c r="Q354" s="21">
        <f t="shared" si="63"/>
        <v>0</v>
      </c>
      <c r="R354" s="21">
        <f t="shared" si="64"/>
        <v>0</v>
      </c>
      <c r="S354" s="307">
        <f t="shared" si="55"/>
        <v>0</v>
      </c>
      <c r="T354" s="3190">
        <f>面积表!A349</f>
        <v>0</v>
      </c>
    </row>
    <row r="355" spans="1:20">
      <c r="A355" s="3169"/>
      <c r="B355" s="52"/>
      <c r="C355" s="21">
        <f t="shared" si="56"/>
        <v>1</v>
      </c>
      <c r="D355" s="2559"/>
      <c r="E355" s="21">
        <f t="shared" si="57"/>
        <v>0.02</v>
      </c>
      <c r="F355" s="2559"/>
      <c r="G355" s="21">
        <f t="shared" si="58"/>
        <v>0</v>
      </c>
      <c r="H355" s="631"/>
      <c r="I355" s="21">
        <f t="shared" si="59"/>
        <v>1</v>
      </c>
      <c r="J355" s="631"/>
      <c r="K355" s="21">
        <f t="shared" si="60"/>
        <v>1</v>
      </c>
      <c r="L355" s="631"/>
      <c r="M355" s="21">
        <f t="shared" si="61"/>
        <v>1</v>
      </c>
      <c r="N355" s="631"/>
      <c r="O355" s="21">
        <f t="shared" si="62"/>
        <v>1</v>
      </c>
      <c r="P355" s="631"/>
      <c r="Q355" s="21">
        <f t="shared" si="63"/>
        <v>0</v>
      </c>
      <c r="R355" s="21">
        <f t="shared" si="64"/>
        <v>0</v>
      </c>
      <c r="S355" s="307">
        <f t="shared" si="55"/>
        <v>0</v>
      </c>
      <c r="T355" s="3190">
        <f>面积表!A350</f>
        <v>0</v>
      </c>
    </row>
    <row r="356" spans="1:20">
      <c r="A356" s="3169"/>
      <c r="B356" s="52"/>
      <c r="C356" s="21">
        <f t="shared" si="56"/>
        <v>1</v>
      </c>
      <c r="D356" s="2559"/>
      <c r="E356" s="21">
        <f t="shared" si="57"/>
        <v>0.02</v>
      </c>
      <c r="F356" s="2559"/>
      <c r="G356" s="21">
        <f t="shared" si="58"/>
        <v>0</v>
      </c>
      <c r="H356" s="631"/>
      <c r="I356" s="21">
        <f t="shared" si="59"/>
        <v>1</v>
      </c>
      <c r="J356" s="631"/>
      <c r="K356" s="21">
        <f t="shared" si="60"/>
        <v>1</v>
      </c>
      <c r="L356" s="631"/>
      <c r="M356" s="21">
        <f t="shared" si="61"/>
        <v>1</v>
      </c>
      <c r="N356" s="631"/>
      <c r="O356" s="21">
        <f t="shared" si="62"/>
        <v>1</v>
      </c>
      <c r="P356" s="631"/>
      <c r="Q356" s="21">
        <f t="shared" si="63"/>
        <v>0</v>
      </c>
      <c r="R356" s="21">
        <f t="shared" si="64"/>
        <v>0</v>
      </c>
      <c r="S356" s="307">
        <f t="shared" si="55"/>
        <v>0</v>
      </c>
      <c r="T356" s="3190">
        <f>面积表!A351</f>
        <v>0</v>
      </c>
    </row>
    <row r="357" spans="1:20">
      <c r="A357" s="3169"/>
      <c r="B357" s="52"/>
      <c r="C357" s="21">
        <f t="shared" si="56"/>
        <v>1</v>
      </c>
      <c r="D357" s="2559"/>
      <c r="E357" s="21">
        <f t="shared" si="57"/>
        <v>0.02</v>
      </c>
      <c r="F357" s="2559"/>
      <c r="G357" s="21">
        <f t="shared" si="58"/>
        <v>0</v>
      </c>
      <c r="H357" s="631"/>
      <c r="I357" s="21">
        <f t="shared" si="59"/>
        <v>1</v>
      </c>
      <c r="J357" s="631"/>
      <c r="K357" s="21">
        <f t="shared" si="60"/>
        <v>1</v>
      </c>
      <c r="L357" s="631"/>
      <c r="M357" s="21">
        <f t="shared" si="61"/>
        <v>1</v>
      </c>
      <c r="N357" s="631"/>
      <c r="O357" s="21">
        <f t="shared" si="62"/>
        <v>1</v>
      </c>
      <c r="P357" s="631"/>
      <c r="Q357" s="21">
        <f t="shared" si="63"/>
        <v>0</v>
      </c>
      <c r="R357" s="21">
        <f t="shared" si="64"/>
        <v>0</v>
      </c>
      <c r="S357" s="307">
        <f t="shared" si="55"/>
        <v>0</v>
      </c>
      <c r="T357" s="3190">
        <f>面积表!A352</f>
        <v>0</v>
      </c>
    </row>
    <row r="358" spans="1:20">
      <c r="A358" s="3169"/>
      <c r="B358" s="52"/>
      <c r="C358" s="21">
        <f t="shared" si="56"/>
        <v>1</v>
      </c>
      <c r="D358" s="2559"/>
      <c r="E358" s="21">
        <f t="shared" si="57"/>
        <v>0.02</v>
      </c>
      <c r="F358" s="2559"/>
      <c r="G358" s="21">
        <f t="shared" si="58"/>
        <v>0</v>
      </c>
      <c r="H358" s="631"/>
      <c r="I358" s="21">
        <f t="shared" si="59"/>
        <v>1</v>
      </c>
      <c r="J358" s="631"/>
      <c r="K358" s="21">
        <f t="shared" si="60"/>
        <v>1</v>
      </c>
      <c r="L358" s="631"/>
      <c r="M358" s="21">
        <f t="shared" si="61"/>
        <v>1</v>
      </c>
      <c r="N358" s="631"/>
      <c r="O358" s="21">
        <f t="shared" si="62"/>
        <v>1</v>
      </c>
      <c r="P358" s="631"/>
      <c r="Q358" s="21">
        <f t="shared" si="63"/>
        <v>0</v>
      </c>
      <c r="R358" s="21">
        <f t="shared" si="64"/>
        <v>0</v>
      </c>
      <c r="S358" s="307">
        <f t="shared" si="55"/>
        <v>0</v>
      </c>
      <c r="T358" s="3190">
        <f>面积表!A353</f>
        <v>0</v>
      </c>
    </row>
    <row r="359" spans="1:20">
      <c r="A359" s="3169"/>
      <c r="B359" s="52"/>
      <c r="C359" s="21">
        <f t="shared" si="56"/>
        <v>1</v>
      </c>
      <c r="D359" s="2559"/>
      <c r="E359" s="21">
        <f t="shared" si="57"/>
        <v>0.02</v>
      </c>
      <c r="F359" s="2559"/>
      <c r="G359" s="21">
        <f t="shared" si="58"/>
        <v>0</v>
      </c>
      <c r="H359" s="631"/>
      <c r="I359" s="21">
        <f t="shared" si="59"/>
        <v>1</v>
      </c>
      <c r="J359" s="631"/>
      <c r="K359" s="21">
        <f t="shared" si="60"/>
        <v>1</v>
      </c>
      <c r="L359" s="631"/>
      <c r="M359" s="21">
        <f t="shared" si="61"/>
        <v>1</v>
      </c>
      <c r="N359" s="631"/>
      <c r="O359" s="21">
        <f t="shared" si="62"/>
        <v>1</v>
      </c>
      <c r="P359" s="631"/>
      <c r="Q359" s="21">
        <f t="shared" si="63"/>
        <v>0</v>
      </c>
      <c r="R359" s="21">
        <f t="shared" si="64"/>
        <v>0</v>
      </c>
      <c r="S359" s="307">
        <f t="shared" si="55"/>
        <v>0</v>
      </c>
      <c r="T359" s="3190">
        <f>面积表!A354</f>
        <v>0</v>
      </c>
    </row>
    <row r="360" spans="1:20">
      <c r="A360" s="3169"/>
      <c r="B360" s="52"/>
      <c r="C360" s="21">
        <f t="shared" si="56"/>
        <v>1</v>
      </c>
      <c r="D360" s="2559"/>
      <c r="E360" s="21">
        <f t="shared" si="57"/>
        <v>0.02</v>
      </c>
      <c r="F360" s="2559"/>
      <c r="G360" s="21">
        <f t="shared" si="58"/>
        <v>0</v>
      </c>
      <c r="H360" s="631"/>
      <c r="I360" s="21">
        <f t="shared" si="59"/>
        <v>1</v>
      </c>
      <c r="J360" s="631"/>
      <c r="K360" s="21">
        <f t="shared" si="60"/>
        <v>1</v>
      </c>
      <c r="L360" s="631"/>
      <c r="M360" s="21">
        <f t="shared" si="61"/>
        <v>1</v>
      </c>
      <c r="N360" s="631"/>
      <c r="O360" s="21">
        <f t="shared" si="62"/>
        <v>1</v>
      </c>
      <c r="P360" s="631"/>
      <c r="Q360" s="21">
        <f t="shared" si="63"/>
        <v>0</v>
      </c>
      <c r="R360" s="21">
        <f t="shared" si="64"/>
        <v>0</v>
      </c>
      <c r="S360" s="307">
        <f t="shared" si="55"/>
        <v>0</v>
      </c>
      <c r="T360" s="3190">
        <f>面积表!A355</f>
        <v>0</v>
      </c>
    </row>
    <row r="361" spans="1:20">
      <c r="A361" s="3169"/>
      <c r="B361" s="52"/>
      <c r="C361" s="21">
        <f t="shared" si="56"/>
        <v>1</v>
      </c>
      <c r="D361" s="2559"/>
      <c r="E361" s="21">
        <f t="shared" si="57"/>
        <v>0.02</v>
      </c>
      <c r="F361" s="2559"/>
      <c r="G361" s="21">
        <f t="shared" si="58"/>
        <v>0</v>
      </c>
      <c r="H361" s="631"/>
      <c r="I361" s="21">
        <f t="shared" si="59"/>
        <v>1</v>
      </c>
      <c r="J361" s="631"/>
      <c r="K361" s="21">
        <f t="shared" si="60"/>
        <v>1</v>
      </c>
      <c r="L361" s="631"/>
      <c r="M361" s="21">
        <f t="shared" si="61"/>
        <v>1</v>
      </c>
      <c r="N361" s="631"/>
      <c r="O361" s="21">
        <f t="shared" si="62"/>
        <v>1</v>
      </c>
      <c r="P361" s="631"/>
      <c r="Q361" s="21">
        <f t="shared" si="63"/>
        <v>0</v>
      </c>
      <c r="R361" s="21">
        <f t="shared" si="64"/>
        <v>0</v>
      </c>
      <c r="S361" s="307">
        <f t="shared" si="55"/>
        <v>0</v>
      </c>
      <c r="T361" s="3190">
        <f>面积表!A356</f>
        <v>0</v>
      </c>
    </row>
    <row r="362" spans="1:20">
      <c r="A362" s="3169"/>
      <c r="B362" s="52"/>
      <c r="C362" s="21">
        <f t="shared" si="56"/>
        <v>1</v>
      </c>
      <c r="D362" s="2559"/>
      <c r="E362" s="21">
        <f t="shared" si="57"/>
        <v>0.02</v>
      </c>
      <c r="F362" s="2559"/>
      <c r="G362" s="21">
        <f t="shared" si="58"/>
        <v>0</v>
      </c>
      <c r="H362" s="631"/>
      <c r="I362" s="21">
        <f t="shared" si="59"/>
        <v>1</v>
      </c>
      <c r="J362" s="631"/>
      <c r="K362" s="21">
        <f t="shared" si="60"/>
        <v>1</v>
      </c>
      <c r="L362" s="631"/>
      <c r="M362" s="21">
        <f t="shared" si="61"/>
        <v>1</v>
      </c>
      <c r="N362" s="631"/>
      <c r="O362" s="21">
        <f t="shared" si="62"/>
        <v>1</v>
      </c>
      <c r="P362" s="631"/>
      <c r="Q362" s="21">
        <f t="shared" si="63"/>
        <v>0</v>
      </c>
      <c r="R362" s="21">
        <f t="shared" si="64"/>
        <v>0</v>
      </c>
      <c r="S362" s="307">
        <f t="shared" si="55"/>
        <v>0</v>
      </c>
      <c r="T362" s="3190">
        <f>面积表!A357</f>
        <v>0</v>
      </c>
    </row>
    <row r="363" spans="1:20">
      <c r="A363" s="3169"/>
      <c r="B363" s="52"/>
      <c r="C363" s="21">
        <f t="shared" si="56"/>
        <v>1</v>
      </c>
      <c r="D363" s="2559"/>
      <c r="E363" s="21">
        <f t="shared" si="57"/>
        <v>0.02</v>
      </c>
      <c r="F363" s="2559"/>
      <c r="G363" s="21">
        <f t="shared" si="58"/>
        <v>0</v>
      </c>
      <c r="H363" s="631"/>
      <c r="I363" s="21">
        <f t="shared" si="59"/>
        <v>1</v>
      </c>
      <c r="J363" s="631"/>
      <c r="K363" s="21">
        <f t="shared" si="60"/>
        <v>1</v>
      </c>
      <c r="L363" s="631"/>
      <c r="M363" s="21">
        <f t="shared" si="61"/>
        <v>1</v>
      </c>
      <c r="N363" s="631"/>
      <c r="O363" s="21">
        <f t="shared" si="62"/>
        <v>1</v>
      </c>
      <c r="P363" s="631"/>
      <c r="Q363" s="21">
        <f t="shared" si="63"/>
        <v>0</v>
      </c>
      <c r="R363" s="21">
        <f t="shared" si="64"/>
        <v>0</v>
      </c>
      <c r="S363" s="307">
        <f t="shared" si="55"/>
        <v>0</v>
      </c>
      <c r="T363" s="3190">
        <f>面积表!A358</f>
        <v>0</v>
      </c>
    </row>
    <row r="364" spans="1:20">
      <c r="A364" s="3169"/>
      <c r="B364" s="52"/>
      <c r="C364" s="21">
        <f t="shared" si="56"/>
        <v>1</v>
      </c>
      <c r="D364" s="2559"/>
      <c r="E364" s="21">
        <f t="shared" si="57"/>
        <v>0.02</v>
      </c>
      <c r="F364" s="2559"/>
      <c r="G364" s="21">
        <f t="shared" si="58"/>
        <v>0</v>
      </c>
      <c r="H364" s="631"/>
      <c r="I364" s="21">
        <f t="shared" si="59"/>
        <v>1</v>
      </c>
      <c r="J364" s="631"/>
      <c r="K364" s="21">
        <f t="shared" si="60"/>
        <v>1</v>
      </c>
      <c r="L364" s="631"/>
      <c r="M364" s="21">
        <f t="shared" si="61"/>
        <v>1</v>
      </c>
      <c r="N364" s="631"/>
      <c r="O364" s="21">
        <f t="shared" si="62"/>
        <v>1</v>
      </c>
      <c r="P364" s="631"/>
      <c r="Q364" s="21">
        <f t="shared" si="63"/>
        <v>0</v>
      </c>
      <c r="R364" s="21">
        <f t="shared" si="64"/>
        <v>0</v>
      </c>
      <c r="S364" s="307">
        <f t="shared" si="55"/>
        <v>0</v>
      </c>
      <c r="T364" s="3190">
        <f>面积表!A359</f>
        <v>0</v>
      </c>
    </row>
    <row r="365" spans="1:20">
      <c r="A365" s="3169"/>
      <c r="B365" s="52"/>
      <c r="C365" s="21">
        <f t="shared" si="56"/>
        <v>1</v>
      </c>
      <c r="D365" s="2559"/>
      <c r="E365" s="21">
        <f t="shared" si="57"/>
        <v>0.02</v>
      </c>
      <c r="F365" s="2559"/>
      <c r="G365" s="21">
        <f t="shared" si="58"/>
        <v>0</v>
      </c>
      <c r="H365" s="631"/>
      <c r="I365" s="21">
        <f t="shared" si="59"/>
        <v>1</v>
      </c>
      <c r="J365" s="631"/>
      <c r="K365" s="21">
        <f t="shared" si="60"/>
        <v>1</v>
      </c>
      <c r="L365" s="631"/>
      <c r="M365" s="21">
        <f t="shared" si="61"/>
        <v>1</v>
      </c>
      <c r="N365" s="631"/>
      <c r="O365" s="21">
        <f t="shared" si="62"/>
        <v>1</v>
      </c>
      <c r="P365" s="631"/>
      <c r="Q365" s="21">
        <f t="shared" si="63"/>
        <v>0</v>
      </c>
      <c r="R365" s="21">
        <f t="shared" si="64"/>
        <v>0</v>
      </c>
      <c r="S365" s="307">
        <f t="shared" si="55"/>
        <v>0</v>
      </c>
      <c r="T365" s="3190">
        <f>面积表!A360</f>
        <v>0</v>
      </c>
    </row>
    <row r="366" spans="1:20">
      <c r="A366" s="3169"/>
      <c r="B366" s="52"/>
      <c r="C366" s="21">
        <f t="shared" si="56"/>
        <v>1</v>
      </c>
      <c r="D366" s="2559"/>
      <c r="E366" s="21">
        <f t="shared" si="57"/>
        <v>0.02</v>
      </c>
      <c r="F366" s="2559"/>
      <c r="G366" s="21">
        <f t="shared" si="58"/>
        <v>0</v>
      </c>
      <c r="H366" s="631"/>
      <c r="I366" s="21">
        <f t="shared" si="59"/>
        <v>1</v>
      </c>
      <c r="J366" s="631"/>
      <c r="K366" s="21">
        <f t="shared" si="60"/>
        <v>1</v>
      </c>
      <c r="L366" s="631"/>
      <c r="M366" s="21">
        <f t="shared" si="61"/>
        <v>1</v>
      </c>
      <c r="N366" s="631"/>
      <c r="O366" s="21">
        <f t="shared" si="62"/>
        <v>1</v>
      </c>
      <c r="P366" s="631"/>
      <c r="Q366" s="21">
        <f t="shared" si="63"/>
        <v>0</v>
      </c>
      <c r="R366" s="21">
        <f t="shared" si="64"/>
        <v>0</v>
      </c>
      <c r="S366" s="307">
        <f t="shared" si="55"/>
        <v>0</v>
      </c>
      <c r="T366" s="3190">
        <f>面积表!A361</f>
        <v>0</v>
      </c>
    </row>
    <row r="367" spans="1:20">
      <c r="A367" s="3169"/>
      <c r="B367" s="52"/>
      <c r="C367" s="21">
        <f t="shared" si="56"/>
        <v>1</v>
      </c>
      <c r="D367" s="2559"/>
      <c r="E367" s="21">
        <f t="shared" si="57"/>
        <v>0.02</v>
      </c>
      <c r="F367" s="2559"/>
      <c r="G367" s="21">
        <f t="shared" si="58"/>
        <v>0</v>
      </c>
      <c r="H367" s="631"/>
      <c r="I367" s="21">
        <f t="shared" si="59"/>
        <v>1</v>
      </c>
      <c r="J367" s="631"/>
      <c r="K367" s="21">
        <f t="shared" si="60"/>
        <v>1</v>
      </c>
      <c r="L367" s="631"/>
      <c r="M367" s="21">
        <f t="shared" si="61"/>
        <v>1</v>
      </c>
      <c r="N367" s="631"/>
      <c r="O367" s="21">
        <f t="shared" si="62"/>
        <v>1</v>
      </c>
      <c r="P367" s="631"/>
      <c r="Q367" s="21">
        <f t="shared" si="63"/>
        <v>0</v>
      </c>
      <c r="R367" s="21">
        <f t="shared" si="64"/>
        <v>0</v>
      </c>
      <c r="S367" s="307">
        <f t="shared" si="55"/>
        <v>0</v>
      </c>
      <c r="T367" s="3190">
        <f>面积表!A362</f>
        <v>0</v>
      </c>
    </row>
    <row r="368" spans="1:20">
      <c r="A368" s="3169"/>
      <c r="B368" s="52"/>
      <c r="C368" s="21">
        <f t="shared" si="56"/>
        <v>1</v>
      </c>
      <c r="D368" s="2559"/>
      <c r="E368" s="21">
        <f t="shared" si="57"/>
        <v>0.02</v>
      </c>
      <c r="F368" s="2559"/>
      <c r="G368" s="21">
        <f t="shared" si="58"/>
        <v>0</v>
      </c>
      <c r="H368" s="631"/>
      <c r="I368" s="21">
        <f t="shared" si="59"/>
        <v>1</v>
      </c>
      <c r="J368" s="631"/>
      <c r="K368" s="21">
        <f t="shared" si="60"/>
        <v>1</v>
      </c>
      <c r="L368" s="631"/>
      <c r="M368" s="21">
        <f t="shared" si="61"/>
        <v>1</v>
      </c>
      <c r="N368" s="631"/>
      <c r="O368" s="21">
        <f t="shared" si="62"/>
        <v>1</v>
      </c>
      <c r="P368" s="631"/>
      <c r="Q368" s="21">
        <f t="shared" si="63"/>
        <v>0</v>
      </c>
      <c r="R368" s="21">
        <f t="shared" si="64"/>
        <v>0</v>
      </c>
      <c r="S368" s="307">
        <f t="shared" si="55"/>
        <v>0</v>
      </c>
      <c r="T368" s="3190">
        <f>面积表!A363</f>
        <v>0</v>
      </c>
    </row>
    <row r="369" spans="1:20">
      <c r="A369" s="3169"/>
      <c r="B369" s="52"/>
      <c r="C369" s="21">
        <f t="shared" si="56"/>
        <v>1</v>
      </c>
      <c r="D369" s="2559"/>
      <c r="E369" s="21">
        <f t="shared" si="57"/>
        <v>0.02</v>
      </c>
      <c r="F369" s="2559"/>
      <c r="G369" s="21">
        <f t="shared" si="58"/>
        <v>0</v>
      </c>
      <c r="H369" s="631"/>
      <c r="I369" s="21">
        <f t="shared" si="59"/>
        <v>1</v>
      </c>
      <c r="J369" s="631"/>
      <c r="K369" s="21">
        <f t="shared" si="60"/>
        <v>1</v>
      </c>
      <c r="L369" s="631"/>
      <c r="M369" s="21">
        <f t="shared" si="61"/>
        <v>1</v>
      </c>
      <c r="N369" s="631"/>
      <c r="O369" s="21">
        <f t="shared" si="62"/>
        <v>1</v>
      </c>
      <c r="P369" s="631"/>
      <c r="Q369" s="21">
        <f t="shared" si="63"/>
        <v>0</v>
      </c>
      <c r="R369" s="21">
        <f t="shared" si="64"/>
        <v>0</v>
      </c>
      <c r="S369" s="307">
        <f t="shared" si="55"/>
        <v>0</v>
      </c>
      <c r="T369" s="3190">
        <f>面积表!A364</f>
        <v>0</v>
      </c>
    </row>
    <row r="370" spans="1:20">
      <c r="A370" s="3169"/>
      <c r="B370" s="52"/>
      <c r="C370" s="21">
        <f t="shared" si="56"/>
        <v>1</v>
      </c>
      <c r="D370" s="2559"/>
      <c r="E370" s="21">
        <f t="shared" si="57"/>
        <v>0.02</v>
      </c>
      <c r="F370" s="2559"/>
      <c r="G370" s="21">
        <f t="shared" si="58"/>
        <v>0</v>
      </c>
      <c r="H370" s="631"/>
      <c r="I370" s="21">
        <f t="shared" si="59"/>
        <v>1</v>
      </c>
      <c r="J370" s="631"/>
      <c r="K370" s="21">
        <f t="shared" si="60"/>
        <v>1</v>
      </c>
      <c r="L370" s="631"/>
      <c r="M370" s="21">
        <f t="shared" si="61"/>
        <v>1</v>
      </c>
      <c r="N370" s="631"/>
      <c r="O370" s="21">
        <f t="shared" si="62"/>
        <v>1</v>
      </c>
      <c r="P370" s="631"/>
      <c r="Q370" s="21">
        <f t="shared" si="63"/>
        <v>0</v>
      </c>
      <c r="R370" s="21">
        <f t="shared" si="64"/>
        <v>0</v>
      </c>
      <c r="S370" s="307">
        <f t="shared" si="55"/>
        <v>0</v>
      </c>
      <c r="T370" s="3190">
        <f>面积表!A365</f>
        <v>0</v>
      </c>
    </row>
    <row r="371" spans="1:20">
      <c r="A371" s="3169"/>
      <c r="B371" s="52"/>
      <c r="C371" s="21">
        <f t="shared" si="56"/>
        <v>1</v>
      </c>
      <c r="D371" s="2559"/>
      <c r="E371" s="21">
        <f t="shared" si="57"/>
        <v>0.02</v>
      </c>
      <c r="F371" s="2559"/>
      <c r="G371" s="21">
        <f t="shared" si="58"/>
        <v>0</v>
      </c>
      <c r="H371" s="631"/>
      <c r="I371" s="21">
        <f t="shared" si="59"/>
        <v>1</v>
      </c>
      <c r="J371" s="631"/>
      <c r="K371" s="21">
        <f t="shared" si="60"/>
        <v>1</v>
      </c>
      <c r="L371" s="631"/>
      <c r="M371" s="21">
        <f t="shared" si="61"/>
        <v>1</v>
      </c>
      <c r="N371" s="631"/>
      <c r="O371" s="21">
        <f t="shared" si="62"/>
        <v>1</v>
      </c>
      <c r="P371" s="631"/>
      <c r="Q371" s="21">
        <f t="shared" si="63"/>
        <v>0</v>
      </c>
      <c r="R371" s="21">
        <f t="shared" si="64"/>
        <v>0</v>
      </c>
      <c r="S371" s="307">
        <f t="shared" si="55"/>
        <v>0</v>
      </c>
      <c r="T371" s="3190">
        <f>面积表!A366</f>
        <v>0</v>
      </c>
    </row>
    <row r="372" spans="1:20">
      <c r="A372" s="3169"/>
      <c r="B372" s="52"/>
      <c r="C372" s="21">
        <f t="shared" si="56"/>
        <v>1</v>
      </c>
      <c r="D372" s="2559"/>
      <c r="E372" s="21">
        <f t="shared" si="57"/>
        <v>0.02</v>
      </c>
      <c r="F372" s="2559"/>
      <c r="G372" s="21">
        <f t="shared" si="58"/>
        <v>0</v>
      </c>
      <c r="H372" s="631"/>
      <c r="I372" s="21">
        <f t="shared" si="59"/>
        <v>1</v>
      </c>
      <c r="J372" s="631"/>
      <c r="K372" s="21">
        <f t="shared" si="60"/>
        <v>1</v>
      </c>
      <c r="L372" s="631"/>
      <c r="M372" s="21">
        <f t="shared" si="61"/>
        <v>1</v>
      </c>
      <c r="N372" s="631"/>
      <c r="O372" s="21">
        <f t="shared" si="62"/>
        <v>1</v>
      </c>
      <c r="P372" s="631"/>
      <c r="Q372" s="21">
        <f t="shared" si="63"/>
        <v>0</v>
      </c>
      <c r="R372" s="21">
        <f t="shared" si="64"/>
        <v>0</v>
      </c>
      <c r="S372" s="307">
        <f t="shared" si="55"/>
        <v>0</v>
      </c>
      <c r="T372" s="3190">
        <f>面积表!A367</f>
        <v>0</v>
      </c>
    </row>
    <row r="373" spans="1:20">
      <c r="A373" s="3169"/>
      <c r="B373" s="52"/>
      <c r="C373" s="21">
        <f t="shared" si="56"/>
        <v>1</v>
      </c>
      <c r="D373" s="2559"/>
      <c r="E373" s="21">
        <f t="shared" si="57"/>
        <v>0.02</v>
      </c>
      <c r="F373" s="2559"/>
      <c r="G373" s="21">
        <f t="shared" si="58"/>
        <v>0</v>
      </c>
      <c r="H373" s="631"/>
      <c r="I373" s="21">
        <f t="shared" si="59"/>
        <v>1</v>
      </c>
      <c r="J373" s="631"/>
      <c r="K373" s="21">
        <f t="shared" si="60"/>
        <v>1</v>
      </c>
      <c r="L373" s="631"/>
      <c r="M373" s="21">
        <f t="shared" si="61"/>
        <v>1</v>
      </c>
      <c r="N373" s="631"/>
      <c r="O373" s="21">
        <f t="shared" si="62"/>
        <v>1</v>
      </c>
      <c r="P373" s="631"/>
      <c r="Q373" s="21">
        <f t="shared" si="63"/>
        <v>0</v>
      </c>
      <c r="R373" s="21">
        <f t="shared" si="64"/>
        <v>0</v>
      </c>
      <c r="S373" s="307">
        <f t="shared" si="55"/>
        <v>0</v>
      </c>
      <c r="T373" s="3190">
        <f>面积表!A368</f>
        <v>0</v>
      </c>
    </row>
    <row r="374" spans="1:20">
      <c r="A374" s="3169"/>
      <c r="B374" s="52"/>
      <c r="C374" s="21">
        <f t="shared" si="56"/>
        <v>1</v>
      </c>
      <c r="D374" s="2559"/>
      <c r="E374" s="21">
        <f t="shared" si="57"/>
        <v>0.02</v>
      </c>
      <c r="F374" s="2559"/>
      <c r="G374" s="21">
        <f t="shared" si="58"/>
        <v>0</v>
      </c>
      <c r="H374" s="631"/>
      <c r="I374" s="21">
        <f t="shared" si="59"/>
        <v>1</v>
      </c>
      <c r="J374" s="631"/>
      <c r="K374" s="21">
        <f t="shared" si="60"/>
        <v>1</v>
      </c>
      <c r="L374" s="631"/>
      <c r="M374" s="21">
        <f t="shared" si="61"/>
        <v>1</v>
      </c>
      <c r="N374" s="631"/>
      <c r="O374" s="21">
        <f t="shared" si="62"/>
        <v>1</v>
      </c>
      <c r="P374" s="631"/>
      <c r="Q374" s="21">
        <f t="shared" si="63"/>
        <v>0</v>
      </c>
      <c r="R374" s="21">
        <f t="shared" si="64"/>
        <v>0</v>
      </c>
      <c r="S374" s="307">
        <f t="shared" si="55"/>
        <v>0</v>
      </c>
      <c r="T374" s="3190">
        <f>面积表!A369</f>
        <v>0</v>
      </c>
    </row>
    <row r="375" spans="1:20">
      <c r="A375" s="3169"/>
      <c r="B375" s="52"/>
      <c r="C375" s="21">
        <f t="shared" si="56"/>
        <v>1</v>
      </c>
      <c r="D375" s="2559"/>
      <c r="E375" s="21">
        <f t="shared" si="57"/>
        <v>0.02</v>
      </c>
      <c r="F375" s="2559"/>
      <c r="G375" s="21">
        <f t="shared" si="58"/>
        <v>0</v>
      </c>
      <c r="H375" s="631"/>
      <c r="I375" s="21">
        <f t="shared" si="59"/>
        <v>1</v>
      </c>
      <c r="J375" s="631"/>
      <c r="K375" s="21">
        <f t="shared" si="60"/>
        <v>1</v>
      </c>
      <c r="L375" s="631"/>
      <c r="M375" s="21">
        <f t="shared" si="61"/>
        <v>1</v>
      </c>
      <c r="N375" s="631"/>
      <c r="O375" s="21">
        <f t="shared" si="62"/>
        <v>1</v>
      </c>
      <c r="P375" s="631"/>
      <c r="Q375" s="21">
        <f t="shared" si="63"/>
        <v>0</v>
      </c>
      <c r="R375" s="21">
        <f t="shared" si="64"/>
        <v>0</v>
      </c>
      <c r="S375" s="307">
        <f t="shared" si="55"/>
        <v>0</v>
      </c>
      <c r="T375" s="3190">
        <f>面积表!A370</f>
        <v>0</v>
      </c>
    </row>
    <row r="376" spans="1:20">
      <c r="A376" s="3169"/>
      <c r="B376" s="52"/>
      <c r="C376" s="21">
        <f t="shared" si="56"/>
        <v>1</v>
      </c>
      <c r="D376" s="2559"/>
      <c r="E376" s="21">
        <f t="shared" si="57"/>
        <v>0.02</v>
      </c>
      <c r="F376" s="2559"/>
      <c r="G376" s="21">
        <f t="shared" si="58"/>
        <v>0</v>
      </c>
      <c r="H376" s="631"/>
      <c r="I376" s="21">
        <f t="shared" si="59"/>
        <v>1</v>
      </c>
      <c r="J376" s="631"/>
      <c r="K376" s="21">
        <f t="shared" si="60"/>
        <v>1</v>
      </c>
      <c r="L376" s="631"/>
      <c r="M376" s="21">
        <f t="shared" si="61"/>
        <v>1</v>
      </c>
      <c r="N376" s="631"/>
      <c r="O376" s="21">
        <f t="shared" si="62"/>
        <v>1</v>
      </c>
      <c r="P376" s="631"/>
      <c r="Q376" s="21">
        <f t="shared" si="63"/>
        <v>0</v>
      </c>
      <c r="R376" s="21">
        <f t="shared" si="64"/>
        <v>0</v>
      </c>
      <c r="S376" s="307">
        <f t="shared" si="55"/>
        <v>0</v>
      </c>
      <c r="T376" s="3190">
        <f>面积表!A371</f>
        <v>0</v>
      </c>
    </row>
    <row r="377" spans="1:20">
      <c r="A377" s="3169"/>
      <c r="B377" s="52"/>
      <c r="C377" s="21">
        <f t="shared" si="56"/>
        <v>1</v>
      </c>
      <c r="D377" s="2559"/>
      <c r="E377" s="21">
        <f t="shared" si="57"/>
        <v>0.02</v>
      </c>
      <c r="F377" s="2559"/>
      <c r="G377" s="21">
        <f t="shared" si="58"/>
        <v>0</v>
      </c>
      <c r="H377" s="631"/>
      <c r="I377" s="21">
        <f t="shared" si="59"/>
        <v>1</v>
      </c>
      <c r="J377" s="631"/>
      <c r="K377" s="21">
        <f t="shared" si="60"/>
        <v>1</v>
      </c>
      <c r="L377" s="631"/>
      <c r="M377" s="21">
        <f t="shared" si="61"/>
        <v>1</v>
      </c>
      <c r="N377" s="631"/>
      <c r="O377" s="21">
        <f t="shared" si="62"/>
        <v>1</v>
      </c>
      <c r="P377" s="631"/>
      <c r="Q377" s="21">
        <f t="shared" si="63"/>
        <v>0</v>
      </c>
      <c r="R377" s="21">
        <f t="shared" si="64"/>
        <v>0</v>
      </c>
      <c r="S377" s="307">
        <f t="shared" si="55"/>
        <v>0</v>
      </c>
      <c r="T377" s="3190">
        <f>面积表!A372</f>
        <v>0</v>
      </c>
    </row>
    <row r="378" spans="1:20">
      <c r="A378" s="3169"/>
      <c r="B378" s="52"/>
      <c r="C378" s="21">
        <f t="shared" si="56"/>
        <v>1</v>
      </c>
      <c r="D378" s="2559"/>
      <c r="E378" s="21">
        <f t="shared" si="57"/>
        <v>0.02</v>
      </c>
      <c r="F378" s="2559"/>
      <c r="G378" s="21">
        <f t="shared" si="58"/>
        <v>0</v>
      </c>
      <c r="H378" s="631"/>
      <c r="I378" s="21">
        <f t="shared" si="59"/>
        <v>1</v>
      </c>
      <c r="J378" s="631"/>
      <c r="K378" s="21">
        <f t="shared" si="60"/>
        <v>1</v>
      </c>
      <c r="L378" s="631"/>
      <c r="M378" s="21">
        <f t="shared" si="61"/>
        <v>1</v>
      </c>
      <c r="N378" s="631"/>
      <c r="O378" s="21">
        <f t="shared" si="62"/>
        <v>1</v>
      </c>
      <c r="P378" s="631"/>
      <c r="Q378" s="21">
        <f t="shared" si="63"/>
        <v>0</v>
      </c>
      <c r="R378" s="21">
        <f t="shared" si="64"/>
        <v>0</v>
      </c>
      <c r="S378" s="307">
        <f t="shared" si="55"/>
        <v>0</v>
      </c>
      <c r="T378" s="3190">
        <f>面积表!A373</f>
        <v>0</v>
      </c>
    </row>
    <row r="379" spans="1:20">
      <c r="A379" s="3169"/>
      <c r="B379" s="52"/>
      <c r="C379" s="21">
        <f t="shared" si="56"/>
        <v>1</v>
      </c>
      <c r="D379" s="2559"/>
      <c r="E379" s="21">
        <f t="shared" si="57"/>
        <v>0.02</v>
      </c>
      <c r="F379" s="2559"/>
      <c r="G379" s="21">
        <f t="shared" si="58"/>
        <v>0</v>
      </c>
      <c r="H379" s="631"/>
      <c r="I379" s="21">
        <f t="shared" si="59"/>
        <v>1</v>
      </c>
      <c r="J379" s="631"/>
      <c r="K379" s="21">
        <f t="shared" si="60"/>
        <v>1</v>
      </c>
      <c r="L379" s="631"/>
      <c r="M379" s="21">
        <f t="shared" si="61"/>
        <v>1</v>
      </c>
      <c r="N379" s="631"/>
      <c r="O379" s="21">
        <f t="shared" si="62"/>
        <v>1</v>
      </c>
      <c r="P379" s="631"/>
      <c r="Q379" s="21">
        <f t="shared" si="63"/>
        <v>0</v>
      </c>
      <c r="R379" s="21">
        <f t="shared" si="64"/>
        <v>0</v>
      </c>
      <c r="S379" s="307">
        <f t="shared" si="55"/>
        <v>0</v>
      </c>
      <c r="T379" s="3190">
        <f>面积表!A374</f>
        <v>0</v>
      </c>
    </row>
    <row r="380" spans="1:20">
      <c r="A380" s="3169"/>
      <c r="B380" s="52"/>
      <c r="C380" s="21">
        <f t="shared" si="56"/>
        <v>1</v>
      </c>
      <c r="D380" s="2559"/>
      <c r="E380" s="21">
        <f t="shared" si="57"/>
        <v>0.02</v>
      </c>
      <c r="F380" s="2559"/>
      <c r="G380" s="21">
        <f t="shared" si="58"/>
        <v>0</v>
      </c>
      <c r="H380" s="631"/>
      <c r="I380" s="21">
        <f t="shared" si="59"/>
        <v>1</v>
      </c>
      <c r="J380" s="631"/>
      <c r="K380" s="21">
        <f t="shared" si="60"/>
        <v>1</v>
      </c>
      <c r="L380" s="631"/>
      <c r="M380" s="21">
        <f t="shared" si="61"/>
        <v>1</v>
      </c>
      <c r="N380" s="631"/>
      <c r="O380" s="21">
        <f t="shared" si="62"/>
        <v>1</v>
      </c>
      <c r="P380" s="631"/>
      <c r="Q380" s="21">
        <f t="shared" si="63"/>
        <v>0</v>
      </c>
      <c r="R380" s="21">
        <f t="shared" si="64"/>
        <v>0</v>
      </c>
      <c r="S380" s="307">
        <f t="shared" si="55"/>
        <v>0</v>
      </c>
      <c r="T380" s="3190">
        <f>面积表!A375</f>
        <v>0</v>
      </c>
    </row>
    <row r="381" spans="1:20">
      <c r="A381" s="3169"/>
      <c r="B381" s="52"/>
      <c r="C381" s="21">
        <f t="shared" si="56"/>
        <v>1</v>
      </c>
      <c r="D381" s="2559"/>
      <c r="E381" s="21">
        <f t="shared" si="57"/>
        <v>0.02</v>
      </c>
      <c r="F381" s="2559"/>
      <c r="G381" s="21">
        <f t="shared" si="58"/>
        <v>0</v>
      </c>
      <c r="H381" s="631"/>
      <c r="I381" s="21">
        <f t="shared" si="59"/>
        <v>1</v>
      </c>
      <c r="J381" s="631"/>
      <c r="K381" s="21">
        <f t="shared" si="60"/>
        <v>1</v>
      </c>
      <c r="L381" s="631"/>
      <c r="M381" s="21">
        <f t="shared" si="61"/>
        <v>1</v>
      </c>
      <c r="N381" s="631"/>
      <c r="O381" s="21">
        <f t="shared" si="62"/>
        <v>1</v>
      </c>
      <c r="P381" s="631"/>
      <c r="Q381" s="21">
        <f t="shared" si="63"/>
        <v>0</v>
      </c>
      <c r="R381" s="21">
        <f t="shared" si="64"/>
        <v>0</v>
      </c>
      <c r="S381" s="307">
        <f t="shared" si="55"/>
        <v>0</v>
      </c>
      <c r="T381" s="3190">
        <f>面积表!A376</f>
        <v>0</v>
      </c>
    </row>
    <row r="382" spans="1:20">
      <c r="A382" s="3169"/>
      <c r="B382" s="52"/>
      <c r="C382" s="21">
        <f t="shared" si="56"/>
        <v>1</v>
      </c>
      <c r="D382" s="2559"/>
      <c r="E382" s="21">
        <f t="shared" si="57"/>
        <v>0.02</v>
      </c>
      <c r="F382" s="2559"/>
      <c r="G382" s="21">
        <f t="shared" si="58"/>
        <v>0</v>
      </c>
      <c r="H382" s="631"/>
      <c r="I382" s="21">
        <f t="shared" si="59"/>
        <v>1</v>
      </c>
      <c r="J382" s="631"/>
      <c r="K382" s="21">
        <f t="shared" si="60"/>
        <v>1</v>
      </c>
      <c r="L382" s="631"/>
      <c r="M382" s="21">
        <f t="shared" si="61"/>
        <v>1</v>
      </c>
      <c r="N382" s="631"/>
      <c r="O382" s="21">
        <f t="shared" si="62"/>
        <v>1</v>
      </c>
      <c r="P382" s="631"/>
      <c r="Q382" s="21">
        <f t="shared" si="63"/>
        <v>0</v>
      </c>
      <c r="R382" s="21">
        <f t="shared" si="64"/>
        <v>0</v>
      </c>
      <c r="S382" s="307">
        <f t="shared" si="55"/>
        <v>0</v>
      </c>
      <c r="T382" s="3190">
        <f>面积表!A377</f>
        <v>0</v>
      </c>
    </row>
    <row r="383" spans="1:20">
      <c r="A383" s="3169"/>
      <c r="B383" s="52"/>
      <c r="C383" s="21">
        <f t="shared" si="56"/>
        <v>1</v>
      </c>
      <c r="D383" s="2559"/>
      <c r="E383" s="21">
        <f t="shared" si="57"/>
        <v>0.02</v>
      </c>
      <c r="F383" s="2559"/>
      <c r="G383" s="21">
        <f t="shared" si="58"/>
        <v>0</v>
      </c>
      <c r="H383" s="631"/>
      <c r="I383" s="21">
        <f t="shared" si="59"/>
        <v>1</v>
      </c>
      <c r="J383" s="631"/>
      <c r="K383" s="21">
        <f t="shared" si="60"/>
        <v>1</v>
      </c>
      <c r="L383" s="631"/>
      <c r="M383" s="21">
        <f t="shared" si="61"/>
        <v>1</v>
      </c>
      <c r="N383" s="631"/>
      <c r="O383" s="21">
        <f t="shared" si="62"/>
        <v>1</v>
      </c>
      <c r="P383" s="631"/>
      <c r="Q383" s="21">
        <f t="shared" si="63"/>
        <v>0</v>
      </c>
      <c r="R383" s="21">
        <f t="shared" si="64"/>
        <v>0</v>
      </c>
      <c r="S383" s="307">
        <f t="shared" si="55"/>
        <v>0</v>
      </c>
      <c r="T383" s="3190">
        <f>面积表!A378</f>
        <v>0</v>
      </c>
    </row>
    <row r="384" spans="1:20">
      <c r="A384" s="3169"/>
      <c r="B384" s="52"/>
      <c r="C384" s="21">
        <f t="shared" si="56"/>
        <v>1</v>
      </c>
      <c r="D384" s="2559"/>
      <c r="E384" s="21">
        <f t="shared" si="57"/>
        <v>0.02</v>
      </c>
      <c r="F384" s="2559"/>
      <c r="G384" s="21">
        <f t="shared" si="58"/>
        <v>0</v>
      </c>
      <c r="H384" s="631"/>
      <c r="I384" s="21">
        <f t="shared" si="59"/>
        <v>1</v>
      </c>
      <c r="J384" s="631"/>
      <c r="K384" s="21">
        <f t="shared" si="60"/>
        <v>1</v>
      </c>
      <c r="L384" s="631"/>
      <c r="M384" s="21">
        <f t="shared" si="61"/>
        <v>1</v>
      </c>
      <c r="N384" s="631"/>
      <c r="O384" s="21">
        <f t="shared" si="62"/>
        <v>1</v>
      </c>
      <c r="P384" s="631"/>
      <c r="Q384" s="21">
        <f t="shared" si="63"/>
        <v>0</v>
      </c>
      <c r="R384" s="21">
        <f t="shared" si="64"/>
        <v>0</v>
      </c>
      <c r="S384" s="307">
        <f t="shared" si="55"/>
        <v>0</v>
      </c>
      <c r="T384" s="3190">
        <f>面积表!A379</f>
        <v>0</v>
      </c>
    </row>
    <row r="385" spans="1:20">
      <c r="A385" s="3169"/>
      <c r="B385" s="52"/>
      <c r="C385" s="21">
        <f t="shared" si="56"/>
        <v>1</v>
      </c>
      <c r="D385" s="2559"/>
      <c r="E385" s="21">
        <f t="shared" si="57"/>
        <v>0.02</v>
      </c>
      <c r="F385" s="2559"/>
      <c r="G385" s="21">
        <f t="shared" si="58"/>
        <v>0</v>
      </c>
      <c r="H385" s="631"/>
      <c r="I385" s="21">
        <f t="shared" si="59"/>
        <v>1</v>
      </c>
      <c r="J385" s="631"/>
      <c r="K385" s="21">
        <f t="shared" si="60"/>
        <v>1</v>
      </c>
      <c r="L385" s="631"/>
      <c r="M385" s="21">
        <f t="shared" si="61"/>
        <v>1</v>
      </c>
      <c r="N385" s="631"/>
      <c r="O385" s="21">
        <f t="shared" si="62"/>
        <v>1</v>
      </c>
      <c r="P385" s="631"/>
      <c r="Q385" s="21">
        <f t="shared" si="63"/>
        <v>0</v>
      </c>
      <c r="R385" s="21">
        <f t="shared" si="64"/>
        <v>0</v>
      </c>
      <c r="S385" s="307">
        <f t="shared" si="55"/>
        <v>0</v>
      </c>
      <c r="T385" s="3190">
        <f>面积表!A380</f>
        <v>0</v>
      </c>
    </row>
    <row r="386" spans="1:20">
      <c r="A386" s="3169"/>
      <c r="B386" s="52"/>
      <c r="C386" s="21">
        <f t="shared" si="56"/>
        <v>1</v>
      </c>
      <c r="D386" s="2559"/>
      <c r="E386" s="21">
        <f t="shared" si="57"/>
        <v>0.02</v>
      </c>
      <c r="F386" s="2559"/>
      <c r="G386" s="21">
        <f t="shared" si="58"/>
        <v>0</v>
      </c>
      <c r="H386" s="631"/>
      <c r="I386" s="21">
        <f t="shared" si="59"/>
        <v>1</v>
      </c>
      <c r="J386" s="631"/>
      <c r="K386" s="21">
        <f t="shared" si="60"/>
        <v>1</v>
      </c>
      <c r="L386" s="631"/>
      <c r="M386" s="21">
        <f t="shared" si="61"/>
        <v>1</v>
      </c>
      <c r="N386" s="631"/>
      <c r="O386" s="21">
        <f t="shared" si="62"/>
        <v>1</v>
      </c>
      <c r="P386" s="631"/>
      <c r="Q386" s="21">
        <f t="shared" si="63"/>
        <v>0</v>
      </c>
      <c r="R386" s="21">
        <f t="shared" si="64"/>
        <v>0</v>
      </c>
      <c r="S386" s="307">
        <f t="shared" si="55"/>
        <v>0</v>
      </c>
      <c r="T386" s="3190">
        <f>面积表!A381</f>
        <v>0</v>
      </c>
    </row>
    <row r="387" spans="1:20">
      <c r="A387" s="3169"/>
      <c r="B387" s="52"/>
      <c r="C387" s="21">
        <f t="shared" si="56"/>
        <v>1</v>
      </c>
      <c r="D387" s="2559"/>
      <c r="E387" s="21">
        <f t="shared" si="57"/>
        <v>0.02</v>
      </c>
      <c r="F387" s="2559"/>
      <c r="G387" s="21">
        <f t="shared" si="58"/>
        <v>0</v>
      </c>
      <c r="H387" s="631"/>
      <c r="I387" s="21">
        <f t="shared" si="59"/>
        <v>1</v>
      </c>
      <c r="J387" s="631"/>
      <c r="K387" s="21">
        <f t="shared" si="60"/>
        <v>1</v>
      </c>
      <c r="L387" s="631"/>
      <c r="M387" s="21">
        <f t="shared" si="61"/>
        <v>1</v>
      </c>
      <c r="N387" s="631"/>
      <c r="O387" s="21">
        <f t="shared" si="62"/>
        <v>1</v>
      </c>
      <c r="P387" s="631"/>
      <c r="Q387" s="21">
        <f t="shared" si="63"/>
        <v>0</v>
      </c>
      <c r="R387" s="21">
        <f t="shared" si="64"/>
        <v>0</v>
      </c>
      <c r="S387" s="307">
        <f t="shared" si="55"/>
        <v>0</v>
      </c>
      <c r="T387" s="3190">
        <f>面积表!A382</f>
        <v>0</v>
      </c>
    </row>
    <row r="388" spans="1:20">
      <c r="A388" s="3169"/>
      <c r="B388" s="52"/>
      <c r="C388" s="21">
        <f t="shared" si="56"/>
        <v>1</v>
      </c>
      <c r="D388" s="2559"/>
      <c r="E388" s="21">
        <f t="shared" si="57"/>
        <v>0.02</v>
      </c>
      <c r="F388" s="2559"/>
      <c r="G388" s="21">
        <f t="shared" si="58"/>
        <v>0</v>
      </c>
      <c r="H388" s="631"/>
      <c r="I388" s="21">
        <f t="shared" si="59"/>
        <v>1</v>
      </c>
      <c r="J388" s="631"/>
      <c r="K388" s="21">
        <f t="shared" si="60"/>
        <v>1</v>
      </c>
      <c r="L388" s="631"/>
      <c r="M388" s="21">
        <f t="shared" si="61"/>
        <v>1</v>
      </c>
      <c r="N388" s="631"/>
      <c r="O388" s="21">
        <f t="shared" si="62"/>
        <v>1</v>
      </c>
      <c r="P388" s="631"/>
      <c r="Q388" s="21">
        <f t="shared" si="63"/>
        <v>0</v>
      </c>
      <c r="R388" s="21">
        <f t="shared" si="64"/>
        <v>0</v>
      </c>
      <c r="S388" s="307">
        <f t="shared" si="55"/>
        <v>0</v>
      </c>
      <c r="T388" s="3190">
        <f>面积表!A383</f>
        <v>0</v>
      </c>
    </row>
    <row r="389" spans="1:20">
      <c r="A389" s="3169"/>
      <c r="B389" s="52"/>
      <c r="C389" s="21">
        <f t="shared" si="56"/>
        <v>1</v>
      </c>
      <c r="D389" s="2559"/>
      <c r="E389" s="21">
        <f t="shared" si="57"/>
        <v>0.02</v>
      </c>
      <c r="F389" s="2559"/>
      <c r="G389" s="21">
        <f t="shared" si="58"/>
        <v>0</v>
      </c>
      <c r="H389" s="631"/>
      <c r="I389" s="21">
        <f t="shared" si="59"/>
        <v>1</v>
      </c>
      <c r="J389" s="631"/>
      <c r="K389" s="21">
        <f t="shared" si="60"/>
        <v>1</v>
      </c>
      <c r="L389" s="631"/>
      <c r="M389" s="21">
        <f t="shared" si="61"/>
        <v>1</v>
      </c>
      <c r="N389" s="631"/>
      <c r="O389" s="21">
        <f t="shared" si="62"/>
        <v>1</v>
      </c>
      <c r="P389" s="631"/>
      <c r="Q389" s="21">
        <f t="shared" si="63"/>
        <v>0</v>
      </c>
      <c r="R389" s="21">
        <f t="shared" si="64"/>
        <v>0</v>
      </c>
      <c r="S389" s="307">
        <f t="shared" si="55"/>
        <v>0</v>
      </c>
      <c r="T389" s="3190">
        <f>面积表!A384</f>
        <v>0</v>
      </c>
    </row>
    <row r="390" spans="1:20">
      <c r="A390" s="3169"/>
      <c r="B390" s="52"/>
      <c r="C390" s="21">
        <f t="shared" si="56"/>
        <v>1</v>
      </c>
      <c r="D390" s="2559"/>
      <c r="E390" s="21">
        <f t="shared" si="57"/>
        <v>0.02</v>
      </c>
      <c r="F390" s="2559"/>
      <c r="G390" s="21">
        <f t="shared" si="58"/>
        <v>0</v>
      </c>
      <c r="H390" s="631"/>
      <c r="I390" s="21">
        <f t="shared" si="59"/>
        <v>1</v>
      </c>
      <c r="J390" s="631"/>
      <c r="K390" s="21">
        <f t="shared" si="60"/>
        <v>1</v>
      </c>
      <c r="L390" s="631"/>
      <c r="M390" s="21">
        <f t="shared" si="61"/>
        <v>1</v>
      </c>
      <c r="N390" s="631"/>
      <c r="O390" s="21">
        <f t="shared" si="62"/>
        <v>1</v>
      </c>
      <c r="P390" s="631"/>
      <c r="Q390" s="21">
        <f t="shared" si="63"/>
        <v>0</v>
      </c>
      <c r="R390" s="21">
        <f t="shared" si="64"/>
        <v>0</v>
      </c>
      <c r="S390" s="307">
        <f t="shared" si="55"/>
        <v>0</v>
      </c>
      <c r="T390" s="3190">
        <f>面积表!A385</f>
        <v>0</v>
      </c>
    </row>
    <row r="391" spans="1:20">
      <c r="A391" s="3169"/>
      <c r="B391" s="52"/>
      <c r="C391" s="21">
        <f t="shared" si="56"/>
        <v>1</v>
      </c>
      <c r="D391" s="2559"/>
      <c r="E391" s="21">
        <f t="shared" si="57"/>
        <v>0.02</v>
      </c>
      <c r="F391" s="2559"/>
      <c r="G391" s="21">
        <f t="shared" si="58"/>
        <v>0</v>
      </c>
      <c r="H391" s="631"/>
      <c r="I391" s="21">
        <f t="shared" si="59"/>
        <v>1</v>
      </c>
      <c r="J391" s="631"/>
      <c r="K391" s="21">
        <f t="shared" si="60"/>
        <v>1</v>
      </c>
      <c r="L391" s="631"/>
      <c r="M391" s="21">
        <f t="shared" si="61"/>
        <v>1</v>
      </c>
      <c r="N391" s="631"/>
      <c r="O391" s="21">
        <f t="shared" si="62"/>
        <v>1</v>
      </c>
      <c r="P391" s="631"/>
      <c r="Q391" s="21">
        <f t="shared" si="63"/>
        <v>0</v>
      </c>
      <c r="R391" s="21">
        <f t="shared" si="64"/>
        <v>0</v>
      </c>
      <c r="S391" s="307">
        <f t="shared" si="55"/>
        <v>0</v>
      </c>
      <c r="T391" s="3190">
        <f>面积表!A386</f>
        <v>0</v>
      </c>
    </row>
    <row r="392" spans="1:20">
      <c r="A392" s="3169"/>
      <c r="B392" s="52"/>
      <c r="C392" s="21">
        <f t="shared" si="56"/>
        <v>1</v>
      </c>
      <c r="D392" s="2559"/>
      <c r="E392" s="21">
        <f t="shared" si="57"/>
        <v>0.02</v>
      </c>
      <c r="F392" s="2559"/>
      <c r="G392" s="21">
        <f t="shared" si="58"/>
        <v>0</v>
      </c>
      <c r="H392" s="631"/>
      <c r="I392" s="21">
        <f t="shared" si="59"/>
        <v>1</v>
      </c>
      <c r="J392" s="631"/>
      <c r="K392" s="21">
        <f t="shared" si="60"/>
        <v>1</v>
      </c>
      <c r="L392" s="631"/>
      <c r="M392" s="21">
        <f t="shared" si="61"/>
        <v>1</v>
      </c>
      <c r="N392" s="631"/>
      <c r="O392" s="21">
        <f t="shared" si="62"/>
        <v>1</v>
      </c>
      <c r="P392" s="631"/>
      <c r="Q392" s="21">
        <f t="shared" si="63"/>
        <v>0</v>
      </c>
      <c r="R392" s="21">
        <f t="shared" si="64"/>
        <v>0</v>
      </c>
      <c r="S392" s="307">
        <f t="shared" si="55"/>
        <v>0</v>
      </c>
      <c r="T392" s="3190">
        <f>面积表!A387</f>
        <v>0</v>
      </c>
    </row>
    <row r="393" spans="1:20">
      <c r="A393" s="3169"/>
      <c r="B393" s="52"/>
      <c r="C393" s="21">
        <f t="shared" si="56"/>
        <v>1</v>
      </c>
      <c r="D393" s="2559"/>
      <c r="E393" s="21">
        <f t="shared" si="57"/>
        <v>0.02</v>
      </c>
      <c r="F393" s="2559"/>
      <c r="G393" s="21">
        <f t="shared" si="58"/>
        <v>0</v>
      </c>
      <c r="H393" s="631"/>
      <c r="I393" s="21">
        <f t="shared" si="59"/>
        <v>1</v>
      </c>
      <c r="J393" s="631"/>
      <c r="K393" s="21">
        <f t="shared" si="60"/>
        <v>1</v>
      </c>
      <c r="L393" s="631"/>
      <c r="M393" s="21">
        <f t="shared" si="61"/>
        <v>1</v>
      </c>
      <c r="N393" s="631"/>
      <c r="O393" s="21">
        <f t="shared" si="62"/>
        <v>1</v>
      </c>
      <c r="P393" s="631"/>
      <c r="Q393" s="21">
        <f t="shared" si="63"/>
        <v>0</v>
      </c>
      <c r="R393" s="21">
        <f t="shared" si="64"/>
        <v>0</v>
      </c>
      <c r="S393" s="307">
        <f t="shared" si="55"/>
        <v>0</v>
      </c>
      <c r="T393" s="3190">
        <f>面积表!A388</f>
        <v>0</v>
      </c>
    </row>
    <row r="394" spans="1:20">
      <c r="A394" s="3169"/>
      <c r="B394" s="52"/>
      <c r="C394" s="21">
        <f t="shared" si="56"/>
        <v>1</v>
      </c>
      <c r="D394" s="2559"/>
      <c r="E394" s="21">
        <f t="shared" si="57"/>
        <v>0.02</v>
      </c>
      <c r="F394" s="2559"/>
      <c r="G394" s="21">
        <f t="shared" si="58"/>
        <v>0</v>
      </c>
      <c r="H394" s="631"/>
      <c r="I394" s="21">
        <f t="shared" si="59"/>
        <v>1</v>
      </c>
      <c r="J394" s="631"/>
      <c r="K394" s="21">
        <f t="shared" si="60"/>
        <v>1</v>
      </c>
      <c r="L394" s="631"/>
      <c r="M394" s="21">
        <f t="shared" si="61"/>
        <v>1</v>
      </c>
      <c r="N394" s="631"/>
      <c r="O394" s="21">
        <f t="shared" si="62"/>
        <v>1</v>
      </c>
      <c r="P394" s="631"/>
      <c r="Q394" s="21">
        <f t="shared" si="63"/>
        <v>0</v>
      </c>
      <c r="R394" s="21">
        <f t="shared" si="64"/>
        <v>0</v>
      </c>
      <c r="S394" s="307">
        <f t="shared" si="55"/>
        <v>0</v>
      </c>
      <c r="T394" s="3190">
        <f>面积表!A389</f>
        <v>0</v>
      </c>
    </row>
    <row r="395" spans="1:20">
      <c r="A395" s="3169"/>
      <c r="B395" s="52"/>
      <c r="C395" s="21">
        <f t="shared" si="56"/>
        <v>1</v>
      </c>
      <c r="D395" s="2559"/>
      <c r="E395" s="21">
        <f t="shared" si="57"/>
        <v>0.02</v>
      </c>
      <c r="F395" s="2559"/>
      <c r="G395" s="21">
        <f t="shared" si="58"/>
        <v>0</v>
      </c>
      <c r="H395" s="631"/>
      <c r="I395" s="21">
        <f t="shared" si="59"/>
        <v>1</v>
      </c>
      <c r="J395" s="631"/>
      <c r="K395" s="21">
        <f t="shared" si="60"/>
        <v>1</v>
      </c>
      <c r="L395" s="631"/>
      <c r="M395" s="21">
        <f t="shared" si="61"/>
        <v>1</v>
      </c>
      <c r="N395" s="631"/>
      <c r="O395" s="21">
        <f t="shared" si="62"/>
        <v>1</v>
      </c>
      <c r="P395" s="631"/>
      <c r="Q395" s="21">
        <f t="shared" si="63"/>
        <v>0</v>
      </c>
      <c r="R395" s="21">
        <f t="shared" si="64"/>
        <v>0</v>
      </c>
      <c r="S395" s="307">
        <f t="shared" si="55"/>
        <v>0</v>
      </c>
      <c r="T395" s="3190">
        <f>面积表!A390</f>
        <v>0</v>
      </c>
    </row>
    <row r="396" spans="1:20">
      <c r="A396" s="3169"/>
      <c r="B396" s="52"/>
      <c r="C396" s="21">
        <f t="shared" si="56"/>
        <v>1</v>
      </c>
      <c r="D396" s="2559"/>
      <c r="E396" s="21">
        <f t="shared" si="57"/>
        <v>0.02</v>
      </c>
      <c r="F396" s="2559"/>
      <c r="G396" s="21">
        <f t="shared" si="58"/>
        <v>0</v>
      </c>
      <c r="H396" s="631"/>
      <c r="I396" s="21">
        <f t="shared" si="59"/>
        <v>1</v>
      </c>
      <c r="J396" s="631"/>
      <c r="K396" s="21">
        <f t="shared" si="60"/>
        <v>1</v>
      </c>
      <c r="L396" s="631"/>
      <c r="M396" s="21">
        <f t="shared" si="61"/>
        <v>1</v>
      </c>
      <c r="N396" s="631"/>
      <c r="O396" s="21">
        <f t="shared" si="62"/>
        <v>1</v>
      </c>
      <c r="P396" s="631"/>
      <c r="Q396" s="21">
        <f t="shared" si="63"/>
        <v>0</v>
      </c>
      <c r="R396" s="21">
        <f t="shared" si="64"/>
        <v>0</v>
      </c>
      <c r="S396" s="307">
        <f t="shared" si="55"/>
        <v>0</v>
      </c>
      <c r="T396" s="3190">
        <f>面积表!A391</f>
        <v>0</v>
      </c>
    </row>
    <row r="397" spans="1:20">
      <c r="A397" s="3169"/>
      <c r="B397" s="52"/>
      <c r="C397" s="21">
        <f t="shared" si="56"/>
        <v>1</v>
      </c>
      <c r="D397" s="2559"/>
      <c r="E397" s="21">
        <f t="shared" si="57"/>
        <v>0.02</v>
      </c>
      <c r="F397" s="2559"/>
      <c r="G397" s="21">
        <f t="shared" si="58"/>
        <v>0</v>
      </c>
      <c r="H397" s="631"/>
      <c r="I397" s="21">
        <f t="shared" si="59"/>
        <v>1</v>
      </c>
      <c r="J397" s="631"/>
      <c r="K397" s="21">
        <f t="shared" si="60"/>
        <v>1</v>
      </c>
      <c r="L397" s="631"/>
      <c r="M397" s="21">
        <f t="shared" si="61"/>
        <v>1</v>
      </c>
      <c r="N397" s="631"/>
      <c r="O397" s="21">
        <f t="shared" si="62"/>
        <v>1</v>
      </c>
      <c r="P397" s="631"/>
      <c r="Q397" s="21">
        <f t="shared" si="63"/>
        <v>0</v>
      </c>
      <c r="R397" s="21">
        <f t="shared" si="64"/>
        <v>0</v>
      </c>
      <c r="S397" s="307">
        <f t="shared" si="55"/>
        <v>0</v>
      </c>
      <c r="T397" s="3190">
        <f>面积表!A392</f>
        <v>0</v>
      </c>
    </row>
    <row r="398" spans="1:20">
      <c r="A398" s="3169"/>
      <c r="B398" s="52"/>
      <c r="C398" s="21">
        <f t="shared" si="56"/>
        <v>1</v>
      </c>
      <c r="D398" s="2559"/>
      <c r="E398" s="21">
        <f t="shared" si="57"/>
        <v>0.02</v>
      </c>
      <c r="F398" s="2559"/>
      <c r="G398" s="21">
        <f t="shared" si="58"/>
        <v>0</v>
      </c>
      <c r="H398" s="631"/>
      <c r="I398" s="21">
        <f t="shared" si="59"/>
        <v>1</v>
      </c>
      <c r="J398" s="631"/>
      <c r="K398" s="21">
        <f t="shared" si="60"/>
        <v>1</v>
      </c>
      <c r="L398" s="631"/>
      <c r="M398" s="21">
        <f t="shared" si="61"/>
        <v>1</v>
      </c>
      <c r="N398" s="631"/>
      <c r="O398" s="21">
        <f t="shared" si="62"/>
        <v>1</v>
      </c>
      <c r="P398" s="631"/>
      <c r="Q398" s="21">
        <f t="shared" si="63"/>
        <v>0</v>
      </c>
      <c r="R398" s="21">
        <f t="shared" si="64"/>
        <v>0</v>
      </c>
      <c r="S398" s="307">
        <f t="shared" si="55"/>
        <v>0</v>
      </c>
      <c r="T398" s="3190">
        <f>面积表!A393</f>
        <v>0</v>
      </c>
    </row>
    <row r="399" spans="1:20">
      <c r="A399" s="3169"/>
      <c r="B399" s="52"/>
      <c r="C399" s="21">
        <f t="shared" si="56"/>
        <v>1</v>
      </c>
      <c r="D399" s="2559"/>
      <c r="E399" s="21">
        <f t="shared" si="57"/>
        <v>0.02</v>
      </c>
      <c r="F399" s="2559"/>
      <c r="G399" s="21">
        <f t="shared" si="58"/>
        <v>0</v>
      </c>
      <c r="H399" s="631"/>
      <c r="I399" s="21">
        <f t="shared" si="59"/>
        <v>1</v>
      </c>
      <c r="J399" s="631"/>
      <c r="K399" s="21">
        <f t="shared" si="60"/>
        <v>1</v>
      </c>
      <c r="L399" s="631"/>
      <c r="M399" s="21">
        <f t="shared" si="61"/>
        <v>1</v>
      </c>
      <c r="N399" s="631"/>
      <c r="O399" s="21">
        <f t="shared" si="62"/>
        <v>1</v>
      </c>
      <c r="P399" s="631"/>
      <c r="Q399" s="21">
        <f t="shared" si="63"/>
        <v>0</v>
      </c>
      <c r="R399" s="21">
        <f t="shared" si="64"/>
        <v>0</v>
      </c>
      <c r="S399" s="307">
        <f t="shared" si="55"/>
        <v>0</v>
      </c>
      <c r="T399" s="3190">
        <f>面积表!A394</f>
        <v>0</v>
      </c>
    </row>
    <row r="400" spans="1:20">
      <c r="A400" s="3169"/>
      <c r="B400" s="52"/>
      <c r="C400" s="21">
        <f t="shared" si="56"/>
        <v>1</v>
      </c>
      <c r="D400" s="2559"/>
      <c r="E400" s="21">
        <f t="shared" si="57"/>
        <v>0.02</v>
      </c>
      <c r="F400" s="2559"/>
      <c r="G400" s="21">
        <f t="shared" si="58"/>
        <v>0</v>
      </c>
      <c r="H400" s="631"/>
      <c r="I400" s="21">
        <f t="shared" si="59"/>
        <v>1</v>
      </c>
      <c r="J400" s="631"/>
      <c r="K400" s="21">
        <f t="shared" si="60"/>
        <v>1</v>
      </c>
      <c r="L400" s="631"/>
      <c r="M400" s="21">
        <f t="shared" si="61"/>
        <v>1</v>
      </c>
      <c r="N400" s="631"/>
      <c r="O400" s="21">
        <f t="shared" si="62"/>
        <v>1</v>
      </c>
      <c r="P400" s="631"/>
      <c r="Q400" s="21">
        <f t="shared" si="63"/>
        <v>0</v>
      </c>
      <c r="R400" s="21">
        <f t="shared" si="64"/>
        <v>0</v>
      </c>
      <c r="S400" s="307">
        <f t="shared" si="55"/>
        <v>0</v>
      </c>
      <c r="T400" s="3190">
        <f>面积表!A395</f>
        <v>0</v>
      </c>
    </row>
    <row r="401" spans="1:20">
      <c r="A401" s="3169"/>
      <c r="B401" s="52"/>
      <c r="C401" s="21">
        <f t="shared" si="56"/>
        <v>1</v>
      </c>
      <c r="D401" s="2559"/>
      <c r="E401" s="21">
        <f t="shared" si="57"/>
        <v>0.02</v>
      </c>
      <c r="F401" s="2559"/>
      <c r="G401" s="21">
        <f t="shared" si="58"/>
        <v>0</v>
      </c>
      <c r="H401" s="631"/>
      <c r="I401" s="21">
        <f t="shared" si="59"/>
        <v>1</v>
      </c>
      <c r="J401" s="631"/>
      <c r="K401" s="21">
        <f t="shared" si="60"/>
        <v>1</v>
      </c>
      <c r="L401" s="631"/>
      <c r="M401" s="21">
        <f t="shared" si="61"/>
        <v>1</v>
      </c>
      <c r="N401" s="631"/>
      <c r="O401" s="21">
        <f t="shared" si="62"/>
        <v>1</v>
      </c>
      <c r="P401" s="631"/>
      <c r="Q401" s="21">
        <f t="shared" si="63"/>
        <v>0</v>
      </c>
      <c r="R401" s="21">
        <f t="shared" si="64"/>
        <v>0</v>
      </c>
      <c r="S401" s="307">
        <f t="shared" si="55"/>
        <v>0</v>
      </c>
      <c r="T401" s="3190">
        <f>面积表!A396</f>
        <v>0</v>
      </c>
    </row>
    <row r="402" spans="1:20">
      <c r="A402" s="3169"/>
      <c r="B402" s="52"/>
      <c r="C402" s="21">
        <f t="shared" si="56"/>
        <v>1</v>
      </c>
      <c r="D402" s="2559"/>
      <c r="E402" s="21">
        <f t="shared" si="57"/>
        <v>0.02</v>
      </c>
      <c r="F402" s="2559"/>
      <c r="G402" s="21">
        <f t="shared" si="58"/>
        <v>0</v>
      </c>
      <c r="H402" s="631"/>
      <c r="I402" s="21">
        <f t="shared" si="59"/>
        <v>1</v>
      </c>
      <c r="J402" s="631"/>
      <c r="K402" s="21">
        <f t="shared" si="60"/>
        <v>1</v>
      </c>
      <c r="L402" s="631"/>
      <c r="M402" s="21">
        <f t="shared" si="61"/>
        <v>1</v>
      </c>
      <c r="N402" s="631"/>
      <c r="O402" s="21">
        <f t="shared" si="62"/>
        <v>1</v>
      </c>
      <c r="P402" s="631"/>
      <c r="Q402" s="21">
        <f t="shared" si="63"/>
        <v>0</v>
      </c>
      <c r="R402" s="21">
        <f t="shared" si="64"/>
        <v>0</v>
      </c>
      <c r="S402" s="307">
        <f t="shared" si="55"/>
        <v>0</v>
      </c>
      <c r="T402" s="3190">
        <f>面积表!A397</f>
        <v>0</v>
      </c>
    </row>
    <row r="403" spans="1:20">
      <c r="A403" s="3169"/>
      <c r="B403" s="52"/>
      <c r="C403" s="21">
        <f t="shared" si="56"/>
        <v>1</v>
      </c>
      <c r="D403" s="2559"/>
      <c r="E403" s="21">
        <f t="shared" si="57"/>
        <v>0.02</v>
      </c>
      <c r="F403" s="2559"/>
      <c r="G403" s="21">
        <f t="shared" si="58"/>
        <v>0</v>
      </c>
      <c r="H403" s="631"/>
      <c r="I403" s="21">
        <f t="shared" si="59"/>
        <v>1</v>
      </c>
      <c r="J403" s="631"/>
      <c r="K403" s="21">
        <f t="shared" si="60"/>
        <v>1</v>
      </c>
      <c r="L403" s="631"/>
      <c r="M403" s="21">
        <f t="shared" si="61"/>
        <v>1</v>
      </c>
      <c r="N403" s="631"/>
      <c r="O403" s="21">
        <f t="shared" si="62"/>
        <v>1</v>
      </c>
      <c r="P403" s="631"/>
      <c r="Q403" s="21">
        <f t="shared" si="63"/>
        <v>0</v>
      </c>
      <c r="R403" s="21">
        <f t="shared" si="64"/>
        <v>0</v>
      </c>
      <c r="S403" s="307">
        <f t="shared" si="55"/>
        <v>0</v>
      </c>
      <c r="T403" s="3190">
        <f>面积表!A398</f>
        <v>0</v>
      </c>
    </row>
    <row r="404" spans="1:20">
      <c r="A404" s="3169"/>
      <c r="B404" s="52"/>
      <c r="C404" s="21">
        <f t="shared" si="56"/>
        <v>1</v>
      </c>
      <c r="D404" s="2559"/>
      <c r="E404" s="21">
        <f t="shared" si="57"/>
        <v>0.02</v>
      </c>
      <c r="F404" s="2559"/>
      <c r="G404" s="21">
        <f t="shared" si="58"/>
        <v>0</v>
      </c>
      <c r="H404" s="631"/>
      <c r="I404" s="21">
        <f t="shared" si="59"/>
        <v>1</v>
      </c>
      <c r="J404" s="631"/>
      <c r="K404" s="21">
        <f t="shared" si="60"/>
        <v>1</v>
      </c>
      <c r="L404" s="631"/>
      <c r="M404" s="21">
        <f t="shared" si="61"/>
        <v>1</v>
      </c>
      <c r="N404" s="631"/>
      <c r="O404" s="21">
        <f t="shared" si="62"/>
        <v>1</v>
      </c>
      <c r="P404" s="631"/>
      <c r="Q404" s="21">
        <f t="shared" si="63"/>
        <v>0</v>
      </c>
      <c r="R404" s="21">
        <f t="shared" si="64"/>
        <v>0</v>
      </c>
      <c r="S404" s="307">
        <f t="shared" si="55"/>
        <v>0</v>
      </c>
      <c r="T404" s="3190">
        <f>面积表!A399</f>
        <v>0</v>
      </c>
    </row>
    <row r="405" spans="1:20">
      <c r="A405" s="3169"/>
      <c r="B405" s="52"/>
      <c r="C405" s="21">
        <f t="shared" si="56"/>
        <v>1</v>
      </c>
      <c r="D405" s="2559"/>
      <c r="E405" s="21">
        <f t="shared" si="57"/>
        <v>0.02</v>
      </c>
      <c r="F405" s="2559"/>
      <c r="G405" s="21">
        <f t="shared" si="58"/>
        <v>0</v>
      </c>
      <c r="H405" s="631"/>
      <c r="I405" s="21">
        <f t="shared" si="59"/>
        <v>1</v>
      </c>
      <c r="J405" s="631"/>
      <c r="K405" s="21">
        <f t="shared" si="60"/>
        <v>1</v>
      </c>
      <c r="L405" s="631"/>
      <c r="M405" s="21">
        <f t="shared" si="61"/>
        <v>1</v>
      </c>
      <c r="N405" s="631"/>
      <c r="O405" s="21">
        <f t="shared" si="62"/>
        <v>1</v>
      </c>
      <c r="P405" s="631"/>
      <c r="Q405" s="21">
        <f t="shared" si="63"/>
        <v>0</v>
      </c>
      <c r="R405" s="21">
        <f t="shared" si="64"/>
        <v>0</v>
      </c>
      <c r="S405" s="307">
        <f t="shared" si="55"/>
        <v>0</v>
      </c>
      <c r="T405" s="3190">
        <f>面积表!A400</f>
        <v>0</v>
      </c>
    </row>
    <row r="406" spans="1:20">
      <c r="A406" s="3169"/>
      <c r="B406" s="52"/>
      <c r="C406" s="21">
        <f t="shared" si="56"/>
        <v>1</v>
      </c>
      <c r="D406" s="2559"/>
      <c r="E406" s="21">
        <f t="shared" si="57"/>
        <v>0.02</v>
      </c>
      <c r="F406" s="2559"/>
      <c r="G406" s="21">
        <f t="shared" si="58"/>
        <v>0</v>
      </c>
      <c r="H406" s="631"/>
      <c r="I406" s="21">
        <f t="shared" si="59"/>
        <v>1</v>
      </c>
      <c r="J406" s="631"/>
      <c r="K406" s="21">
        <f t="shared" si="60"/>
        <v>1</v>
      </c>
      <c r="L406" s="631"/>
      <c r="M406" s="21">
        <f t="shared" si="61"/>
        <v>1</v>
      </c>
      <c r="N406" s="631"/>
      <c r="O406" s="21">
        <f t="shared" si="62"/>
        <v>1</v>
      </c>
      <c r="P406" s="631"/>
      <c r="Q406" s="21">
        <f t="shared" si="63"/>
        <v>0</v>
      </c>
      <c r="R406" s="21">
        <f t="shared" si="64"/>
        <v>0</v>
      </c>
      <c r="S406" s="307">
        <f t="shared" si="55"/>
        <v>0</v>
      </c>
      <c r="T406" s="3190">
        <f>面积表!A401</f>
        <v>0</v>
      </c>
    </row>
    <row r="407" spans="1:20">
      <c r="A407" s="3169"/>
      <c r="B407" s="52"/>
      <c r="C407" s="21">
        <f t="shared" si="56"/>
        <v>1</v>
      </c>
      <c r="D407" s="2559"/>
      <c r="E407" s="21">
        <f t="shared" si="57"/>
        <v>0.02</v>
      </c>
      <c r="F407" s="2559"/>
      <c r="G407" s="21">
        <f t="shared" si="58"/>
        <v>0</v>
      </c>
      <c r="H407" s="631"/>
      <c r="I407" s="21">
        <f t="shared" si="59"/>
        <v>1</v>
      </c>
      <c r="J407" s="631"/>
      <c r="K407" s="21">
        <f t="shared" si="60"/>
        <v>1</v>
      </c>
      <c r="L407" s="631"/>
      <c r="M407" s="21">
        <f t="shared" si="61"/>
        <v>1</v>
      </c>
      <c r="N407" s="631"/>
      <c r="O407" s="21">
        <f t="shared" si="62"/>
        <v>1</v>
      </c>
      <c r="P407" s="631"/>
      <c r="Q407" s="21">
        <f t="shared" si="63"/>
        <v>0</v>
      </c>
      <c r="R407" s="21">
        <f t="shared" si="64"/>
        <v>0</v>
      </c>
      <c r="S407" s="307">
        <f t="shared" si="55"/>
        <v>0</v>
      </c>
      <c r="T407" s="3190">
        <f>面积表!A402</f>
        <v>0</v>
      </c>
    </row>
    <row r="408" spans="1:20">
      <c r="A408" s="3169"/>
      <c r="B408" s="52"/>
      <c r="C408" s="21">
        <f t="shared" si="56"/>
        <v>1</v>
      </c>
      <c r="D408" s="2559"/>
      <c r="E408" s="21">
        <f t="shared" si="57"/>
        <v>0.02</v>
      </c>
      <c r="F408" s="2559"/>
      <c r="G408" s="21">
        <f t="shared" si="58"/>
        <v>0</v>
      </c>
      <c r="H408" s="631"/>
      <c r="I408" s="21">
        <f t="shared" si="59"/>
        <v>1</v>
      </c>
      <c r="J408" s="631"/>
      <c r="K408" s="21">
        <f t="shared" si="60"/>
        <v>1</v>
      </c>
      <c r="L408" s="631"/>
      <c r="M408" s="21">
        <f t="shared" si="61"/>
        <v>1</v>
      </c>
      <c r="N408" s="631"/>
      <c r="O408" s="21">
        <f t="shared" si="62"/>
        <v>1</v>
      </c>
      <c r="P408" s="631"/>
      <c r="Q408" s="21">
        <f t="shared" si="63"/>
        <v>0</v>
      </c>
      <c r="R408" s="21">
        <f t="shared" si="64"/>
        <v>0</v>
      </c>
      <c r="S408" s="307">
        <f t="shared" ref="S408:S471" si="65">ROUND(R408*B408/10000,0)</f>
        <v>0</v>
      </c>
      <c r="T408" s="3190">
        <f>面积表!A403</f>
        <v>0</v>
      </c>
    </row>
    <row r="409" spans="1:20">
      <c r="A409" s="3169"/>
      <c r="B409" s="52"/>
      <c r="C409" s="21">
        <f t="shared" si="56"/>
        <v>1</v>
      </c>
      <c r="D409" s="2559"/>
      <c r="E409" s="21">
        <f t="shared" si="57"/>
        <v>0.02</v>
      </c>
      <c r="F409" s="2559"/>
      <c r="G409" s="21">
        <f t="shared" si="58"/>
        <v>0</v>
      </c>
      <c r="H409" s="631"/>
      <c r="I409" s="21">
        <f t="shared" si="59"/>
        <v>1</v>
      </c>
      <c r="J409" s="631"/>
      <c r="K409" s="21">
        <f t="shared" si="60"/>
        <v>1</v>
      </c>
      <c r="L409" s="631"/>
      <c r="M409" s="21">
        <f t="shared" si="61"/>
        <v>1</v>
      </c>
      <c r="N409" s="631"/>
      <c r="O409" s="21">
        <f t="shared" si="62"/>
        <v>1</v>
      </c>
      <c r="P409" s="631"/>
      <c r="Q409" s="21">
        <f t="shared" si="63"/>
        <v>0</v>
      </c>
      <c r="R409" s="21">
        <f t="shared" si="64"/>
        <v>0</v>
      </c>
      <c r="S409" s="307">
        <f t="shared" si="65"/>
        <v>0</v>
      </c>
      <c r="T409" s="3190">
        <f>面积表!A404</f>
        <v>0</v>
      </c>
    </row>
    <row r="410" spans="1:20">
      <c r="A410" s="3169"/>
      <c r="B410" s="52"/>
      <c r="C410" s="21">
        <f t="shared" ref="C410:C473" si="66">IF(B410="",1,(LOOKUP(B410,$3:$3,$4:$4)-LOOKUP($B$24,$3:$3,$4:$4)+100)/100)</f>
        <v>1</v>
      </c>
      <c r="D410" s="2559"/>
      <c r="E410" s="21">
        <f t="shared" ref="E410:E473" si="67">(SUMIF($5:$5,D410,$6:$6)-SUMIF($5:$5,$D$24,$6:$6)+100)/100</f>
        <v>0.02</v>
      </c>
      <c r="F410" s="2559"/>
      <c r="G410" s="21">
        <f t="shared" ref="G410:G473" si="68">(SUMIF($7:$7,F410,$8:$8)-SUMIF($7:$7,$F$24,$8:$8)+100)/100</f>
        <v>0</v>
      </c>
      <c r="H410" s="631"/>
      <c r="I410" s="21">
        <f t="shared" ref="I410:I473" si="69">(SUMIF($9:$9,H410,$10:$10)-SUMIF($9:$9,$H$24,$10:$10)+100)/100</f>
        <v>1</v>
      </c>
      <c r="J410" s="631"/>
      <c r="K410" s="21">
        <f t="shared" ref="K410:K473" si="70">(SUMIF($11:$11,J410,$12:$12)-SUMIF($11:$11,$J$24,$12:$12)+100)/100</f>
        <v>1</v>
      </c>
      <c r="L410" s="631"/>
      <c r="M410" s="21">
        <f t="shared" ref="M410:M473" si="71">(SUMIF($13:$13,L410,$14:$14)-SUMIF($13:$13,$L$24,$14:$14)+100)/100</f>
        <v>1</v>
      </c>
      <c r="N410" s="631"/>
      <c r="O410" s="21">
        <f t="shared" ref="O410:O473" si="72">(SUMIF($15:$15,N410,$16:$16)-SUMIF($15:$15,$N$24,$16:$16)+100)/100</f>
        <v>1</v>
      </c>
      <c r="P410" s="631"/>
      <c r="Q410" s="21">
        <f t="shared" ref="Q410:Q473" si="73">(SUMIF($17:$17,P410,$18:$18)-SUMIF($17:$17,$P$24,$18:$18)+100)/100</f>
        <v>0</v>
      </c>
      <c r="R410" s="21">
        <f t="shared" ref="R410:R473" si="74">IF(B410="",0,ROUND($R$24*C410*E410*G410*I410*K410*M410*O410*Q410,0))</f>
        <v>0</v>
      </c>
      <c r="S410" s="307">
        <f t="shared" si="65"/>
        <v>0</v>
      </c>
      <c r="T410" s="3190">
        <f>面积表!A405</f>
        <v>0</v>
      </c>
    </row>
    <row r="411" spans="1:20">
      <c r="A411" s="3169"/>
      <c r="B411" s="52"/>
      <c r="C411" s="21">
        <f t="shared" si="66"/>
        <v>1</v>
      </c>
      <c r="D411" s="2559"/>
      <c r="E411" s="21">
        <f t="shared" si="67"/>
        <v>0.02</v>
      </c>
      <c r="F411" s="2559"/>
      <c r="G411" s="21">
        <f t="shared" si="68"/>
        <v>0</v>
      </c>
      <c r="H411" s="631"/>
      <c r="I411" s="21">
        <f t="shared" si="69"/>
        <v>1</v>
      </c>
      <c r="J411" s="631"/>
      <c r="K411" s="21">
        <f t="shared" si="70"/>
        <v>1</v>
      </c>
      <c r="L411" s="631"/>
      <c r="M411" s="21">
        <f t="shared" si="71"/>
        <v>1</v>
      </c>
      <c r="N411" s="631"/>
      <c r="O411" s="21">
        <f t="shared" si="72"/>
        <v>1</v>
      </c>
      <c r="P411" s="631"/>
      <c r="Q411" s="21">
        <f t="shared" si="73"/>
        <v>0</v>
      </c>
      <c r="R411" s="21">
        <f t="shared" si="74"/>
        <v>0</v>
      </c>
      <c r="S411" s="307">
        <f t="shared" si="65"/>
        <v>0</v>
      </c>
      <c r="T411" s="3190">
        <f>面积表!A406</f>
        <v>0</v>
      </c>
    </row>
    <row r="412" spans="1:20">
      <c r="A412" s="3169"/>
      <c r="B412" s="52"/>
      <c r="C412" s="21">
        <f t="shared" si="66"/>
        <v>1</v>
      </c>
      <c r="D412" s="2559"/>
      <c r="E412" s="21">
        <f t="shared" si="67"/>
        <v>0.02</v>
      </c>
      <c r="F412" s="2559"/>
      <c r="G412" s="21">
        <f t="shared" si="68"/>
        <v>0</v>
      </c>
      <c r="H412" s="631"/>
      <c r="I412" s="21">
        <f t="shared" si="69"/>
        <v>1</v>
      </c>
      <c r="J412" s="631"/>
      <c r="K412" s="21">
        <f t="shared" si="70"/>
        <v>1</v>
      </c>
      <c r="L412" s="631"/>
      <c r="M412" s="21">
        <f t="shared" si="71"/>
        <v>1</v>
      </c>
      <c r="N412" s="631"/>
      <c r="O412" s="21">
        <f t="shared" si="72"/>
        <v>1</v>
      </c>
      <c r="P412" s="631"/>
      <c r="Q412" s="21">
        <f t="shared" si="73"/>
        <v>0</v>
      </c>
      <c r="R412" s="21">
        <f t="shared" si="74"/>
        <v>0</v>
      </c>
      <c r="S412" s="307">
        <f t="shared" si="65"/>
        <v>0</v>
      </c>
      <c r="T412" s="3190">
        <f>面积表!A407</f>
        <v>0</v>
      </c>
    </row>
    <row r="413" spans="1:20">
      <c r="A413" s="3169"/>
      <c r="B413" s="52"/>
      <c r="C413" s="21">
        <f t="shared" si="66"/>
        <v>1</v>
      </c>
      <c r="D413" s="2559"/>
      <c r="E413" s="21">
        <f t="shared" si="67"/>
        <v>0.02</v>
      </c>
      <c r="F413" s="2559"/>
      <c r="G413" s="21">
        <f t="shared" si="68"/>
        <v>0</v>
      </c>
      <c r="H413" s="631"/>
      <c r="I413" s="21">
        <f t="shared" si="69"/>
        <v>1</v>
      </c>
      <c r="J413" s="631"/>
      <c r="K413" s="21">
        <f t="shared" si="70"/>
        <v>1</v>
      </c>
      <c r="L413" s="631"/>
      <c r="M413" s="21">
        <f t="shared" si="71"/>
        <v>1</v>
      </c>
      <c r="N413" s="631"/>
      <c r="O413" s="21">
        <f t="shared" si="72"/>
        <v>1</v>
      </c>
      <c r="P413" s="631"/>
      <c r="Q413" s="21">
        <f t="shared" si="73"/>
        <v>0</v>
      </c>
      <c r="R413" s="21">
        <f t="shared" si="74"/>
        <v>0</v>
      </c>
      <c r="S413" s="307">
        <f t="shared" si="65"/>
        <v>0</v>
      </c>
      <c r="T413" s="3190">
        <f>面积表!A408</f>
        <v>0</v>
      </c>
    </row>
    <row r="414" spans="1:20">
      <c r="A414" s="3169"/>
      <c r="B414" s="52"/>
      <c r="C414" s="21">
        <f t="shared" si="66"/>
        <v>1</v>
      </c>
      <c r="D414" s="2559"/>
      <c r="E414" s="21">
        <f t="shared" si="67"/>
        <v>0.02</v>
      </c>
      <c r="F414" s="2559"/>
      <c r="G414" s="21">
        <f t="shared" si="68"/>
        <v>0</v>
      </c>
      <c r="H414" s="631"/>
      <c r="I414" s="21">
        <f t="shared" si="69"/>
        <v>1</v>
      </c>
      <c r="J414" s="631"/>
      <c r="K414" s="21">
        <f t="shared" si="70"/>
        <v>1</v>
      </c>
      <c r="L414" s="631"/>
      <c r="M414" s="21">
        <f t="shared" si="71"/>
        <v>1</v>
      </c>
      <c r="N414" s="631"/>
      <c r="O414" s="21">
        <f t="shared" si="72"/>
        <v>1</v>
      </c>
      <c r="P414" s="631"/>
      <c r="Q414" s="21">
        <f t="shared" si="73"/>
        <v>0</v>
      </c>
      <c r="R414" s="21">
        <f t="shared" si="74"/>
        <v>0</v>
      </c>
      <c r="S414" s="307">
        <f t="shared" si="65"/>
        <v>0</v>
      </c>
      <c r="T414" s="3190">
        <f>面积表!A409</f>
        <v>0</v>
      </c>
    </row>
    <row r="415" spans="1:20">
      <c r="A415" s="3169"/>
      <c r="B415" s="52"/>
      <c r="C415" s="21">
        <f t="shared" si="66"/>
        <v>1</v>
      </c>
      <c r="D415" s="2559"/>
      <c r="E415" s="21">
        <f t="shared" si="67"/>
        <v>0.02</v>
      </c>
      <c r="F415" s="2559"/>
      <c r="G415" s="21">
        <f t="shared" si="68"/>
        <v>0</v>
      </c>
      <c r="H415" s="631"/>
      <c r="I415" s="21">
        <f t="shared" si="69"/>
        <v>1</v>
      </c>
      <c r="J415" s="631"/>
      <c r="K415" s="21">
        <f t="shared" si="70"/>
        <v>1</v>
      </c>
      <c r="L415" s="631"/>
      <c r="M415" s="21">
        <f t="shared" si="71"/>
        <v>1</v>
      </c>
      <c r="N415" s="631"/>
      <c r="O415" s="21">
        <f t="shared" si="72"/>
        <v>1</v>
      </c>
      <c r="P415" s="631"/>
      <c r="Q415" s="21">
        <f t="shared" si="73"/>
        <v>0</v>
      </c>
      <c r="R415" s="21">
        <f t="shared" si="74"/>
        <v>0</v>
      </c>
      <c r="S415" s="307">
        <f t="shared" si="65"/>
        <v>0</v>
      </c>
      <c r="T415" s="3190">
        <f>面积表!A410</f>
        <v>0</v>
      </c>
    </row>
    <row r="416" spans="1:20">
      <c r="A416" s="3169"/>
      <c r="B416" s="52"/>
      <c r="C416" s="21">
        <f t="shared" si="66"/>
        <v>1</v>
      </c>
      <c r="D416" s="2559"/>
      <c r="E416" s="21">
        <f t="shared" si="67"/>
        <v>0.02</v>
      </c>
      <c r="F416" s="2559"/>
      <c r="G416" s="21">
        <f t="shared" si="68"/>
        <v>0</v>
      </c>
      <c r="H416" s="631"/>
      <c r="I416" s="21">
        <f t="shared" si="69"/>
        <v>1</v>
      </c>
      <c r="J416" s="631"/>
      <c r="K416" s="21">
        <f t="shared" si="70"/>
        <v>1</v>
      </c>
      <c r="L416" s="631"/>
      <c r="M416" s="21">
        <f t="shared" si="71"/>
        <v>1</v>
      </c>
      <c r="N416" s="631"/>
      <c r="O416" s="21">
        <f t="shared" si="72"/>
        <v>1</v>
      </c>
      <c r="P416" s="631"/>
      <c r="Q416" s="21">
        <f t="shared" si="73"/>
        <v>0</v>
      </c>
      <c r="R416" s="21">
        <f t="shared" si="74"/>
        <v>0</v>
      </c>
      <c r="S416" s="307">
        <f t="shared" si="65"/>
        <v>0</v>
      </c>
      <c r="T416" s="3190">
        <f>面积表!A411</f>
        <v>0</v>
      </c>
    </row>
    <row r="417" spans="1:20">
      <c r="A417" s="3169"/>
      <c r="B417" s="52"/>
      <c r="C417" s="21">
        <f t="shared" si="66"/>
        <v>1</v>
      </c>
      <c r="D417" s="2559"/>
      <c r="E417" s="21">
        <f t="shared" si="67"/>
        <v>0.02</v>
      </c>
      <c r="F417" s="2559"/>
      <c r="G417" s="21">
        <f t="shared" si="68"/>
        <v>0</v>
      </c>
      <c r="H417" s="631"/>
      <c r="I417" s="21">
        <f t="shared" si="69"/>
        <v>1</v>
      </c>
      <c r="J417" s="631"/>
      <c r="K417" s="21">
        <f t="shared" si="70"/>
        <v>1</v>
      </c>
      <c r="L417" s="631"/>
      <c r="M417" s="21">
        <f t="shared" si="71"/>
        <v>1</v>
      </c>
      <c r="N417" s="631"/>
      <c r="O417" s="21">
        <f t="shared" si="72"/>
        <v>1</v>
      </c>
      <c r="P417" s="631"/>
      <c r="Q417" s="21">
        <f t="shared" si="73"/>
        <v>0</v>
      </c>
      <c r="R417" s="21">
        <f t="shared" si="74"/>
        <v>0</v>
      </c>
      <c r="S417" s="307">
        <f t="shared" si="65"/>
        <v>0</v>
      </c>
      <c r="T417" s="3190">
        <f>面积表!A412</f>
        <v>0</v>
      </c>
    </row>
    <row r="418" spans="1:20">
      <c r="A418" s="3169"/>
      <c r="B418" s="52"/>
      <c r="C418" s="21">
        <f t="shared" si="66"/>
        <v>1</v>
      </c>
      <c r="D418" s="2559"/>
      <c r="E418" s="21">
        <f t="shared" si="67"/>
        <v>0.02</v>
      </c>
      <c r="F418" s="2559"/>
      <c r="G418" s="21">
        <f t="shared" si="68"/>
        <v>0</v>
      </c>
      <c r="H418" s="631"/>
      <c r="I418" s="21">
        <f t="shared" si="69"/>
        <v>1</v>
      </c>
      <c r="J418" s="631"/>
      <c r="K418" s="21">
        <f t="shared" si="70"/>
        <v>1</v>
      </c>
      <c r="L418" s="631"/>
      <c r="M418" s="21">
        <f t="shared" si="71"/>
        <v>1</v>
      </c>
      <c r="N418" s="631"/>
      <c r="O418" s="21">
        <f t="shared" si="72"/>
        <v>1</v>
      </c>
      <c r="P418" s="631"/>
      <c r="Q418" s="21">
        <f t="shared" si="73"/>
        <v>0</v>
      </c>
      <c r="R418" s="21">
        <f t="shared" si="74"/>
        <v>0</v>
      </c>
      <c r="S418" s="307">
        <f t="shared" si="65"/>
        <v>0</v>
      </c>
      <c r="T418" s="3190">
        <f>面积表!A413</f>
        <v>0</v>
      </c>
    </row>
    <row r="419" spans="1:20">
      <c r="A419" s="3169"/>
      <c r="B419" s="52"/>
      <c r="C419" s="21">
        <f t="shared" si="66"/>
        <v>1</v>
      </c>
      <c r="D419" s="2559"/>
      <c r="E419" s="21">
        <f t="shared" si="67"/>
        <v>0.02</v>
      </c>
      <c r="F419" s="2559"/>
      <c r="G419" s="21">
        <f t="shared" si="68"/>
        <v>0</v>
      </c>
      <c r="H419" s="631"/>
      <c r="I419" s="21">
        <f t="shared" si="69"/>
        <v>1</v>
      </c>
      <c r="J419" s="631"/>
      <c r="K419" s="21">
        <f t="shared" si="70"/>
        <v>1</v>
      </c>
      <c r="L419" s="631"/>
      <c r="M419" s="21">
        <f t="shared" si="71"/>
        <v>1</v>
      </c>
      <c r="N419" s="631"/>
      <c r="O419" s="21">
        <f t="shared" si="72"/>
        <v>1</v>
      </c>
      <c r="P419" s="631"/>
      <c r="Q419" s="21">
        <f t="shared" si="73"/>
        <v>0</v>
      </c>
      <c r="R419" s="21">
        <f t="shared" si="74"/>
        <v>0</v>
      </c>
      <c r="S419" s="307">
        <f t="shared" si="65"/>
        <v>0</v>
      </c>
      <c r="T419" s="3190">
        <f>面积表!A414</f>
        <v>0</v>
      </c>
    </row>
    <row r="420" spans="1:20">
      <c r="A420" s="3169"/>
      <c r="B420" s="52"/>
      <c r="C420" s="21">
        <f t="shared" si="66"/>
        <v>1</v>
      </c>
      <c r="D420" s="2559"/>
      <c r="E420" s="21">
        <f t="shared" si="67"/>
        <v>0.02</v>
      </c>
      <c r="F420" s="2559"/>
      <c r="G420" s="21">
        <f t="shared" si="68"/>
        <v>0</v>
      </c>
      <c r="H420" s="631"/>
      <c r="I420" s="21">
        <f t="shared" si="69"/>
        <v>1</v>
      </c>
      <c r="J420" s="631"/>
      <c r="K420" s="21">
        <f t="shared" si="70"/>
        <v>1</v>
      </c>
      <c r="L420" s="631"/>
      <c r="M420" s="21">
        <f t="shared" si="71"/>
        <v>1</v>
      </c>
      <c r="N420" s="631"/>
      <c r="O420" s="21">
        <f t="shared" si="72"/>
        <v>1</v>
      </c>
      <c r="P420" s="631"/>
      <c r="Q420" s="21">
        <f t="shared" si="73"/>
        <v>0</v>
      </c>
      <c r="R420" s="21">
        <f t="shared" si="74"/>
        <v>0</v>
      </c>
      <c r="S420" s="307">
        <f t="shared" si="65"/>
        <v>0</v>
      </c>
      <c r="T420" s="3190">
        <f>面积表!A415</f>
        <v>0</v>
      </c>
    </row>
    <row r="421" spans="1:20">
      <c r="A421" s="3169"/>
      <c r="B421" s="52"/>
      <c r="C421" s="21">
        <f t="shared" si="66"/>
        <v>1</v>
      </c>
      <c r="D421" s="2559"/>
      <c r="E421" s="21">
        <f t="shared" si="67"/>
        <v>0.02</v>
      </c>
      <c r="F421" s="2559"/>
      <c r="G421" s="21">
        <f t="shared" si="68"/>
        <v>0</v>
      </c>
      <c r="H421" s="631"/>
      <c r="I421" s="21">
        <f t="shared" si="69"/>
        <v>1</v>
      </c>
      <c r="J421" s="631"/>
      <c r="K421" s="21">
        <f t="shared" si="70"/>
        <v>1</v>
      </c>
      <c r="L421" s="631"/>
      <c r="M421" s="21">
        <f t="shared" si="71"/>
        <v>1</v>
      </c>
      <c r="N421" s="631"/>
      <c r="O421" s="21">
        <f t="shared" si="72"/>
        <v>1</v>
      </c>
      <c r="P421" s="631"/>
      <c r="Q421" s="21">
        <f t="shared" si="73"/>
        <v>0</v>
      </c>
      <c r="R421" s="21">
        <f t="shared" si="74"/>
        <v>0</v>
      </c>
      <c r="S421" s="307">
        <f t="shared" si="65"/>
        <v>0</v>
      </c>
      <c r="T421" s="3190">
        <f>面积表!A416</f>
        <v>0</v>
      </c>
    </row>
    <row r="422" spans="1:20">
      <c r="A422" s="3169"/>
      <c r="B422" s="52"/>
      <c r="C422" s="21">
        <f t="shared" si="66"/>
        <v>1</v>
      </c>
      <c r="D422" s="2559"/>
      <c r="E422" s="21">
        <f t="shared" si="67"/>
        <v>0.02</v>
      </c>
      <c r="F422" s="2559"/>
      <c r="G422" s="21">
        <f t="shared" si="68"/>
        <v>0</v>
      </c>
      <c r="H422" s="631"/>
      <c r="I422" s="21">
        <f t="shared" si="69"/>
        <v>1</v>
      </c>
      <c r="J422" s="631"/>
      <c r="K422" s="21">
        <f t="shared" si="70"/>
        <v>1</v>
      </c>
      <c r="L422" s="631"/>
      <c r="M422" s="21">
        <f t="shared" si="71"/>
        <v>1</v>
      </c>
      <c r="N422" s="631"/>
      <c r="O422" s="21">
        <f t="shared" si="72"/>
        <v>1</v>
      </c>
      <c r="P422" s="631"/>
      <c r="Q422" s="21">
        <f t="shared" si="73"/>
        <v>0</v>
      </c>
      <c r="R422" s="21">
        <f t="shared" si="74"/>
        <v>0</v>
      </c>
      <c r="S422" s="307">
        <f t="shared" si="65"/>
        <v>0</v>
      </c>
      <c r="T422" s="3190">
        <f>面积表!A417</f>
        <v>0</v>
      </c>
    </row>
    <row r="423" spans="1:20">
      <c r="A423" s="3169"/>
      <c r="B423" s="52"/>
      <c r="C423" s="21">
        <f t="shared" si="66"/>
        <v>1</v>
      </c>
      <c r="D423" s="2559"/>
      <c r="E423" s="21">
        <f t="shared" si="67"/>
        <v>0.02</v>
      </c>
      <c r="F423" s="2559"/>
      <c r="G423" s="21">
        <f t="shared" si="68"/>
        <v>0</v>
      </c>
      <c r="H423" s="631"/>
      <c r="I423" s="21">
        <f t="shared" si="69"/>
        <v>1</v>
      </c>
      <c r="J423" s="631"/>
      <c r="K423" s="21">
        <f t="shared" si="70"/>
        <v>1</v>
      </c>
      <c r="L423" s="631"/>
      <c r="M423" s="21">
        <f t="shared" si="71"/>
        <v>1</v>
      </c>
      <c r="N423" s="631"/>
      <c r="O423" s="21">
        <f t="shared" si="72"/>
        <v>1</v>
      </c>
      <c r="P423" s="631"/>
      <c r="Q423" s="21">
        <f t="shared" si="73"/>
        <v>0</v>
      </c>
      <c r="R423" s="21">
        <f t="shared" si="74"/>
        <v>0</v>
      </c>
      <c r="S423" s="307">
        <f t="shared" si="65"/>
        <v>0</v>
      </c>
      <c r="T423" s="3190">
        <f>面积表!A418</f>
        <v>0</v>
      </c>
    </row>
    <row r="424" spans="1:20">
      <c r="A424" s="3169"/>
      <c r="B424" s="52"/>
      <c r="C424" s="21">
        <f t="shared" si="66"/>
        <v>1</v>
      </c>
      <c r="D424" s="2559"/>
      <c r="E424" s="21">
        <f t="shared" si="67"/>
        <v>0.02</v>
      </c>
      <c r="F424" s="2559"/>
      <c r="G424" s="21">
        <f t="shared" si="68"/>
        <v>0</v>
      </c>
      <c r="H424" s="631"/>
      <c r="I424" s="21">
        <f t="shared" si="69"/>
        <v>1</v>
      </c>
      <c r="J424" s="631"/>
      <c r="K424" s="21">
        <f t="shared" si="70"/>
        <v>1</v>
      </c>
      <c r="L424" s="631"/>
      <c r="M424" s="21">
        <f t="shared" si="71"/>
        <v>1</v>
      </c>
      <c r="N424" s="631"/>
      <c r="O424" s="21">
        <f t="shared" si="72"/>
        <v>1</v>
      </c>
      <c r="P424" s="631"/>
      <c r="Q424" s="21">
        <f t="shared" si="73"/>
        <v>0</v>
      </c>
      <c r="R424" s="21">
        <f t="shared" si="74"/>
        <v>0</v>
      </c>
      <c r="S424" s="307">
        <f t="shared" si="65"/>
        <v>0</v>
      </c>
      <c r="T424" s="3190">
        <f>面积表!A419</f>
        <v>0</v>
      </c>
    </row>
    <row r="425" spans="1:20">
      <c r="A425" s="3173"/>
      <c r="B425" s="3174"/>
      <c r="C425" s="21">
        <f t="shared" si="66"/>
        <v>1</v>
      </c>
      <c r="D425" s="2559"/>
      <c r="E425" s="21">
        <f t="shared" si="67"/>
        <v>0.02</v>
      </c>
      <c r="F425" s="631"/>
      <c r="G425" s="21">
        <f t="shared" si="68"/>
        <v>0</v>
      </c>
      <c r="H425" s="631"/>
      <c r="I425" s="21">
        <f t="shared" si="69"/>
        <v>1</v>
      </c>
      <c r="J425" s="631"/>
      <c r="K425" s="21">
        <f t="shared" si="70"/>
        <v>1</v>
      </c>
      <c r="L425" s="631"/>
      <c r="M425" s="21">
        <f t="shared" si="71"/>
        <v>1</v>
      </c>
      <c r="N425" s="631"/>
      <c r="O425" s="21">
        <f t="shared" si="72"/>
        <v>1</v>
      </c>
      <c r="P425" s="631"/>
      <c r="Q425" s="21">
        <f t="shared" si="73"/>
        <v>0</v>
      </c>
      <c r="R425" s="21">
        <f t="shared" si="74"/>
        <v>0</v>
      </c>
      <c r="S425" s="307">
        <f t="shared" si="65"/>
        <v>0</v>
      </c>
      <c r="T425" s="3191" t="str">
        <f>面积表!A420</f>
        <v>1号楼</v>
      </c>
    </row>
    <row r="426" spans="1:20">
      <c r="A426" s="3169"/>
      <c r="B426" s="52"/>
      <c r="C426" s="21">
        <f t="shared" si="66"/>
        <v>1</v>
      </c>
      <c r="D426" s="2559"/>
      <c r="E426" s="21">
        <f t="shared" si="67"/>
        <v>0.02</v>
      </c>
      <c r="F426" s="631"/>
      <c r="G426" s="21">
        <f t="shared" si="68"/>
        <v>0</v>
      </c>
      <c r="H426" s="631"/>
      <c r="I426" s="21">
        <f t="shared" si="69"/>
        <v>1</v>
      </c>
      <c r="J426" s="631"/>
      <c r="K426" s="21">
        <f t="shared" si="70"/>
        <v>1</v>
      </c>
      <c r="L426" s="631"/>
      <c r="M426" s="21">
        <f t="shared" si="71"/>
        <v>1</v>
      </c>
      <c r="N426" s="631"/>
      <c r="O426" s="21">
        <f t="shared" si="72"/>
        <v>1</v>
      </c>
      <c r="P426" s="631"/>
      <c r="Q426" s="21">
        <f t="shared" si="73"/>
        <v>0</v>
      </c>
      <c r="R426" s="21">
        <f t="shared" si="74"/>
        <v>0</v>
      </c>
      <c r="S426" s="307">
        <f t="shared" si="65"/>
        <v>0</v>
      </c>
      <c r="T426" s="3190" t="str">
        <f>面积表!A421</f>
        <v>公寓</v>
      </c>
    </row>
    <row r="427" spans="1:20">
      <c r="A427" s="3169"/>
      <c r="B427" s="52"/>
      <c r="C427" s="21">
        <f t="shared" si="66"/>
        <v>1</v>
      </c>
      <c r="D427" s="2559"/>
      <c r="E427" s="21">
        <f t="shared" si="67"/>
        <v>0.02</v>
      </c>
      <c r="F427" s="631"/>
      <c r="G427" s="21">
        <f t="shared" si="68"/>
        <v>0</v>
      </c>
      <c r="H427" s="631"/>
      <c r="I427" s="21">
        <f t="shared" si="69"/>
        <v>1</v>
      </c>
      <c r="J427" s="631"/>
      <c r="K427" s="21">
        <f t="shared" si="70"/>
        <v>1</v>
      </c>
      <c r="L427" s="631"/>
      <c r="M427" s="21">
        <f t="shared" si="71"/>
        <v>1</v>
      </c>
      <c r="N427" s="631"/>
      <c r="O427" s="21">
        <f t="shared" si="72"/>
        <v>1</v>
      </c>
      <c r="P427" s="631"/>
      <c r="Q427" s="21">
        <f t="shared" si="73"/>
        <v>0</v>
      </c>
      <c r="R427" s="21">
        <f t="shared" si="74"/>
        <v>0</v>
      </c>
      <c r="S427" s="307">
        <f t="shared" si="65"/>
        <v>0</v>
      </c>
      <c r="T427" s="3190" t="str">
        <f>面积表!A422</f>
        <v>总14层</v>
      </c>
    </row>
    <row r="428" spans="1:20">
      <c r="A428" s="3169"/>
      <c r="B428" s="52"/>
      <c r="C428" s="21">
        <f t="shared" si="66"/>
        <v>1</v>
      </c>
      <c r="D428" s="2559"/>
      <c r="E428" s="21">
        <f t="shared" si="67"/>
        <v>0.02</v>
      </c>
      <c r="F428" s="631"/>
      <c r="G428" s="21">
        <f t="shared" si="68"/>
        <v>0</v>
      </c>
      <c r="H428" s="631"/>
      <c r="I428" s="21">
        <f t="shared" si="69"/>
        <v>1</v>
      </c>
      <c r="J428" s="631"/>
      <c r="K428" s="21">
        <f t="shared" si="70"/>
        <v>1</v>
      </c>
      <c r="L428" s="631"/>
      <c r="M428" s="21">
        <f t="shared" si="71"/>
        <v>1</v>
      </c>
      <c r="N428" s="631"/>
      <c r="O428" s="21">
        <f t="shared" si="72"/>
        <v>1</v>
      </c>
      <c r="P428" s="631"/>
      <c r="Q428" s="21">
        <f t="shared" si="73"/>
        <v>0</v>
      </c>
      <c r="R428" s="21">
        <f t="shared" si="74"/>
        <v>0</v>
      </c>
      <c r="S428" s="307">
        <f t="shared" si="65"/>
        <v>0</v>
      </c>
      <c r="T428" s="3190">
        <f>面积表!A423</f>
        <v>0</v>
      </c>
    </row>
    <row r="429" spans="1:20">
      <c r="A429" s="3169"/>
      <c r="B429" s="52"/>
      <c r="C429" s="21">
        <f t="shared" si="66"/>
        <v>1</v>
      </c>
      <c r="D429" s="2559"/>
      <c r="E429" s="21">
        <f t="shared" si="67"/>
        <v>0.02</v>
      </c>
      <c r="F429" s="631"/>
      <c r="G429" s="21">
        <f t="shared" si="68"/>
        <v>0</v>
      </c>
      <c r="H429" s="631"/>
      <c r="I429" s="21">
        <f t="shared" si="69"/>
        <v>1</v>
      </c>
      <c r="J429" s="631"/>
      <c r="K429" s="21">
        <f t="shared" si="70"/>
        <v>1</v>
      </c>
      <c r="L429" s="631"/>
      <c r="M429" s="21">
        <f t="shared" si="71"/>
        <v>1</v>
      </c>
      <c r="N429" s="631"/>
      <c r="O429" s="21">
        <f t="shared" si="72"/>
        <v>1</v>
      </c>
      <c r="P429" s="631"/>
      <c r="Q429" s="21">
        <f t="shared" si="73"/>
        <v>0</v>
      </c>
      <c r="R429" s="21">
        <f t="shared" si="74"/>
        <v>0</v>
      </c>
      <c r="S429" s="307">
        <f t="shared" si="65"/>
        <v>0</v>
      </c>
      <c r="T429" s="3190">
        <f>面积表!A424</f>
        <v>0</v>
      </c>
    </row>
    <row r="430" spans="1:20">
      <c r="A430" s="3169"/>
      <c r="B430" s="52"/>
      <c r="C430" s="21">
        <f t="shared" si="66"/>
        <v>1</v>
      </c>
      <c r="D430" s="2559"/>
      <c r="E430" s="21">
        <f t="shared" si="67"/>
        <v>0.02</v>
      </c>
      <c r="F430" s="631"/>
      <c r="G430" s="21">
        <f t="shared" si="68"/>
        <v>0</v>
      </c>
      <c r="H430" s="631"/>
      <c r="I430" s="21">
        <f t="shared" si="69"/>
        <v>1</v>
      </c>
      <c r="J430" s="631"/>
      <c r="K430" s="21">
        <f t="shared" si="70"/>
        <v>1</v>
      </c>
      <c r="L430" s="631"/>
      <c r="M430" s="21">
        <f t="shared" si="71"/>
        <v>1</v>
      </c>
      <c r="N430" s="631"/>
      <c r="O430" s="21">
        <f t="shared" si="72"/>
        <v>1</v>
      </c>
      <c r="P430" s="631"/>
      <c r="Q430" s="21">
        <f t="shared" si="73"/>
        <v>0</v>
      </c>
      <c r="R430" s="21">
        <f t="shared" si="74"/>
        <v>0</v>
      </c>
      <c r="S430" s="307">
        <f t="shared" si="65"/>
        <v>0</v>
      </c>
      <c r="T430" s="3190">
        <f>面积表!A425</f>
        <v>0</v>
      </c>
    </row>
    <row r="431" spans="1:20">
      <c r="A431" s="3169"/>
      <c r="B431" s="52"/>
      <c r="C431" s="21">
        <f t="shared" si="66"/>
        <v>1</v>
      </c>
      <c r="D431" s="2559"/>
      <c r="E431" s="21">
        <f t="shared" si="67"/>
        <v>0.02</v>
      </c>
      <c r="F431" s="631"/>
      <c r="G431" s="21">
        <f t="shared" si="68"/>
        <v>0</v>
      </c>
      <c r="H431" s="631"/>
      <c r="I431" s="21">
        <f t="shared" si="69"/>
        <v>1</v>
      </c>
      <c r="J431" s="631"/>
      <c r="K431" s="21">
        <f t="shared" si="70"/>
        <v>1</v>
      </c>
      <c r="L431" s="631"/>
      <c r="M431" s="21">
        <f t="shared" si="71"/>
        <v>1</v>
      </c>
      <c r="N431" s="631"/>
      <c r="O431" s="21">
        <f t="shared" si="72"/>
        <v>1</v>
      </c>
      <c r="P431" s="631"/>
      <c r="Q431" s="21">
        <f t="shared" si="73"/>
        <v>0</v>
      </c>
      <c r="R431" s="21">
        <f t="shared" si="74"/>
        <v>0</v>
      </c>
      <c r="S431" s="307">
        <f t="shared" si="65"/>
        <v>0</v>
      </c>
      <c r="T431" s="3190">
        <f>面积表!A426</f>
        <v>0</v>
      </c>
    </row>
    <row r="432" spans="1:20">
      <c r="A432" s="3169"/>
      <c r="B432" s="52"/>
      <c r="C432" s="21">
        <f t="shared" si="66"/>
        <v>1</v>
      </c>
      <c r="D432" s="2559"/>
      <c r="E432" s="21">
        <f t="shared" si="67"/>
        <v>0.02</v>
      </c>
      <c r="F432" s="631"/>
      <c r="G432" s="21">
        <f t="shared" si="68"/>
        <v>0</v>
      </c>
      <c r="H432" s="631"/>
      <c r="I432" s="21">
        <f t="shared" si="69"/>
        <v>1</v>
      </c>
      <c r="J432" s="631"/>
      <c r="K432" s="21">
        <f t="shared" si="70"/>
        <v>1</v>
      </c>
      <c r="L432" s="631"/>
      <c r="M432" s="21">
        <f t="shared" si="71"/>
        <v>1</v>
      </c>
      <c r="N432" s="631"/>
      <c r="O432" s="21">
        <f t="shared" si="72"/>
        <v>1</v>
      </c>
      <c r="P432" s="631"/>
      <c r="Q432" s="21">
        <f t="shared" si="73"/>
        <v>0</v>
      </c>
      <c r="R432" s="21">
        <f t="shared" si="74"/>
        <v>0</v>
      </c>
      <c r="S432" s="307">
        <f t="shared" si="65"/>
        <v>0</v>
      </c>
      <c r="T432" s="3190">
        <f>面积表!A427</f>
        <v>0</v>
      </c>
    </row>
    <row r="433" spans="1:20">
      <c r="A433" s="3169"/>
      <c r="B433" s="52"/>
      <c r="C433" s="21">
        <f t="shared" si="66"/>
        <v>1</v>
      </c>
      <c r="D433" s="2559"/>
      <c r="E433" s="21">
        <f t="shared" si="67"/>
        <v>0.02</v>
      </c>
      <c r="F433" s="631"/>
      <c r="G433" s="21">
        <f t="shared" si="68"/>
        <v>0</v>
      </c>
      <c r="H433" s="631"/>
      <c r="I433" s="21">
        <f t="shared" si="69"/>
        <v>1</v>
      </c>
      <c r="J433" s="631"/>
      <c r="K433" s="21">
        <f t="shared" si="70"/>
        <v>1</v>
      </c>
      <c r="L433" s="631"/>
      <c r="M433" s="21">
        <f t="shared" si="71"/>
        <v>1</v>
      </c>
      <c r="N433" s="631"/>
      <c r="O433" s="21">
        <f t="shared" si="72"/>
        <v>1</v>
      </c>
      <c r="P433" s="631"/>
      <c r="Q433" s="21">
        <f t="shared" si="73"/>
        <v>0</v>
      </c>
      <c r="R433" s="21">
        <f t="shared" si="74"/>
        <v>0</v>
      </c>
      <c r="S433" s="307">
        <f t="shared" si="65"/>
        <v>0</v>
      </c>
      <c r="T433" s="3190">
        <f>面积表!A428</f>
        <v>0</v>
      </c>
    </row>
    <row r="434" spans="1:20">
      <c r="A434" s="3169"/>
      <c r="B434" s="52"/>
      <c r="C434" s="21">
        <f t="shared" si="66"/>
        <v>1</v>
      </c>
      <c r="D434" s="2559"/>
      <c r="E434" s="21">
        <f t="shared" si="67"/>
        <v>0.02</v>
      </c>
      <c r="F434" s="631"/>
      <c r="G434" s="21">
        <f t="shared" si="68"/>
        <v>0</v>
      </c>
      <c r="H434" s="631"/>
      <c r="I434" s="21">
        <f t="shared" si="69"/>
        <v>1</v>
      </c>
      <c r="J434" s="631"/>
      <c r="K434" s="21">
        <f t="shared" si="70"/>
        <v>1</v>
      </c>
      <c r="L434" s="631"/>
      <c r="M434" s="21">
        <f t="shared" si="71"/>
        <v>1</v>
      </c>
      <c r="N434" s="631"/>
      <c r="O434" s="21">
        <f t="shared" si="72"/>
        <v>1</v>
      </c>
      <c r="P434" s="631"/>
      <c r="Q434" s="21">
        <f t="shared" si="73"/>
        <v>0</v>
      </c>
      <c r="R434" s="21">
        <f t="shared" si="74"/>
        <v>0</v>
      </c>
      <c r="S434" s="307">
        <f t="shared" si="65"/>
        <v>0</v>
      </c>
      <c r="T434" s="3190">
        <f>面积表!A429</f>
        <v>0</v>
      </c>
    </row>
    <row r="435" spans="1:20">
      <c r="A435" s="3169"/>
      <c r="B435" s="52"/>
      <c r="C435" s="21">
        <f t="shared" si="66"/>
        <v>1</v>
      </c>
      <c r="D435" s="2559"/>
      <c r="E435" s="21">
        <f t="shared" si="67"/>
        <v>0.02</v>
      </c>
      <c r="F435" s="631"/>
      <c r="G435" s="21">
        <f t="shared" si="68"/>
        <v>0</v>
      </c>
      <c r="H435" s="631"/>
      <c r="I435" s="21">
        <f t="shared" si="69"/>
        <v>1</v>
      </c>
      <c r="J435" s="631"/>
      <c r="K435" s="21">
        <f t="shared" si="70"/>
        <v>1</v>
      </c>
      <c r="L435" s="631"/>
      <c r="M435" s="21">
        <f t="shared" si="71"/>
        <v>1</v>
      </c>
      <c r="N435" s="631"/>
      <c r="O435" s="21">
        <f t="shared" si="72"/>
        <v>1</v>
      </c>
      <c r="P435" s="631"/>
      <c r="Q435" s="21">
        <f t="shared" si="73"/>
        <v>0</v>
      </c>
      <c r="R435" s="21">
        <f t="shared" si="74"/>
        <v>0</v>
      </c>
      <c r="S435" s="307">
        <f t="shared" si="65"/>
        <v>0</v>
      </c>
      <c r="T435" s="3190">
        <f>面积表!A430</f>
        <v>0</v>
      </c>
    </row>
    <row r="436" spans="1:20">
      <c r="A436" s="3169"/>
      <c r="B436" s="52"/>
      <c r="C436" s="21">
        <f t="shared" si="66"/>
        <v>1</v>
      </c>
      <c r="D436" s="2559"/>
      <c r="E436" s="21">
        <f t="shared" si="67"/>
        <v>0.02</v>
      </c>
      <c r="F436" s="631"/>
      <c r="G436" s="21">
        <f t="shared" si="68"/>
        <v>0</v>
      </c>
      <c r="H436" s="631"/>
      <c r="I436" s="21">
        <f t="shared" si="69"/>
        <v>1</v>
      </c>
      <c r="J436" s="631"/>
      <c r="K436" s="21">
        <f t="shared" si="70"/>
        <v>1</v>
      </c>
      <c r="L436" s="631"/>
      <c r="M436" s="21">
        <f t="shared" si="71"/>
        <v>1</v>
      </c>
      <c r="N436" s="631"/>
      <c r="O436" s="21">
        <f t="shared" si="72"/>
        <v>1</v>
      </c>
      <c r="P436" s="631"/>
      <c r="Q436" s="21">
        <f t="shared" si="73"/>
        <v>0</v>
      </c>
      <c r="R436" s="21">
        <f t="shared" si="74"/>
        <v>0</v>
      </c>
      <c r="S436" s="307">
        <f t="shared" si="65"/>
        <v>0</v>
      </c>
      <c r="T436" s="3190">
        <f>面积表!A431</f>
        <v>0</v>
      </c>
    </row>
    <row r="437" spans="1:20">
      <c r="A437" s="3169"/>
      <c r="B437" s="52"/>
      <c r="C437" s="21">
        <f t="shared" si="66"/>
        <v>1</v>
      </c>
      <c r="D437" s="2559"/>
      <c r="E437" s="21">
        <f t="shared" si="67"/>
        <v>0.02</v>
      </c>
      <c r="F437" s="631"/>
      <c r="G437" s="21">
        <f t="shared" si="68"/>
        <v>0</v>
      </c>
      <c r="H437" s="631"/>
      <c r="I437" s="21">
        <f t="shared" si="69"/>
        <v>1</v>
      </c>
      <c r="J437" s="631"/>
      <c r="K437" s="21">
        <f t="shared" si="70"/>
        <v>1</v>
      </c>
      <c r="L437" s="631"/>
      <c r="M437" s="21">
        <f t="shared" si="71"/>
        <v>1</v>
      </c>
      <c r="N437" s="631"/>
      <c r="O437" s="21">
        <f t="shared" si="72"/>
        <v>1</v>
      </c>
      <c r="P437" s="631"/>
      <c r="Q437" s="21">
        <f t="shared" si="73"/>
        <v>0</v>
      </c>
      <c r="R437" s="21">
        <f t="shared" si="74"/>
        <v>0</v>
      </c>
      <c r="S437" s="307">
        <f t="shared" si="65"/>
        <v>0</v>
      </c>
      <c r="T437" s="3190">
        <f>面积表!A432</f>
        <v>0</v>
      </c>
    </row>
    <row r="438" spans="1:20">
      <c r="A438" s="3169"/>
      <c r="B438" s="52"/>
      <c r="C438" s="21">
        <f t="shared" si="66"/>
        <v>1</v>
      </c>
      <c r="D438" s="2559"/>
      <c r="E438" s="21">
        <f t="shared" si="67"/>
        <v>0.02</v>
      </c>
      <c r="F438" s="631"/>
      <c r="G438" s="21">
        <f t="shared" si="68"/>
        <v>0</v>
      </c>
      <c r="H438" s="631"/>
      <c r="I438" s="21">
        <f t="shared" si="69"/>
        <v>1</v>
      </c>
      <c r="J438" s="631"/>
      <c r="K438" s="21">
        <f t="shared" si="70"/>
        <v>1</v>
      </c>
      <c r="L438" s="631"/>
      <c r="M438" s="21">
        <f t="shared" si="71"/>
        <v>1</v>
      </c>
      <c r="N438" s="631"/>
      <c r="O438" s="21">
        <f t="shared" si="72"/>
        <v>1</v>
      </c>
      <c r="P438" s="631"/>
      <c r="Q438" s="21">
        <f t="shared" si="73"/>
        <v>0</v>
      </c>
      <c r="R438" s="21">
        <f t="shared" si="74"/>
        <v>0</v>
      </c>
      <c r="S438" s="307">
        <f t="shared" si="65"/>
        <v>0</v>
      </c>
      <c r="T438" s="3190">
        <f>面积表!A433</f>
        <v>0</v>
      </c>
    </row>
    <row r="439" spans="1:20">
      <c r="A439" s="3169"/>
      <c r="B439" s="52"/>
      <c r="C439" s="21">
        <f t="shared" si="66"/>
        <v>1</v>
      </c>
      <c r="D439" s="2559"/>
      <c r="E439" s="21">
        <f t="shared" si="67"/>
        <v>0.02</v>
      </c>
      <c r="F439" s="631"/>
      <c r="G439" s="21">
        <f t="shared" si="68"/>
        <v>0</v>
      </c>
      <c r="H439" s="631"/>
      <c r="I439" s="21">
        <f t="shared" si="69"/>
        <v>1</v>
      </c>
      <c r="J439" s="631"/>
      <c r="K439" s="21">
        <f t="shared" si="70"/>
        <v>1</v>
      </c>
      <c r="L439" s="631"/>
      <c r="M439" s="21">
        <f t="shared" si="71"/>
        <v>1</v>
      </c>
      <c r="N439" s="631"/>
      <c r="O439" s="21">
        <f t="shared" si="72"/>
        <v>1</v>
      </c>
      <c r="P439" s="631"/>
      <c r="Q439" s="21">
        <f t="shared" si="73"/>
        <v>0</v>
      </c>
      <c r="R439" s="21">
        <f t="shared" si="74"/>
        <v>0</v>
      </c>
      <c r="S439" s="307">
        <f t="shared" si="65"/>
        <v>0</v>
      </c>
      <c r="T439" s="3190">
        <f>面积表!A434</f>
        <v>0</v>
      </c>
    </row>
    <row r="440" spans="1:20">
      <c r="A440" s="3169"/>
      <c r="B440" s="52"/>
      <c r="C440" s="21">
        <f t="shared" si="66"/>
        <v>1</v>
      </c>
      <c r="D440" s="2559"/>
      <c r="E440" s="21">
        <f t="shared" si="67"/>
        <v>0.02</v>
      </c>
      <c r="F440" s="631"/>
      <c r="G440" s="21">
        <f t="shared" si="68"/>
        <v>0</v>
      </c>
      <c r="H440" s="631"/>
      <c r="I440" s="21">
        <f t="shared" si="69"/>
        <v>1</v>
      </c>
      <c r="J440" s="631"/>
      <c r="K440" s="21">
        <f t="shared" si="70"/>
        <v>1</v>
      </c>
      <c r="L440" s="631"/>
      <c r="M440" s="21">
        <f t="shared" si="71"/>
        <v>1</v>
      </c>
      <c r="N440" s="631"/>
      <c r="O440" s="21">
        <f t="shared" si="72"/>
        <v>1</v>
      </c>
      <c r="P440" s="631"/>
      <c r="Q440" s="21">
        <f t="shared" si="73"/>
        <v>0</v>
      </c>
      <c r="R440" s="21">
        <f t="shared" si="74"/>
        <v>0</v>
      </c>
      <c r="S440" s="307">
        <f t="shared" si="65"/>
        <v>0</v>
      </c>
      <c r="T440" s="3190">
        <f>面积表!A435</f>
        <v>0</v>
      </c>
    </row>
    <row r="441" spans="1:20">
      <c r="A441" s="3169"/>
      <c r="B441" s="52"/>
      <c r="C441" s="21">
        <f t="shared" si="66"/>
        <v>1</v>
      </c>
      <c r="D441" s="2559"/>
      <c r="E441" s="21">
        <f t="shared" si="67"/>
        <v>0.02</v>
      </c>
      <c r="F441" s="631"/>
      <c r="G441" s="21">
        <f t="shared" si="68"/>
        <v>0</v>
      </c>
      <c r="H441" s="631"/>
      <c r="I441" s="21">
        <f t="shared" si="69"/>
        <v>1</v>
      </c>
      <c r="J441" s="631"/>
      <c r="K441" s="21">
        <f t="shared" si="70"/>
        <v>1</v>
      </c>
      <c r="L441" s="631"/>
      <c r="M441" s="21">
        <f t="shared" si="71"/>
        <v>1</v>
      </c>
      <c r="N441" s="631"/>
      <c r="O441" s="21">
        <f t="shared" si="72"/>
        <v>1</v>
      </c>
      <c r="P441" s="631"/>
      <c r="Q441" s="21">
        <f t="shared" si="73"/>
        <v>0</v>
      </c>
      <c r="R441" s="21">
        <f t="shared" si="74"/>
        <v>0</v>
      </c>
      <c r="S441" s="307">
        <f t="shared" si="65"/>
        <v>0</v>
      </c>
      <c r="T441" s="3190">
        <f>面积表!A436</f>
        <v>0</v>
      </c>
    </row>
    <row r="442" spans="1:20">
      <c r="A442" s="3169"/>
      <c r="B442" s="52"/>
      <c r="C442" s="21">
        <f t="shared" si="66"/>
        <v>1</v>
      </c>
      <c r="D442" s="2559"/>
      <c r="E442" s="21">
        <f t="shared" si="67"/>
        <v>0.02</v>
      </c>
      <c r="F442" s="631"/>
      <c r="G442" s="21">
        <f t="shared" si="68"/>
        <v>0</v>
      </c>
      <c r="H442" s="631"/>
      <c r="I442" s="21">
        <f t="shared" si="69"/>
        <v>1</v>
      </c>
      <c r="J442" s="631"/>
      <c r="K442" s="21">
        <f t="shared" si="70"/>
        <v>1</v>
      </c>
      <c r="L442" s="631"/>
      <c r="M442" s="21">
        <f t="shared" si="71"/>
        <v>1</v>
      </c>
      <c r="N442" s="631"/>
      <c r="O442" s="21">
        <f t="shared" si="72"/>
        <v>1</v>
      </c>
      <c r="P442" s="631"/>
      <c r="Q442" s="21">
        <f t="shared" si="73"/>
        <v>0</v>
      </c>
      <c r="R442" s="21">
        <f t="shared" si="74"/>
        <v>0</v>
      </c>
      <c r="S442" s="307">
        <f t="shared" si="65"/>
        <v>0</v>
      </c>
      <c r="T442" s="3190">
        <f>面积表!A437</f>
        <v>0</v>
      </c>
    </row>
    <row r="443" spans="1:20">
      <c r="A443" s="3169"/>
      <c r="B443" s="52"/>
      <c r="C443" s="21">
        <f t="shared" si="66"/>
        <v>1</v>
      </c>
      <c r="D443" s="2559"/>
      <c r="E443" s="21">
        <f t="shared" si="67"/>
        <v>0.02</v>
      </c>
      <c r="F443" s="631"/>
      <c r="G443" s="21">
        <f t="shared" si="68"/>
        <v>0</v>
      </c>
      <c r="H443" s="631"/>
      <c r="I443" s="21">
        <f t="shared" si="69"/>
        <v>1</v>
      </c>
      <c r="J443" s="631"/>
      <c r="K443" s="21">
        <f t="shared" si="70"/>
        <v>1</v>
      </c>
      <c r="L443" s="631"/>
      <c r="M443" s="21">
        <f t="shared" si="71"/>
        <v>1</v>
      </c>
      <c r="N443" s="631"/>
      <c r="O443" s="21">
        <f t="shared" si="72"/>
        <v>1</v>
      </c>
      <c r="P443" s="631"/>
      <c r="Q443" s="21">
        <f t="shared" si="73"/>
        <v>0</v>
      </c>
      <c r="R443" s="21">
        <f t="shared" si="74"/>
        <v>0</v>
      </c>
      <c r="S443" s="307">
        <f t="shared" si="65"/>
        <v>0</v>
      </c>
      <c r="T443" s="3190">
        <f>面积表!A438</f>
        <v>0</v>
      </c>
    </row>
    <row r="444" spans="1:20">
      <c r="A444" s="3169"/>
      <c r="B444" s="52"/>
      <c r="C444" s="21">
        <f t="shared" si="66"/>
        <v>1</v>
      </c>
      <c r="D444" s="2559"/>
      <c r="E444" s="21">
        <f t="shared" si="67"/>
        <v>0.02</v>
      </c>
      <c r="F444" s="631"/>
      <c r="G444" s="21">
        <f t="shared" si="68"/>
        <v>0</v>
      </c>
      <c r="H444" s="631"/>
      <c r="I444" s="21">
        <f t="shared" si="69"/>
        <v>1</v>
      </c>
      <c r="J444" s="631"/>
      <c r="K444" s="21">
        <f t="shared" si="70"/>
        <v>1</v>
      </c>
      <c r="L444" s="631"/>
      <c r="M444" s="21">
        <f t="shared" si="71"/>
        <v>1</v>
      </c>
      <c r="N444" s="631"/>
      <c r="O444" s="21">
        <f t="shared" si="72"/>
        <v>1</v>
      </c>
      <c r="P444" s="631"/>
      <c r="Q444" s="21">
        <f t="shared" si="73"/>
        <v>0</v>
      </c>
      <c r="R444" s="21">
        <f t="shared" si="74"/>
        <v>0</v>
      </c>
      <c r="S444" s="307">
        <f t="shared" si="65"/>
        <v>0</v>
      </c>
      <c r="T444" s="3190">
        <f>面积表!A439</f>
        <v>0</v>
      </c>
    </row>
    <row r="445" spans="1:20">
      <c r="A445" s="3169"/>
      <c r="B445" s="52"/>
      <c r="C445" s="21">
        <f t="shared" si="66"/>
        <v>1</v>
      </c>
      <c r="D445" s="2559"/>
      <c r="E445" s="21">
        <f t="shared" si="67"/>
        <v>0.02</v>
      </c>
      <c r="F445" s="631"/>
      <c r="G445" s="21">
        <f t="shared" si="68"/>
        <v>0</v>
      </c>
      <c r="H445" s="631"/>
      <c r="I445" s="21">
        <f t="shared" si="69"/>
        <v>1</v>
      </c>
      <c r="J445" s="631"/>
      <c r="K445" s="21">
        <f t="shared" si="70"/>
        <v>1</v>
      </c>
      <c r="L445" s="631"/>
      <c r="M445" s="21">
        <f t="shared" si="71"/>
        <v>1</v>
      </c>
      <c r="N445" s="631"/>
      <c r="O445" s="21">
        <f t="shared" si="72"/>
        <v>1</v>
      </c>
      <c r="P445" s="631"/>
      <c r="Q445" s="21">
        <f t="shared" si="73"/>
        <v>0</v>
      </c>
      <c r="R445" s="21">
        <f t="shared" si="74"/>
        <v>0</v>
      </c>
      <c r="S445" s="307">
        <f t="shared" si="65"/>
        <v>0</v>
      </c>
      <c r="T445" s="3190">
        <f>面积表!A440</f>
        <v>0</v>
      </c>
    </row>
    <row r="446" spans="1:20">
      <c r="A446" s="3169"/>
      <c r="B446" s="52"/>
      <c r="C446" s="21">
        <f t="shared" si="66"/>
        <v>1</v>
      </c>
      <c r="D446" s="2559"/>
      <c r="E446" s="21">
        <f t="shared" si="67"/>
        <v>0.02</v>
      </c>
      <c r="F446" s="631"/>
      <c r="G446" s="21">
        <f t="shared" si="68"/>
        <v>0</v>
      </c>
      <c r="H446" s="631"/>
      <c r="I446" s="21">
        <f t="shared" si="69"/>
        <v>1</v>
      </c>
      <c r="J446" s="631"/>
      <c r="K446" s="21">
        <f t="shared" si="70"/>
        <v>1</v>
      </c>
      <c r="L446" s="631"/>
      <c r="M446" s="21">
        <f t="shared" si="71"/>
        <v>1</v>
      </c>
      <c r="N446" s="631"/>
      <c r="O446" s="21">
        <f t="shared" si="72"/>
        <v>1</v>
      </c>
      <c r="P446" s="631"/>
      <c r="Q446" s="21">
        <f t="shared" si="73"/>
        <v>0</v>
      </c>
      <c r="R446" s="21">
        <f t="shared" si="74"/>
        <v>0</v>
      </c>
      <c r="S446" s="307">
        <f t="shared" si="65"/>
        <v>0</v>
      </c>
      <c r="T446" s="3190">
        <f>面积表!A441</f>
        <v>0</v>
      </c>
    </row>
    <row r="447" spans="1:20">
      <c r="A447" s="3169"/>
      <c r="B447" s="52"/>
      <c r="C447" s="21">
        <f t="shared" si="66"/>
        <v>1</v>
      </c>
      <c r="D447" s="2559"/>
      <c r="E447" s="21">
        <f t="shared" si="67"/>
        <v>0.02</v>
      </c>
      <c r="F447" s="631"/>
      <c r="G447" s="21">
        <f t="shared" si="68"/>
        <v>0</v>
      </c>
      <c r="H447" s="631"/>
      <c r="I447" s="21">
        <f t="shared" si="69"/>
        <v>1</v>
      </c>
      <c r="J447" s="631"/>
      <c r="K447" s="21">
        <f t="shared" si="70"/>
        <v>1</v>
      </c>
      <c r="L447" s="631"/>
      <c r="M447" s="21">
        <f t="shared" si="71"/>
        <v>1</v>
      </c>
      <c r="N447" s="631"/>
      <c r="O447" s="21">
        <f t="shared" si="72"/>
        <v>1</v>
      </c>
      <c r="P447" s="631"/>
      <c r="Q447" s="21">
        <f t="shared" si="73"/>
        <v>0</v>
      </c>
      <c r="R447" s="21">
        <f t="shared" si="74"/>
        <v>0</v>
      </c>
      <c r="S447" s="307">
        <f t="shared" si="65"/>
        <v>0</v>
      </c>
      <c r="T447" s="3190">
        <f>面积表!A442</f>
        <v>0</v>
      </c>
    </row>
    <row r="448" spans="1:20">
      <c r="A448" s="3169"/>
      <c r="B448" s="52"/>
      <c r="C448" s="21">
        <f t="shared" si="66"/>
        <v>1</v>
      </c>
      <c r="D448" s="2559"/>
      <c r="E448" s="21">
        <f t="shared" si="67"/>
        <v>0.02</v>
      </c>
      <c r="F448" s="631"/>
      <c r="G448" s="21">
        <f t="shared" si="68"/>
        <v>0</v>
      </c>
      <c r="H448" s="631"/>
      <c r="I448" s="21">
        <f t="shared" si="69"/>
        <v>1</v>
      </c>
      <c r="J448" s="631"/>
      <c r="K448" s="21">
        <f t="shared" si="70"/>
        <v>1</v>
      </c>
      <c r="L448" s="631"/>
      <c r="M448" s="21">
        <f t="shared" si="71"/>
        <v>1</v>
      </c>
      <c r="N448" s="631"/>
      <c r="O448" s="21">
        <f t="shared" si="72"/>
        <v>1</v>
      </c>
      <c r="P448" s="631"/>
      <c r="Q448" s="21">
        <f t="shared" si="73"/>
        <v>0</v>
      </c>
      <c r="R448" s="21">
        <f t="shared" si="74"/>
        <v>0</v>
      </c>
      <c r="S448" s="307">
        <f t="shared" si="65"/>
        <v>0</v>
      </c>
      <c r="T448" s="3190">
        <f>面积表!A443</f>
        <v>0</v>
      </c>
    </row>
    <row r="449" spans="1:20">
      <c r="A449" s="3169"/>
      <c r="B449" s="52"/>
      <c r="C449" s="21">
        <f t="shared" si="66"/>
        <v>1</v>
      </c>
      <c r="D449" s="2559"/>
      <c r="E449" s="21">
        <f t="shared" si="67"/>
        <v>0.02</v>
      </c>
      <c r="F449" s="631"/>
      <c r="G449" s="21">
        <f t="shared" si="68"/>
        <v>0</v>
      </c>
      <c r="H449" s="631"/>
      <c r="I449" s="21">
        <f t="shared" si="69"/>
        <v>1</v>
      </c>
      <c r="J449" s="631"/>
      <c r="K449" s="21">
        <f t="shared" si="70"/>
        <v>1</v>
      </c>
      <c r="L449" s="631"/>
      <c r="M449" s="21">
        <f t="shared" si="71"/>
        <v>1</v>
      </c>
      <c r="N449" s="631"/>
      <c r="O449" s="21">
        <f t="shared" si="72"/>
        <v>1</v>
      </c>
      <c r="P449" s="631"/>
      <c r="Q449" s="21">
        <f t="shared" si="73"/>
        <v>0</v>
      </c>
      <c r="R449" s="21">
        <f t="shared" si="74"/>
        <v>0</v>
      </c>
      <c r="S449" s="307">
        <f t="shared" si="65"/>
        <v>0</v>
      </c>
      <c r="T449" s="3190">
        <f>面积表!A444</f>
        <v>0</v>
      </c>
    </row>
    <row r="450" spans="1:20">
      <c r="A450" s="3169"/>
      <c r="B450" s="52"/>
      <c r="C450" s="21">
        <f t="shared" si="66"/>
        <v>1</v>
      </c>
      <c r="D450" s="2559"/>
      <c r="E450" s="21">
        <f t="shared" si="67"/>
        <v>0.02</v>
      </c>
      <c r="F450" s="631"/>
      <c r="G450" s="21">
        <f t="shared" si="68"/>
        <v>0</v>
      </c>
      <c r="H450" s="631"/>
      <c r="I450" s="21">
        <f t="shared" si="69"/>
        <v>1</v>
      </c>
      <c r="J450" s="631"/>
      <c r="K450" s="21">
        <f t="shared" si="70"/>
        <v>1</v>
      </c>
      <c r="L450" s="631"/>
      <c r="M450" s="21">
        <f t="shared" si="71"/>
        <v>1</v>
      </c>
      <c r="N450" s="631"/>
      <c r="O450" s="21">
        <f t="shared" si="72"/>
        <v>1</v>
      </c>
      <c r="P450" s="631"/>
      <c r="Q450" s="21">
        <f t="shared" si="73"/>
        <v>0</v>
      </c>
      <c r="R450" s="21">
        <f t="shared" si="74"/>
        <v>0</v>
      </c>
      <c r="S450" s="307">
        <f t="shared" si="65"/>
        <v>0</v>
      </c>
      <c r="T450" s="3190">
        <f>面积表!A445</f>
        <v>0</v>
      </c>
    </row>
    <row r="451" spans="1:20">
      <c r="A451" s="3169"/>
      <c r="B451" s="52"/>
      <c r="C451" s="21">
        <f t="shared" si="66"/>
        <v>1</v>
      </c>
      <c r="D451" s="2559"/>
      <c r="E451" s="21">
        <f t="shared" si="67"/>
        <v>0.02</v>
      </c>
      <c r="F451" s="631"/>
      <c r="G451" s="21">
        <f t="shared" si="68"/>
        <v>0</v>
      </c>
      <c r="H451" s="631"/>
      <c r="I451" s="21">
        <f t="shared" si="69"/>
        <v>1</v>
      </c>
      <c r="J451" s="631"/>
      <c r="K451" s="21">
        <f t="shared" si="70"/>
        <v>1</v>
      </c>
      <c r="L451" s="631"/>
      <c r="M451" s="21">
        <f t="shared" si="71"/>
        <v>1</v>
      </c>
      <c r="N451" s="631"/>
      <c r="O451" s="21">
        <f t="shared" si="72"/>
        <v>1</v>
      </c>
      <c r="P451" s="631"/>
      <c r="Q451" s="21">
        <f t="shared" si="73"/>
        <v>0</v>
      </c>
      <c r="R451" s="21">
        <f t="shared" si="74"/>
        <v>0</v>
      </c>
      <c r="S451" s="307">
        <f t="shared" si="65"/>
        <v>0</v>
      </c>
      <c r="T451" s="3190">
        <f>面积表!A446</f>
        <v>0</v>
      </c>
    </row>
    <row r="452" spans="1:20">
      <c r="A452" s="3169"/>
      <c r="B452" s="52"/>
      <c r="C452" s="21">
        <f t="shared" si="66"/>
        <v>1</v>
      </c>
      <c r="D452" s="2559"/>
      <c r="E452" s="21">
        <f t="shared" si="67"/>
        <v>0.02</v>
      </c>
      <c r="F452" s="631"/>
      <c r="G452" s="21">
        <f t="shared" si="68"/>
        <v>0</v>
      </c>
      <c r="H452" s="631"/>
      <c r="I452" s="21">
        <f t="shared" si="69"/>
        <v>1</v>
      </c>
      <c r="J452" s="631"/>
      <c r="K452" s="21">
        <f t="shared" si="70"/>
        <v>1</v>
      </c>
      <c r="L452" s="631"/>
      <c r="M452" s="21">
        <f t="shared" si="71"/>
        <v>1</v>
      </c>
      <c r="N452" s="631"/>
      <c r="O452" s="21">
        <f t="shared" si="72"/>
        <v>1</v>
      </c>
      <c r="P452" s="631"/>
      <c r="Q452" s="21">
        <f t="shared" si="73"/>
        <v>0</v>
      </c>
      <c r="R452" s="21">
        <f t="shared" si="74"/>
        <v>0</v>
      </c>
      <c r="S452" s="307">
        <f t="shared" si="65"/>
        <v>0</v>
      </c>
      <c r="T452" s="3190">
        <f>面积表!A447</f>
        <v>0</v>
      </c>
    </row>
    <row r="453" spans="1:20">
      <c r="A453" s="3169"/>
      <c r="B453" s="52"/>
      <c r="C453" s="21">
        <f t="shared" si="66"/>
        <v>1</v>
      </c>
      <c r="D453" s="2559"/>
      <c r="E453" s="21">
        <f t="shared" si="67"/>
        <v>0.02</v>
      </c>
      <c r="F453" s="631"/>
      <c r="G453" s="21">
        <f t="shared" si="68"/>
        <v>0</v>
      </c>
      <c r="H453" s="631"/>
      <c r="I453" s="21">
        <f t="shared" si="69"/>
        <v>1</v>
      </c>
      <c r="J453" s="631"/>
      <c r="K453" s="21">
        <f t="shared" si="70"/>
        <v>1</v>
      </c>
      <c r="L453" s="631"/>
      <c r="M453" s="21">
        <f t="shared" si="71"/>
        <v>1</v>
      </c>
      <c r="N453" s="631"/>
      <c r="O453" s="21">
        <f t="shared" si="72"/>
        <v>1</v>
      </c>
      <c r="P453" s="631"/>
      <c r="Q453" s="21">
        <f t="shared" si="73"/>
        <v>0</v>
      </c>
      <c r="R453" s="21">
        <f t="shared" si="74"/>
        <v>0</v>
      </c>
      <c r="S453" s="307">
        <f t="shared" si="65"/>
        <v>0</v>
      </c>
      <c r="T453" s="3190">
        <f>面积表!A448</f>
        <v>0</v>
      </c>
    </row>
    <row r="454" spans="1:20">
      <c r="A454" s="3169"/>
      <c r="B454" s="52"/>
      <c r="C454" s="21">
        <f t="shared" si="66"/>
        <v>1</v>
      </c>
      <c r="D454" s="2559"/>
      <c r="E454" s="21">
        <f t="shared" si="67"/>
        <v>0.02</v>
      </c>
      <c r="F454" s="631"/>
      <c r="G454" s="21">
        <f t="shared" si="68"/>
        <v>0</v>
      </c>
      <c r="H454" s="631"/>
      <c r="I454" s="21">
        <f t="shared" si="69"/>
        <v>1</v>
      </c>
      <c r="J454" s="631"/>
      <c r="K454" s="21">
        <f t="shared" si="70"/>
        <v>1</v>
      </c>
      <c r="L454" s="631"/>
      <c r="M454" s="21">
        <f t="shared" si="71"/>
        <v>1</v>
      </c>
      <c r="N454" s="631"/>
      <c r="O454" s="21">
        <f t="shared" si="72"/>
        <v>1</v>
      </c>
      <c r="P454" s="631"/>
      <c r="Q454" s="21">
        <f t="shared" si="73"/>
        <v>0</v>
      </c>
      <c r="R454" s="21">
        <f t="shared" si="74"/>
        <v>0</v>
      </c>
      <c r="S454" s="307">
        <f t="shared" si="65"/>
        <v>0</v>
      </c>
      <c r="T454" s="3190">
        <f>面积表!A449</f>
        <v>0</v>
      </c>
    </row>
    <row r="455" spans="1:20">
      <c r="A455" s="3169"/>
      <c r="B455" s="52"/>
      <c r="C455" s="21">
        <f t="shared" si="66"/>
        <v>1</v>
      </c>
      <c r="D455" s="2559"/>
      <c r="E455" s="21">
        <f t="shared" si="67"/>
        <v>0.02</v>
      </c>
      <c r="F455" s="631"/>
      <c r="G455" s="21">
        <f t="shared" si="68"/>
        <v>0</v>
      </c>
      <c r="H455" s="631"/>
      <c r="I455" s="21">
        <f t="shared" si="69"/>
        <v>1</v>
      </c>
      <c r="J455" s="631"/>
      <c r="K455" s="21">
        <f t="shared" si="70"/>
        <v>1</v>
      </c>
      <c r="L455" s="631"/>
      <c r="M455" s="21">
        <f t="shared" si="71"/>
        <v>1</v>
      </c>
      <c r="N455" s="631"/>
      <c r="O455" s="21">
        <f t="shared" si="72"/>
        <v>1</v>
      </c>
      <c r="P455" s="631"/>
      <c r="Q455" s="21">
        <f t="shared" si="73"/>
        <v>0</v>
      </c>
      <c r="R455" s="21">
        <f t="shared" si="74"/>
        <v>0</v>
      </c>
      <c r="S455" s="307">
        <f t="shared" si="65"/>
        <v>0</v>
      </c>
      <c r="T455" s="3190">
        <f>面积表!A450</f>
        <v>0</v>
      </c>
    </row>
    <row r="456" spans="1:20">
      <c r="A456" s="3169"/>
      <c r="B456" s="52"/>
      <c r="C456" s="21">
        <f t="shared" si="66"/>
        <v>1</v>
      </c>
      <c r="D456" s="2559"/>
      <c r="E456" s="21">
        <f t="shared" si="67"/>
        <v>0.02</v>
      </c>
      <c r="F456" s="631"/>
      <c r="G456" s="21">
        <f t="shared" si="68"/>
        <v>0</v>
      </c>
      <c r="H456" s="631"/>
      <c r="I456" s="21">
        <f t="shared" si="69"/>
        <v>1</v>
      </c>
      <c r="J456" s="631"/>
      <c r="K456" s="21">
        <f t="shared" si="70"/>
        <v>1</v>
      </c>
      <c r="L456" s="631"/>
      <c r="M456" s="21">
        <f t="shared" si="71"/>
        <v>1</v>
      </c>
      <c r="N456" s="631"/>
      <c r="O456" s="21">
        <f t="shared" si="72"/>
        <v>1</v>
      </c>
      <c r="P456" s="631"/>
      <c r="Q456" s="21">
        <f t="shared" si="73"/>
        <v>0</v>
      </c>
      <c r="R456" s="21">
        <f t="shared" si="74"/>
        <v>0</v>
      </c>
      <c r="S456" s="307">
        <f t="shared" si="65"/>
        <v>0</v>
      </c>
      <c r="T456" s="3190">
        <f>面积表!A451</f>
        <v>0</v>
      </c>
    </row>
    <row r="457" spans="1:20">
      <c r="A457" s="3169"/>
      <c r="B457" s="52"/>
      <c r="C457" s="21">
        <f t="shared" si="66"/>
        <v>1</v>
      </c>
      <c r="D457" s="2559"/>
      <c r="E457" s="21">
        <f t="shared" si="67"/>
        <v>0.02</v>
      </c>
      <c r="F457" s="631"/>
      <c r="G457" s="21">
        <f t="shared" si="68"/>
        <v>0</v>
      </c>
      <c r="H457" s="631"/>
      <c r="I457" s="21">
        <f t="shared" si="69"/>
        <v>1</v>
      </c>
      <c r="J457" s="631"/>
      <c r="K457" s="21">
        <f t="shared" si="70"/>
        <v>1</v>
      </c>
      <c r="L457" s="631"/>
      <c r="M457" s="21">
        <f t="shared" si="71"/>
        <v>1</v>
      </c>
      <c r="N457" s="631"/>
      <c r="O457" s="21">
        <f t="shared" si="72"/>
        <v>1</v>
      </c>
      <c r="P457" s="631"/>
      <c r="Q457" s="21">
        <f t="shared" si="73"/>
        <v>0</v>
      </c>
      <c r="R457" s="21">
        <f t="shared" si="74"/>
        <v>0</v>
      </c>
      <c r="S457" s="307">
        <f t="shared" si="65"/>
        <v>0</v>
      </c>
      <c r="T457" s="3190">
        <f>面积表!A452</f>
        <v>0</v>
      </c>
    </row>
    <row r="458" spans="1:20">
      <c r="A458" s="3169"/>
      <c r="B458" s="52"/>
      <c r="C458" s="21">
        <f t="shared" si="66"/>
        <v>1</v>
      </c>
      <c r="D458" s="2559"/>
      <c r="E458" s="21">
        <f t="shared" si="67"/>
        <v>0.02</v>
      </c>
      <c r="F458" s="631"/>
      <c r="G458" s="21">
        <f t="shared" si="68"/>
        <v>0</v>
      </c>
      <c r="H458" s="631"/>
      <c r="I458" s="21">
        <f t="shared" si="69"/>
        <v>1</v>
      </c>
      <c r="J458" s="631"/>
      <c r="K458" s="21">
        <f t="shared" si="70"/>
        <v>1</v>
      </c>
      <c r="L458" s="631"/>
      <c r="M458" s="21">
        <f t="shared" si="71"/>
        <v>1</v>
      </c>
      <c r="N458" s="631"/>
      <c r="O458" s="21">
        <f t="shared" si="72"/>
        <v>1</v>
      </c>
      <c r="P458" s="631"/>
      <c r="Q458" s="21">
        <f t="shared" si="73"/>
        <v>0</v>
      </c>
      <c r="R458" s="21">
        <f t="shared" si="74"/>
        <v>0</v>
      </c>
      <c r="S458" s="307">
        <f t="shared" si="65"/>
        <v>0</v>
      </c>
      <c r="T458" s="3190">
        <f>面积表!A453</f>
        <v>0</v>
      </c>
    </row>
    <row r="459" spans="1:20">
      <c r="A459" s="3169"/>
      <c r="B459" s="52"/>
      <c r="C459" s="21">
        <f t="shared" si="66"/>
        <v>1</v>
      </c>
      <c r="D459" s="2559"/>
      <c r="E459" s="21">
        <f t="shared" si="67"/>
        <v>0.02</v>
      </c>
      <c r="F459" s="631"/>
      <c r="G459" s="21">
        <f t="shared" si="68"/>
        <v>0</v>
      </c>
      <c r="H459" s="631"/>
      <c r="I459" s="21">
        <f t="shared" si="69"/>
        <v>1</v>
      </c>
      <c r="J459" s="631"/>
      <c r="K459" s="21">
        <f t="shared" si="70"/>
        <v>1</v>
      </c>
      <c r="L459" s="631"/>
      <c r="M459" s="21">
        <f t="shared" si="71"/>
        <v>1</v>
      </c>
      <c r="N459" s="631"/>
      <c r="O459" s="21">
        <f t="shared" si="72"/>
        <v>1</v>
      </c>
      <c r="P459" s="631"/>
      <c r="Q459" s="21">
        <f t="shared" si="73"/>
        <v>0</v>
      </c>
      <c r="R459" s="21">
        <f t="shared" si="74"/>
        <v>0</v>
      </c>
      <c r="S459" s="307">
        <f t="shared" si="65"/>
        <v>0</v>
      </c>
      <c r="T459" s="3190">
        <f>面积表!A454</f>
        <v>0</v>
      </c>
    </row>
    <row r="460" spans="1:20">
      <c r="A460" s="3169"/>
      <c r="B460" s="52"/>
      <c r="C460" s="21">
        <f t="shared" si="66"/>
        <v>1</v>
      </c>
      <c r="D460" s="2559"/>
      <c r="E460" s="21">
        <f t="shared" si="67"/>
        <v>0.02</v>
      </c>
      <c r="F460" s="631"/>
      <c r="G460" s="21">
        <f t="shared" si="68"/>
        <v>0</v>
      </c>
      <c r="H460" s="631"/>
      <c r="I460" s="21">
        <f t="shared" si="69"/>
        <v>1</v>
      </c>
      <c r="J460" s="631"/>
      <c r="K460" s="21">
        <f t="shared" si="70"/>
        <v>1</v>
      </c>
      <c r="L460" s="631"/>
      <c r="M460" s="21">
        <f t="shared" si="71"/>
        <v>1</v>
      </c>
      <c r="N460" s="631"/>
      <c r="O460" s="21">
        <f t="shared" si="72"/>
        <v>1</v>
      </c>
      <c r="P460" s="631"/>
      <c r="Q460" s="21">
        <f t="shared" si="73"/>
        <v>0</v>
      </c>
      <c r="R460" s="21">
        <f t="shared" si="74"/>
        <v>0</v>
      </c>
      <c r="S460" s="307">
        <f t="shared" si="65"/>
        <v>0</v>
      </c>
      <c r="T460" s="3190">
        <f>面积表!A455</f>
        <v>0</v>
      </c>
    </row>
    <row r="461" spans="1:20">
      <c r="A461" s="3169"/>
      <c r="B461" s="52"/>
      <c r="C461" s="21">
        <f t="shared" si="66"/>
        <v>1</v>
      </c>
      <c r="D461" s="2559"/>
      <c r="E461" s="21">
        <f t="shared" si="67"/>
        <v>0.02</v>
      </c>
      <c r="F461" s="631"/>
      <c r="G461" s="21">
        <f t="shared" si="68"/>
        <v>0</v>
      </c>
      <c r="H461" s="631"/>
      <c r="I461" s="21">
        <f t="shared" si="69"/>
        <v>1</v>
      </c>
      <c r="J461" s="631"/>
      <c r="K461" s="21">
        <f t="shared" si="70"/>
        <v>1</v>
      </c>
      <c r="L461" s="631"/>
      <c r="M461" s="21">
        <f t="shared" si="71"/>
        <v>1</v>
      </c>
      <c r="N461" s="631"/>
      <c r="O461" s="21">
        <f t="shared" si="72"/>
        <v>1</v>
      </c>
      <c r="P461" s="631"/>
      <c r="Q461" s="21">
        <f t="shared" si="73"/>
        <v>0</v>
      </c>
      <c r="R461" s="21">
        <f t="shared" si="74"/>
        <v>0</v>
      </c>
      <c r="S461" s="307">
        <f t="shared" si="65"/>
        <v>0</v>
      </c>
      <c r="T461" s="3190">
        <f>面积表!A456</f>
        <v>0</v>
      </c>
    </row>
    <row r="462" spans="1:20">
      <c r="A462" s="3169"/>
      <c r="B462" s="52"/>
      <c r="C462" s="21">
        <f t="shared" si="66"/>
        <v>1</v>
      </c>
      <c r="D462" s="2559"/>
      <c r="E462" s="21">
        <f t="shared" si="67"/>
        <v>0.02</v>
      </c>
      <c r="F462" s="631"/>
      <c r="G462" s="21">
        <f t="shared" si="68"/>
        <v>0</v>
      </c>
      <c r="H462" s="631"/>
      <c r="I462" s="21">
        <f t="shared" si="69"/>
        <v>1</v>
      </c>
      <c r="J462" s="631"/>
      <c r="K462" s="21">
        <f t="shared" si="70"/>
        <v>1</v>
      </c>
      <c r="L462" s="631"/>
      <c r="M462" s="21">
        <f t="shared" si="71"/>
        <v>1</v>
      </c>
      <c r="N462" s="631"/>
      <c r="O462" s="21">
        <f t="shared" si="72"/>
        <v>1</v>
      </c>
      <c r="P462" s="631"/>
      <c r="Q462" s="21">
        <f t="shared" si="73"/>
        <v>0</v>
      </c>
      <c r="R462" s="21">
        <f t="shared" si="74"/>
        <v>0</v>
      </c>
      <c r="S462" s="307">
        <f t="shared" si="65"/>
        <v>0</v>
      </c>
      <c r="T462" s="3190">
        <f>面积表!A457</f>
        <v>0</v>
      </c>
    </row>
    <row r="463" spans="1:20">
      <c r="A463" s="3169"/>
      <c r="B463" s="52"/>
      <c r="C463" s="21">
        <f t="shared" si="66"/>
        <v>1</v>
      </c>
      <c r="D463" s="2559"/>
      <c r="E463" s="21">
        <f t="shared" si="67"/>
        <v>0.02</v>
      </c>
      <c r="F463" s="631"/>
      <c r="G463" s="21">
        <f t="shared" si="68"/>
        <v>0</v>
      </c>
      <c r="H463" s="631"/>
      <c r="I463" s="21">
        <f t="shared" si="69"/>
        <v>1</v>
      </c>
      <c r="J463" s="631"/>
      <c r="K463" s="21">
        <f t="shared" si="70"/>
        <v>1</v>
      </c>
      <c r="L463" s="631"/>
      <c r="M463" s="21">
        <f t="shared" si="71"/>
        <v>1</v>
      </c>
      <c r="N463" s="631"/>
      <c r="O463" s="21">
        <f t="shared" si="72"/>
        <v>1</v>
      </c>
      <c r="P463" s="631"/>
      <c r="Q463" s="21">
        <f t="shared" si="73"/>
        <v>0</v>
      </c>
      <c r="R463" s="21">
        <f t="shared" si="74"/>
        <v>0</v>
      </c>
      <c r="S463" s="307">
        <f t="shared" si="65"/>
        <v>0</v>
      </c>
      <c r="T463" s="3190">
        <f>面积表!A458</f>
        <v>0</v>
      </c>
    </row>
    <row r="464" spans="1:20">
      <c r="A464" s="3169"/>
      <c r="B464" s="52"/>
      <c r="C464" s="21">
        <f t="shared" si="66"/>
        <v>1</v>
      </c>
      <c r="D464" s="2559"/>
      <c r="E464" s="21">
        <f t="shared" si="67"/>
        <v>0.02</v>
      </c>
      <c r="F464" s="631"/>
      <c r="G464" s="21">
        <f t="shared" si="68"/>
        <v>0</v>
      </c>
      <c r="H464" s="631"/>
      <c r="I464" s="21">
        <f t="shared" si="69"/>
        <v>1</v>
      </c>
      <c r="J464" s="631"/>
      <c r="K464" s="21">
        <f t="shared" si="70"/>
        <v>1</v>
      </c>
      <c r="L464" s="631"/>
      <c r="M464" s="21">
        <f t="shared" si="71"/>
        <v>1</v>
      </c>
      <c r="N464" s="631"/>
      <c r="O464" s="21">
        <f t="shared" si="72"/>
        <v>1</v>
      </c>
      <c r="P464" s="631"/>
      <c r="Q464" s="21">
        <f t="shared" si="73"/>
        <v>0</v>
      </c>
      <c r="R464" s="21">
        <f t="shared" si="74"/>
        <v>0</v>
      </c>
      <c r="S464" s="307">
        <f t="shared" si="65"/>
        <v>0</v>
      </c>
      <c r="T464" s="3190">
        <f>面积表!A459</f>
        <v>0</v>
      </c>
    </row>
    <row r="465" spans="1:20">
      <c r="A465" s="3169"/>
      <c r="B465" s="52"/>
      <c r="C465" s="21">
        <f t="shared" si="66"/>
        <v>1</v>
      </c>
      <c r="D465" s="2559"/>
      <c r="E465" s="21">
        <f t="shared" si="67"/>
        <v>0.02</v>
      </c>
      <c r="F465" s="631"/>
      <c r="G465" s="21">
        <f t="shared" si="68"/>
        <v>0</v>
      </c>
      <c r="H465" s="631"/>
      <c r="I465" s="21">
        <f t="shared" si="69"/>
        <v>1</v>
      </c>
      <c r="J465" s="631"/>
      <c r="K465" s="21">
        <f t="shared" si="70"/>
        <v>1</v>
      </c>
      <c r="L465" s="631"/>
      <c r="M465" s="21">
        <f t="shared" si="71"/>
        <v>1</v>
      </c>
      <c r="N465" s="631"/>
      <c r="O465" s="21">
        <f t="shared" si="72"/>
        <v>1</v>
      </c>
      <c r="P465" s="631"/>
      <c r="Q465" s="21">
        <f t="shared" si="73"/>
        <v>0</v>
      </c>
      <c r="R465" s="21">
        <f t="shared" si="74"/>
        <v>0</v>
      </c>
      <c r="S465" s="307">
        <f t="shared" si="65"/>
        <v>0</v>
      </c>
      <c r="T465" s="3190">
        <f>面积表!A460</f>
        <v>0</v>
      </c>
    </row>
    <row r="466" spans="1:20">
      <c r="A466" s="3169"/>
      <c r="B466" s="52"/>
      <c r="C466" s="21">
        <f t="shared" si="66"/>
        <v>1</v>
      </c>
      <c r="D466" s="2559"/>
      <c r="E466" s="21">
        <f t="shared" si="67"/>
        <v>0.02</v>
      </c>
      <c r="F466" s="631"/>
      <c r="G466" s="21">
        <f t="shared" si="68"/>
        <v>0</v>
      </c>
      <c r="H466" s="631"/>
      <c r="I466" s="21">
        <f t="shared" si="69"/>
        <v>1</v>
      </c>
      <c r="J466" s="631"/>
      <c r="K466" s="21">
        <f t="shared" si="70"/>
        <v>1</v>
      </c>
      <c r="L466" s="631"/>
      <c r="M466" s="21">
        <f t="shared" si="71"/>
        <v>1</v>
      </c>
      <c r="N466" s="631"/>
      <c r="O466" s="21">
        <f t="shared" si="72"/>
        <v>1</v>
      </c>
      <c r="P466" s="631"/>
      <c r="Q466" s="21">
        <f t="shared" si="73"/>
        <v>0</v>
      </c>
      <c r="R466" s="21">
        <f t="shared" si="74"/>
        <v>0</v>
      </c>
      <c r="S466" s="307">
        <f t="shared" si="65"/>
        <v>0</v>
      </c>
      <c r="T466" s="3190">
        <f>面积表!A461</f>
        <v>0</v>
      </c>
    </row>
    <row r="467" spans="1:20">
      <c r="A467" s="3169"/>
      <c r="B467" s="52"/>
      <c r="C467" s="21">
        <f t="shared" si="66"/>
        <v>1</v>
      </c>
      <c r="D467" s="2559"/>
      <c r="E467" s="21">
        <f t="shared" si="67"/>
        <v>0.02</v>
      </c>
      <c r="F467" s="631"/>
      <c r="G467" s="21">
        <f t="shared" si="68"/>
        <v>0</v>
      </c>
      <c r="H467" s="631"/>
      <c r="I467" s="21">
        <f t="shared" si="69"/>
        <v>1</v>
      </c>
      <c r="J467" s="631"/>
      <c r="K467" s="21">
        <f t="shared" si="70"/>
        <v>1</v>
      </c>
      <c r="L467" s="631"/>
      <c r="M467" s="21">
        <f t="shared" si="71"/>
        <v>1</v>
      </c>
      <c r="N467" s="631"/>
      <c r="O467" s="21">
        <f t="shared" si="72"/>
        <v>1</v>
      </c>
      <c r="P467" s="631"/>
      <c r="Q467" s="21">
        <f t="shared" si="73"/>
        <v>0</v>
      </c>
      <c r="R467" s="21">
        <f t="shared" si="74"/>
        <v>0</v>
      </c>
      <c r="S467" s="307">
        <f t="shared" si="65"/>
        <v>0</v>
      </c>
      <c r="T467" s="3190">
        <f>面积表!A462</f>
        <v>0</v>
      </c>
    </row>
    <row r="468" spans="1:20">
      <c r="A468" s="3169"/>
      <c r="B468" s="52"/>
      <c r="C468" s="21">
        <f t="shared" si="66"/>
        <v>1</v>
      </c>
      <c r="D468" s="2559"/>
      <c r="E468" s="21">
        <f t="shared" si="67"/>
        <v>0.02</v>
      </c>
      <c r="F468" s="631"/>
      <c r="G468" s="21">
        <f t="shared" si="68"/>
        <v>0</v>
      </c>
      <c r="H468" s="631"/>
      <c r="I468" s="21">
        <f t="shared" si="69"/>
        <v>1</v>
      </c>
      <c r="J468" s="631"/>
      <c r="K468" s="21">
        <f t="shared" si="70"/>
        <v>1</v>
      </c>
      <c r="L468" s="631"/>
      <c r="M468" s="21">
        <f t="shared" si="71"/>
        <v>1</v>
      </c>
      <c r="N468" s="631"/>
      <c r="O468" s="21">
        <f t="shared" si="72"/>
        <v>1</v>
      </c>
      <c r="P468" s="631"/>
      <c r="Q468" s="21">
        <f t="shared" si="73"/>
        <v>0</v>
      </c>
      <c r="R468" s="21">
        <f t="shared" si="74"/>
        <v>0</v>
      </c>
      <c r="S468" s="307">
        <f t="shared" si="65"/>
        <v>0</v>
      </c>
      <c r="T468" s="3190">
        <f>面积表!A463</f>
        <v>0</v>
      </c>
    </row>
    <row r="469" spans="1:20">
      <c r="A469" s="3169"/>
      <c r="B469" s="52"/>
      <c r="C469" s="21">
        <f t="shared" si="66"/>
        <v>1</v>
      </c>
      <c r="D469" s="2559"/>
      <c r="E469" s="21">
        <f t="shared" si="67"/>
        <v>0.02</v>
      </c>
      <c r="F469" s="631"/>
      <c r="G469" s="21">
        <f t="shared" si="68"/>
        <v>0</v>
      </c>
      <c r="H469" s="631"/>
      <c r="I469" s="21">
        <f t="shared" si="69"/>
        <v>1</v>
      </c>
      <c r="J469" s="631"/>
      <c r="K469" s="21">
        <f t="shared" si="70"/>
        <v>1</v>
      </c>
      <c r="L469" s="631"/>
      <c r="M469" s="21">
        <f t="shared" si="71"/>
        <v>1</v>
      </c>
      <c r="N469" s="631"/>
      <c r="O469" s="21">
        <f t="shared" si="72"/>
        <v>1</v>
      </c>
      <c r="P469" s="631"/>
      <c r="Q469" s="21">
        <f t="shared" si="73"/>
        <v>0</v>
      </c>
      <c r="R469" s="21">
        <f t="shared" si="74"/>
        <v>0</v>
      </c>
      <c r="S469" s="307">
        <f t="shared" si="65"/>
        <v>0</v>
      </c>
      <c r="T469" s="3190">
        <f>面积表!A464</f>
        <v>0</v>
      </c>
    </row>
    <row r="470" spans="1:20">
      <c r="A470" s="3169"/>
      <c r="B470" s="52"/>
      <c r="C470" s="21">
        <f t="shared" si="66"/>
        <v>1</v>
      </c>
      <c r="D470" s="2559"/>
      <c r="E470" s="21">
        <f t="shared" si="67"/>
        <v>0.02</v>
      </c>
      <c r="F470" s="631"/>
      <c r="G470" s="21">
        <f t="shared" si="68"/>
        <v>0</v>
      </c>
      <c r="H470" s="631"/>
      <c r="I470" s="21">
        <f t="shared" si="69"/>
        <v>1</v>
      </c>
      <c r="J470" s="631"/>
      <c r="K470" s="21">
        <f t="shared" si="70"/>
        <v>1</v>
      </c>
      <c r="L470" s="631"/>
      <c r="M470" s="21">
        <f t="shared" si="71"/>
        <v>1</v>
      </c>
      <c r="N470" s="631"/>
      <c r="O470" s="21">
        <f t="shared" si="72"/>
        <v>1</v>
      </c>
      <c r="P470" s="631"/>
      <c r="Q470" s="21">
        <f t="shared" si="73"/>
        <v>0</v>
      </c>
      <c r="R470" s="21">
        <f t="shared" si="74"/>
        <v>0</v>
      </c>
      <c r="S470" s="307">
        <f t="shared" si="65"/>
        <v>0</v>
      </c>
      <c r="T470" s="3190">
        <f>面积表!A465</f>
        <v>0</v>
      </c>
    </row>
    <row r="471" spans="1:20">
      <c r="A471" s="3169"/>
      <c r="B471" s="52"/>
      <c r="C471" s="21">
        <f t="shared" si="66"/>
        <v>1</v>
      </c>
      <c r="D471" s="2559"/>
      <c r="E471" s="21">
        <f t="shared" si="67"/>
        <v>0.02</v>
      </c>
      <c r="F471" s="631"/>
      <c r="G471" s="21">
        <f t="shared" si="68"/>
        <v>0</v>
      </c>
      <c r="H471" s="631"/>
      <c r="I471" s="21">
        <f t="shared" si="69"/>
        <v>1</v>
      </c>
      <c r="J471" s="631"/>
      <c r="K471" s="21">
        <f t="shared" si="70"/>
        <v>1</v>
      </c>
      <c r="L471" s="631"/>
      <c r="M471" s="21">
        <f t="shared" si="71"/>
        <v>1</v>
      </c>
      <c r="N471" s="631"/>
      <c r="O471" s="21">
        <f t="shared" si="72"/>
        <v>1</v>
      </c>
      <c r="P471" s="631"/>
      <c r="Q471" s="21">
        <f t="shared" si="73"/>
        <v>0</v>
      </c>
      <c r="R471" s="21">
        <f t="shared" si="74"/>
        <v>0</v>
      </c>
      <c r="S471" s="307">
        <f t="shared" si="65"/>
        <v>0</v>
      </c>
      <c r="T471" s="3190">
        <f>面积表!A466</f>
        <v>0</v>
      </c>
    </row>
    <row r="472" spans="1:20">
      <c r="A472" s="3169"/>
      <c r="B472" s="52"/>
      <c r="C472" s="21">
        <f t="shared" si="66"/>
        <v>1</v>
      </c>
      <c r="D472" s="2559"/>
      <c r="E472" s="21">
        <f t="shared" si="67"/>
        <v>0.02</v>
      </c>
      <c r="F472" s="631"/>
      <c r="G472" s="21">
        <f t="shared" si="68"/>
        <v>0</v>
      </c>
      <c r="H472" s="631"/>
      <c r="I472" s="21">
        <f t="shared" si="69"/>
        <v>1</v>
      </c>
      <c r="J472" s="631"/>
      <c r="K472" s="21">
        <f t="shared" si="70"/>
        <v>1</v>
      </c>
      <c r="L472" s="631"/>
      <c r="M472" s="21">
        <f t="shared" si="71"/>
        <v>1</v>
      </c>
      <c r="N472" s="631"/>
      <c r="O472" s="21">
        <f t="shared" si="72"/>
        <v>1</v>
      </c>
      <c r="P472" s="631"/>
      <c r="Q472" s="21">
        <f t="shared" si="73"/>
        <v>0</v>
      </c>
      <c r="R472" s="21">
        <f t="shared" si="74"/>
        <v>0</v>
      </c>
      <c r="S472" s="307">
        <f t="shared" ref="S472:S535" si="75">ROUND(R472*B472/10000,0)</f>
        <v>0</v>
      </c>
      <c r="T472" s="3190">
        <f>面积表!A467</f>
        <v>0</v>
      </c>
    </row>
    <row r="473" spans="1:20">
      <c r="A473" s="3169"/>
      <c r="B473" s="52"/>
      <c r="C473" s="21">
        <f t="shared" si="66"/>
        <v>1</v>
      </c>
      <c r="D473" s="2559"/>
      <c r="E473" s="21">
        <f t="shared" si="67"/>
        <v>0.02</v>
      </c>
      <c r="F473" s="631"/>
      <c r="G473" s="21">
        <f t="shared" si="68"/>
        <v>0</v>
      </c>
      <c r="H473" s="631"/>
      <c r="I473" s="21">
        <f t="shared" si="69"/>
        <v>1</v>
      </c>
      <c r="J473" s="631"/>
      <c r="K473" s="21">
        <f t="shared" si="70"/>
        <v>1</v>
      </c>
      <c r="L473" s="631"/>
      <c r="M473" s="21">
        <f t="shared" si="71"/>
        <v>1</v>
      </c>
      <c r="N473" s="631"/>
      <c r="O473" s="21">
        <f t="shared" si="72"/>
        <v>1</v>
      </c>
      <c r="P473" s="631"/>
      <c r="Q473" s="21">
        <f t="shared" si="73"/>
        <v>0</v>
      </c>
      <c r="R473" s="21">
        <f t="shared" si="74"/>
        <v>0</v>
      </c>
      <c r="S473" s="307">
        <f t="shared" si="75"/>
        <v>0</v>
      </c>
      <c r="T473" s="3190">
        <f>面积表!A468</f>
        <v>0</v>
      </c>
    </row>
    <row r="474" spans="1:20">
      <c r="A474" s="3169"/>
      <c r="B474" s="52"/>
      <c r="C474" s="21">
        <f t="shared" ref="C474:C537" si="76">IF(B474="",1,(LOOKUP(B474,$3:$3,$4:$4)-LOOKUP($B$24,$3:$3,$4:$4)+100)/100)</f>
        <v>1</v>
      </c>
      <c r="D474" s="2559"/>
      <c r="E474" s="21">
        <f t="shared" ref="E474:E537" si="77">(SUMIF($5:$5,D474,$6:$6)-SUMIF($5:$5,$D$24,$6:$6)+100)/100</f>
        <v>0.02</v>
      </c>
      <c r="F474" s="631"/>
      <c r="G474" s="21">
        <f t="shared" ref="G474:G537" si="78">(SUMIF($7:$7,F474,$8:$8)-SUMIF($7:$7,$F$24,$8:$8)+100)/100</f>
        <v>0</v>
      </c>
      <c r="H474" s="631"/>
      <c r="I474" s="21">
        <f t="shared" ref="I474:I537" si="79">(SUMIF($9:$9,H474,$10:$10)-SUMIF($9:$9,$H$24,$10:$10)+100)/100</f>
        <v>1</v>
      </c>
      <c r="J474" s="631"/>
      <c r="K474" s="21">
        <f t="shared" ref="K474:K537" si="80">(SUMIF($11:$11,J474,$12:$12)-SUMIF($11:$11,$J$24,$12:$12)+100)/100</f>
        <v>1</v>
      </c>
      <c r="L474" s="631"/>
      <c r="M474" s="21">
        <f t="shared" ref="M474:M537" si="81">(SUMIF($13:$13,L474,$14:$14)-SUMIF($13:$13,$L$24,$14:$14)+100)/100</f>
        <v>1</v>
      </c>
      <c r="N474" s="631"/>
      <c r="O474" s="21">
        <f t="shared" ref="O474:O537" si="82">(SUMIF($15:$15,N474,$16:$16)-SUMIF($15:$15,$N$24,$16:$16)+100)/100</f>
        <v>1</v>
      </c>
      <c r="P474" s="631"/>
      <c r="Q474" s="21">
        <f t="shared" ref="Q474:Q537" si="83">(SUMIF($17:$17,P474,$18:$18)-SUMIF($17:$17,$P$24,$18:$18)+100)/100</f>
        <v>0</v>
      </c>
      <c r="R474" s="21">
        <f t="shared" ref="R474:R537" si="84">IF(B474="",0,ROUND($R$24*C474*E474*G474*I474*K474*M474*O474*Q474,0))</f>
        <v>0</v>
      </c>
      <c r="S474" s="307">
        <f t="shared" si="75"/>
        <v>0</v>
      </c>
      <c r="T474" s="3190">
        <f>面积表!A469</f>
        <v>0</v>
      </c>
    </row>
    <row r="475" spans="1:20">
      <c r="A475" s="3169"/>
      <c r="B475" s="52"/>
      <c r="C475" s="21">
        <f t="shared" si="76"/>
        <v>1</v>
      </c>
      <c r="D475" s="2559"/>
      <c r="E475" s="21">
        <f t="shared" si="77"/>
        <v>0.02</v>
      </c>
      <c r="F475" s="631"/>
      <c r="G475" s="21">
        <f t="shared" si="78"/>
        <v>0</v>
      </c>
      <c r="H475" s="631"/>
      <c r="I475" s="21">
        <f t="shared" si="79"/>
        <v>1</v>
      </c>
      <c r="J475" s="631"/>
      <c r="K475" s="21">
        <f t="shared" si="80"/>
        <v>1</v>
      </c>
      <c r="L475" s="631"/>
      <c r="M475" s="21">
        <f t="shared" si="81"/>
        <v>1</v>
      </c>
      <c r="N475" s="631"/>
      <c r="O475" s="21">
        <f t="shared" si="82"/>
        <v>1</v>
      </c>
      <c r="P475" s="631"/>
      <c r="Q475" s="21">
        <f t="shared" si="83"/>
        <v>0</v>
      </c>
      <c r="R475" s="21">
        <f t="shared" si="84"/>
        <v>0</v>
      </c>
      <c r="S475" s="307">
        <f t="shared" si="75"/>
        <v>0</v>
      </c>
      <c r="T475" s="3190">
        <f>面积表!A470</f>
        <v>0</v>
      </c>
    </row>
    <row r="476" spans="1:20">
      <c r="A476" s="3169"/>
      <c r="B476" s="52"/>
      <c r="C476" s="21">
        <f t="shared" si="76"/>
        <v>1</v>
      </c>
      <c r="D476" s="2559"/>
      <c r="E476" s="21">
        <f t="shared" si="77"/>
        <v>0.02</v>
      </c>
      <c r="F476" s="631"/>
      <c r="G476" s="21">
        <f t="shared" si="78"/>
        <v>0</v>
      </c>
      <c r="H476" s="631"/>
      <c r="I476" s="21">
        <f t="shared" si="79"/>
        <v>1</v>
      </c>
      <c r="J476" s="631"/>
      <c r="K476" s="21">
        <f t="shared" si="80"/>
        <v>1</v>
      </c>
      <c r="L476" s="631"/>
      <c r="M476" s="21">
        <f t="shared" si="81"/>
        <v>1</v>
      </c>
      <c r="N476" s="631"/>
      <c r="O476" s="21">
        <f t="shared" si="82"/>
        <v>1</v>
      </c>
      <c r="P476" s="631"/>
      <c r="Q476" s="21">
        <f t="shared" si="83"/>
        <v>0</v>
      </c>
      <c r="R476" s="21">
        <f t="shared" si="84"/>
        <v>0</v>
      </c>
      <c r="S476" s="307">
        <f t="shared" si="75"/>
        <v>0</v>
      </c>
      <c r="T476" s="3190">
        <f>面积表!A471</f>
        <v>0</v>
      </c>
    </row>
    <row r="477" spans="1:20">
      <c r="A477" s="3169"/>
      <c r="B477" s="52"/>
      <c r="C477" s="21">
        <f t="shared" si="76"/>
        <v>1</v>
      </c>
      <c r="D477" s="2559"/>
      <c r="E477" s="21">
        <f t="shared" si="77"/>
        <v>0.02</v>
      </c>
      <c r="F477" s="631"/>
      <c r="G477" s="21">
        <f t="shared" si="78"/>
        <v>0</v>
      </c>
      <c r="H477" s="631"/>
      <c r="I477" s="21">
        <f t="shared" si="79"/>
        <v>1</v>
      </c>
      <c r="J477" s="631"/>
      <c r="K477" s="21">
        <f t="shared" si="80"/>
        <v>1</v>
      </c>
      <c r="L477" s="631"/>
      <c r="M477" s="21">
        <f t="shared" si="81"/>
        <v>1</v>
      </c>
      <c r="N477" s="631"/>
      <c r="O477" s="21">
        <f t="shared" si="82"/>
        <v>1</v>
      </c>
      <c r="P477" s="631"/>
      <c r="Q477" s="21">
        <f t="shared" si="83"/>
        <v>0</v>
      </c>
      <c r="R477" s="21">
        <f t="shared" si="84"/>
        <v>0</v>
      </c>
      <c r="S477" s="307">
        <f t="shared" si="75"/>
        <v>0</v>
      </c>
      <c r="T477" s="3190">
        <f>面积表!A472</f>
        <v>0</v>
      </c>
    </row>
    <row r="478" spans="1:20">
      <c r="A478" s="3169"/>
      <c r="B478" s="52"/>
      <c r="C478" s="21">
        <f t="shared" si="76"/>
        <v>1</v>
      </c>
      <c r="D478" s="2559"/>
      <c r="E478" s="21">
        <f t="shared" si="77"/>
        <v>0.02</v>
      </c>
      <c r="F478" s="631"/>
      <c r="G478" s="21">
        <f t="shared" si="78"/>
        <v>0</v>
      </c>
      <c r="H478" s="631"/>
      <c r="I478" s="21">
        <f t="shared" si="79"/>
        <v>1</v>
      </c>
      <c r="J478" s="631"/>
      <c r="K478" s="21">
        <f t="shared" si="80"/>
        <v>1</v>
      </c>
      <c r="L478" s="631"/>
      <c r="M478" s="21">
        <f t="shared" si="81"/>
        <v>1</v>
      </c>
      <c r="N478" s="631"/>
      <c r="O478" s="21">
        <f t="shared" si="82"/>
        <v>1</v>
      </c>
      <c r="P478" s="631"/>
      <c r="Q478" s="21">
        <f t="shared" si="83"/>
        <v>0</v>
      </c>
      <c r="R478" s="21">
        <f t="shared" si="84"/>
        <v>0</v>
      </c>
      <c r="S478" s="307">
        <f t="shared" si="75"/>
        <v>0</v>
      </c>
      <c r="T478" s="3190">
        <f>面积表!A473</f>
        <v>0</v>
      </c>
    </row>
    <row r="479" spans="1:20">
      <c r="A479" s="3169"/>
      <c r="B479" s="52"/>
      <c r="C479" s="21">
        <f t="shared" si="76"/>
        <v>1</v>
      </c>
      <c r="D479" s="2559"/>
      <c r="E479" s="21">
        <f t="shared" si="77"/>
        <v>0.02</v>
      </c>
      <c r="F479" s="631"/>
      <c r="G479" s="21">
        <f t="shared" si="78"/>
        <v>0</v>
      </c>
      <c r="H479" s="631"/>
      <c r="I479" s="21">
        <f t="shared" si="79"/>
        <v>1</v>
      </c>
      <c r="J479" s="631"/>
      <c r="K479" s="21">
        <f t="shared" si="80"/>
        <v>1</v>
      </c>
      <c r="L479" s="631"/>
      <c r="M479" s="21">
        <f t="shared" si="81"/>
        <v>1</v>
      </c>
      <c r="N479" s="631"/>
      <c r="O479" s="21">
        <f t="shared" si="82"/>
        <v>1</v>
      </c>
      <c r="P479" s="631"/>
      <c r="Q479" s="21">
        <f t="shared" si="83"/>
        <v>0</v>
      </c>
      <c r="R479" s="21">
        <f t="shared" si="84"/>
        <v>0</v>
      </c>
      <c r="S479" s="307">
        <f t="shared" si="75"/>
        <v>0</v>
      </c>
      <c r="T479" s="3190">
        <f>面积表!A474</f>
        <v>0</v>
      </c>
    </row>
    <row r="480" spans="1:20">
      <c r="A480" s="3169"/>
      <c r="B480" s="52"/>
      <c r="C480" s="21">
        <f t="shared" si="76"/>
        <v>1</v>
      </c>
      <c r="D480" s="2559"/>
      <c r="E480" s="21">
        <f t="shared" si="77"/>
        <v>0.02</v>
      </c>
      <c r="F480" s="631"/>
      <c r="G480" s="21">
        <f t="shared" si="78"/>
        <v>0</v>
      </c>
      <c r="H480" s="631"/>
      <c r="I480" s="21">
        <f t="shared" si="79"/>
        <v>1</v>
      </c>
      <c r="J480" s="631"/>
      <c r="K480" s="21">
        <f t="shared" si="80"/>
        <v>1</v>
      </c>
      <c r="L480" s="631"/>
      <c r="M480" s="21">
        <f t="shared" si="81"/>
        <v>1</v>
      </c>
      <c r="N480" s="631"/>
      <c r="O480" s="21">
        <f t="shared" si="82"/>
        <v>1</v>
      </c>
      <c r="P480" s="631"/>
      <c r="Q480" s="21">
        <f t="shared" si="83"/>
        <v>0</v>
      </c>
      <c r="R480" s="21">
        <f t="shared" si="84"/>
        <v>0</v>
      </c>
      <c r="S480" s="307">
        <f t="shared" si="75"/>
        <v>0</v>
      </c>
      <c r="T480" s="3190">
        <f>面积表!A475</f>
        <v>0</v>
      </c>
    </row>
    <row r="481" spans="1:20">
      <c r="A481" s="3169"/>
      <c r="B481" s="52"/>
      <c r="C481" s="21">
        <f t="shared" si="76"/>
        <v>1</v>
      </c>
      <c r="D481" s="2559"/>
      <c r="E481" s="21">
        <f t="shared" si="77"/>
        <v>0.02</v>
      </c>
      <c r="F481" s="631"/>
      <c r="G481" s="21">
        <f t="shared" si="78"/>
        <v>0</v>
      </c>
      <c r="H481" s="631"/>
      <c r="I481" s="21">
        <f t="shared" si="79"/>
        <v>1</v>
      </c>
      <c r="J481" s="631"/>
      <c r="K481" s="21">
        <f t="shared" si="80"/>
        <v>1</v>
      </c>
      <c r="L481" s="631"/>
      <c r="M481" s="21">
        <f t="shared" si="81"/>
        <v>1</v>
      </c>
      <c r="N481" s="631"/>
      <c r="O481" s="21">
        <f t="shared" si="82"/>
        <v>1</v>
      </c>
      <c r="P481" s="631"/>
      <c r="Q481" s="21">
        <f t="shared" si="83"/>
        <v>0</v>
      </c>
      <c r="R481" s="21">
        <f t="shared" si="84"/>
        <v>0</v>
      </c>
      <c r="S481" s="307">
        <f t="shared" si="75"/>
        <v>0</v>
      </c>
      <c r="T481" s="3190">
        <f>面积表!A476</f>
        <v>0</v>
      </c>
    </row>
    <row r="482" spans="1:20">
      <c r="A482" s="3169"/>
      <c r="B482" s="52"/>
      <c r="C482" s="21">
        <f t="shared" si="76"/>
        <v>1</v>
      </c>
      <c r="D482" s="2559"/>
      <c r="E482" s="21">
        <f t="shared" si="77"/>
        <v>0.02</v>
      </c>
      <c r="F482" s="631"/>
      <c r="G482" s="21">
        <f t="shared" si="78"/>
        <v>0</v>
      </c>
      <c r="H482" s="631"/>
      <c r="I482" s="21">
        <f t="shared" si="79"/>
        <v>1</v>
      </c>
      <c r="J482" s="631"/>
      <c r="K482" s="21">
        <f t="shared" si="80"/>
        <v>1</v>
      </c>
      <c r="L482" s="631"/>
      <c r="M482" s="21">
        <f t="shared" si="81"/>
        <v>1</v>
      </c>
      <c r="N482" s="631"/>
      <c r="O482" s="21">
        <f t="shared" si="82"/>
        <v>1</v>
      </c>
      <c r="P482" s="631"/>
      <c r="Q482" s="21">
        <f t="shared" si="83"/>
        <v>0</v>
      </c>
      <c r="R482" s="21">
        <f t="shared" si="84"/>
        <v>0</v>
      </c>
      <c r="S482" s="307">
        <f t="shared" si="75"/>
        <v>0</v>
      </c>
      <c r="T482" s="3190">
        <f>面积表!A477</f>
        <v>0</v>
      </c>
    </row>
    <row r="483" spans="1:20">
      <c r="A483" s="3169"/>
      <c r="B483" s="52"/>
      <c r="C483" s="21">
        <f t="shared" si="76"/>
        <v>1</v>
      </c>
      <c r="D483" s="2559"/>
      <c r="E483" s="21">
        <f t="shared" si="77"/>
        <v>0.02</v>
      </c>
      <c r="F483" s="631"/>
      <c r="G483" s="21">
        <f t="shared" si="78"/>
        <v>0</v>
      </c>
      <c r="H483" s="631"/>
      <c r="I483" s="21">
        <f t="shared" si="79"/>
        <v>1</v>
      </c>
      <c r="J483" s="631"/>
      <c r="K483" s="21">
        <f t="shared" si="80"/>
        <v>1</v>
      </c>
      <c r="L483" s="631"/>
      <c r="M483" s="21">
        <f t="shared" si="81"/>
        <v>1</v>
      </c>
      <c r="N483" s="631"/>
      <c r="O483" s="21">
        <f t="shared" si="82"/>
        <v>1</v>
      </c>
      <c r="P483" s="631"/>
      <c r="Q483" s="21">
        <f t="shared" si="83"/>
        <v>0</v>
      </c>
      <c r="R483" s="21">
        <f t="shared" si="84"/>
        <v>0</v>
      </c>
      <c r="S483" s="307">
        <f t="shared" si="75"/>
        <v>0</v>
      </c>
      <c r="T483" s="3190">
        <f>面积表!A478</f>
        <v>0</v>
      </c>
    </row>
    <row r="484" spans="1:20">
      <c r="A484" s="3169"/>
      <c r="B484" s="52"/>
      <c r="C484" s="21">
        <f t="shared" si="76"/>
        <v>1</v>
      </c>
      <c r="D484" s="2559"/>
      <c r="E484" s="21">
        <f t="shared" si="77"/>
        <v>0.02</v>
      </c>
      <c r="F484" s="631"/>
      <c r="G484" s="21">
        <f t="shared" si="78"/>
        <v>0</v>
      </c>
      <c r="H484" s="631"/>
      <c r="I484" s="21">
        <f t="shared" si="79"/>
        <v>1</v>
      </c>
      <c r="J484" s="631"/>
      <c r="K484" s="21">
        <f t="shared" si="80"/>
        <v>1</v>
      </c>
      <c r="L484" s="631"/>
      <c r="M484" s="21">
        <f t="shared" si="81"/>
        <v>1</v>
      </c>
      <c r="N484" s="631"/>
      <c r="O484" s="21">
        <f t="shared" si="82"/>
        <v>1</v>
      </c>
      <c r="P484" s="631"/>
      <c r="Q484" s="21">
        <f t="shared" si="83"/>
        <v>0</v>
      </c>
      <c r="R484" s="21">
        <f t="shared" si="84"/>
        <v>0</v>
      </c>
      <c r="S484" s="307">
        <f t="shared" si="75"/>
        <v>0</v>
      </c>
      <c r="T484" s="3190">
        <f>面积表!A479</f>
        <v>0</v>
      </c>
    </row>
    <row r="485" spans="1:20">
      <c r="A485" s="3169"/>
      <c r="B485" s="52"/>
      <c r="C485" s="21">
        <f t="shared" si="76"/>
        <v>1</v>
      </c>
      <c r="D485" s="2559"/>
      <c r="E485" s="21">
        <f t="shared" si="77"/>
        <v>0.02</v>
      </c>
      <c r="F485" s="631"/>
      <c r="G485" s="21">
        <f t="shared" si="78"/>
        <v>0</v>
      </c>
      <c r="H485" s="631"/>
      <c r="I485" s="21">
        <f t="shared" si="79"/>
        <v>1</v>
      </c>
      <c r="J485" s="631"/>
      <c r="K485" s="21">
        <f t="shared" si="80"/>
        <v>1</v>
      </c>
      <c r="L485" s="631"/>
      <c r="M485" s="21">
        <f t="shared" si="81"/>
        <v>1</v>
      </c>
      <c r="N485" s="631"/>
      <c r="O485" s="21">
        <f t="shared" si="82"/>
        <v>1</v>
      </c>
      <c r="P485" s="631"/>
      <c r="Q485" s="21">
        <f t="shared" si="83"/>
        <v>0</v>
      </c>
      <c r="R485" s="21">
        <f t="shared" si="84"/>
        <v>0</v>
      </c>
      <c r="S485" s="307">
        <f t="shared" si="75"/>
        <v>0</v>
      </c>
      <c r="T485" s="3190">
        <f>面积表!A480</f>
        <v>0</v>
      </c>
    </row>
    <row r="486" spans="1:20">
      <c r="A486" s="3169"/>
      <c r="B486" s="52"/>
      <c r="C486" s="21">
        <f t="shared" si="76"/>
        <v>1</v>
      </c>
      <c r="D486" s="2559"/>
      <c r="E486" s="21">
        <f t="shared" si="77"/>
        <v>0.02</v>
      </c>
      <c r="F486" s="631"/>
      <c r="G486" s="21">
        <f t="shared" si="78"/>
        <v>0</v>
      </c>
      <c r="H486" s="631"/>
      <c r="I486" s="21">
        <f t="shared" si="79"/>
        <v>1</v>
      </c>
      <c r="J486" s="631"/>
      <c r="K486" s="21">
        <f t="shared" si="80"/>
        <v>1</v>
      </c>
      <c r="L486" s="631"/>
      <c r="M486" s="21">
        <f t="shared" si="81"/>
        <v>1</v>
      </c>
      <c r="N486" s="631"/>
      <c r="O486" s="21">
        <f t="shared" si="82"/>
        <v>1</v>
      </c>
      <c r="P486" s="631"/>
      <c r="Q486" s="21">
        <f t="shared" si="83"/>
        <v>0</v>
      </c>
      <c r="R486" s="21">
        <f t="shared" si="84"/>
        <v>0</v>
      </c>
      <c r="S486" s="307">
        <f t="shared" si="75"/>
        <v>0</v>
      </c>
      <c r="T486" s="3190">
        <f>面积表!A481</f>
        <v>0</v>
      </c>
    </row>
    <row r="487" spans="1:20">
      <c r="A487" s="3169"/>
      <c r="B487" s="52"/>
      <c r="C487" s="21">
        <f t="shared" si="76"/>
        <v>1</v>
      </c>
      <c r="D487" s="2559"/>
      <c r="E487" s="21">
        <f t="shared" si="77"/>
        <v>0.02</v>
      </c>
      <c r="F487" s="631"/>
      <c r="G487" s="21">
        <f t="shared" si="78"/>
        <v>0</v>
      </c>
      <c r="H487" s="631"/>
      <c r="I487" s="21">
        <f t="shared" si="79"/>
        <v>1</v>
      </c>
      <c r="J487" s="631"/>
      <c r="K487" s="21">
        <f t="shared" si="80"/>
        <v>1</v>
      </c>
      <c r="L487" s="631"/>
      <c r="M487" s="21">
        <f t="shared" si="81"/>
        <v>1</v>
      </c>
      <c r="N487" s="631"/>
      <c r="O487" s="21">
        <f t="shared" si="82"/>
        <v>1</v>
      </c>
      <c r="P487" s="631"/>
      <c r="Q487" s="21">
        <f t="shared" si="83"/>
        <v>0</v>
      </c>
      <c r="R487" s="21">
        <f t="shared" si="84"/>
        <v>0</v>
      </c>
      <c r="S487" s="307">
        <f t="shared" si="75"/>
        <v>0</v>
      </c>
      <c r="T487" s="3190">
        <f>面积表!A482</f>
        <v>0</v>
      </c>
    </row>
    <row r="488" spans="1:20">
      <c r="A488" s="3169"/>
      <c r="B488" s="52"/>
      <c r="C488" s="21">
        <f t="shared" si="76"/>
        <v>1</v>
      </c>
      <c r="D488" s="2559"/>
      <c r="E488" s="21">
        <f t="shared" si="77"/>
        <v>0.02</v>
      </c>
      <c r="F488" s="631"/>
      <c r="G488" s="21">
        <f t="shared" si="78"/>
        <v>0</v>
      </c>
      <c r="H488" s="631"/>
      <c r="I488" s="21">
        <f t="shared" si="79"/>
        <v>1</v>
      </c>
      <c r="J488" s="631"/>
      <c r="K488" s="21">
        <f t="shared" si="80"/>
        <v>1</v>
      </c>
      <c r="L488" s="631"/>
      <c r="M488" s="21">
        <f t="shared" si="81"/>
        <v>1</v>
      </c>
      <c r="N488" s="631"/>
      <c r="O488" s="21">
        <f t="shared" si="82"/>
        <v>1</v>
      </c>
      <c r="P488" s="631"/>
      <c r="Q488" s="21">
        <f t="shared" si="83"/>
        <v>0</v>
      </c>
      <c r="R488" s="21">
        <f t="shared" si="84"/>
        <v>0</v>
      </c>
      <c r="S488" s="307">
        <f t="shared" si="75"/>
        <v>0</v>
      </c>
      <c r="T488" s="3190">
        <f>面积表!A483</f>
        <v>0</v>
      </c>
    </row>
    <row r="489" spans="1:20">
      <c r="A489" s="3169"/>
      <c r="B489" s="52"/>
      <c r="C489" s="21">
        <f t="shared" si="76"/>
        <v>1</v>
      </c>
      <c r="D489" s="2559"/>
      <c r="E489" s="21">
        <f t="shared" si="77"/>
        <v>0.02</v>
      </c>
      <c r="F489" s="631"/>
      <c r="G489" s="21">
        <f t="shared" si="78"/>
        <v>0</v>
      </c>
      <c r="H489" s="631"/>
      <c r="I489" s="21">
        <f t="shared" si="79"/>
        <v>1</v>
      </c>
      <c r="J489" s="631"/>
      <c r="K489" s="21">
        <f t="shared" si="80"/>
        <v>1</v>
      </c>
      <c r="L489" s="631"/>
      <c r="M489" s="21">
        <f t="shared" si="81"/>
        <v>1</v>
      </c>
      <c r="N489" s="631"/>
      <c r="O489" s="21">
        <f t="shared" si="82"/>
        <v>1</v>
      </c>
      <c r="P489" s="631"/>
      <c r="Q489" s="21">
        <f t="shared" si="83"/>
        <v>0</v>
      </c>
      <c r="R489" s="21">
        <f t="shared" si="84"/>
        <v>0</v>
      </c>
      <c r="S489" s="307">
        <f t="shared" si="75"/>
        <v>0</v>
      </c>
      <c r="T489" s="3190">
        <f>面积表!A484</f>
        <v>0</v>
      </c>
    </row>
    <row r="490" spans="1:20">
      <c r="A490" s="3169"/>
      <c r="B490" s="52"/>
      <c r="C490" s="21">
        <f t="shared" si="76"/>
        <v>1</v>
      </c>
      <c r="D490" s="2559"/>
      <c r="E490" s="21">
        <f t="shared" si="77"/>
        <v>0.02</v>
      </c>
      <c r="F490" s="631"/>
      <c r="G490" s="21">
        <f t="shared" si="78"/>
        <v>0</v>
      </c>
      <c r="H490" s="631"/>
      <c r="I490" s="21">
        <f t="shared" si="79"/>
        <v>1</v>
      </c>
      <c r="J490" s="631"/>
      <c r="K490" s="21">
        <f t="shared" si="80"/>
        <v>1</v>
      </c>
      <c r="L490" s="631"/>
      <c r="M490" s="21">
        <f t="shared" si="81"/>
        <v>1</v>
      </c>
      <c r="N490" s="631"/>
      <c r="O490" s="21">
        <f t="shared" si="82"/>
        <v>1</v>
      </c>
      <c r="P490" s="631"/>
      <c r="Q490" s="21">
        <f t="shared" si="83"/>
        <v>0</v>
      </c>
      <c r="R490" s="21">
        <f t="shared" si="84"/>
        <v>0</v>
      </c>
      <c r="S490" s="307">
        <f t="shared" si="75"/>
        <v>0</v>
      </c>
      <c r="T490" s="3190">
        <f>面积表!A485</f>
        <v>0</v>
      </c>
    </row>
    <row r="491" spans="1:20">
      <c r="A491" s="3169"/>
      <c r="B491" s="52"/>
      <c r="C491" s="21">
        <f t="shared" si="76"/>
        <v>1</v>
      </c>
      <c r="D491" s="2559"/>
      <c r="E491" s="21">
        <f t="shared" si="77"/>
        <v>0.02</v>
      </c>
      <c r="F491" s="631"/>
      <c r="G491" s="21">
        <f t="shared" si="78"/>
        <v>0</v>
      </c>
      <c r="H491" s="631"/>
      <c r="I491" s="21">
        <f t="shared" si="79"/>
        <v>1</v>
      </c>
      <c r="J491" s="631"/>
      <c r="K491" s="21">
        <f t="shared" si="80"/>
        <v>1</v>
      </c>
      <c r="L491" s="631"/>
      <c r="M491" s="21">
        <f t="shared" si="81"/>
        <v>1</v>
      </c>
      <c r="N491" s="631"/>
      <c r="O491" s="21">
        <f t="shared" si="82"/>
        <v>1</v>
      </c>
      <c r="P491" s="631"/>
      <c r="Q491" s="21">
        <f t="shared" si="83"/>
        <v>0</v>
      </c>
      <c r="R491" s="21">
        <f t="shared" si="84"/>
        <v>0</v>
      </c>
      <c r="S491" s="307">
        <f t="shared" si="75"/>
        <v>0</v>
      </c>
      <c r="T491" s="3190">
        <f>面积表!A486</f>
        <v>0</v>
      </c>
    </row>
    <row r="492" spans="1:20">
      <c r="A492" s="3169"/>
      <c r="B492" s="52"/>
      <c r="C492" s="21">
        <f t="shared" si="76"/>
        <v>1</v>
      </c>
      <c r="D492" s="2559"/>
      <c r="E492" s="21">
        <f t="shared" si="77"/>
        <v>0.02</v>
      </c>
      <c r="F492" s="631"/>
      <c r="G492" s="21">
        <f t="shared" si="78"/>
        <v>0</v>
      </c>
      <c r="H492" s="631"/>
      <c r="I492" s="21">
        <f t="shared" si="79"/>
        <v>1</v>
      </c>
      <c r="J492" s="631"/>
      <c r="K492" s="21">
        <f t="shared" si="80"/>
        <v>1</v>
      </c>
      <c r="L492" s="631"/>
      <c r="M492" s="21">
        <f t="shared" si="81"/>
        <v>1</v>
      </c>
      <c r="N492" s="631"/>
      <c r="O492" s="21">
        <f t="shared" si="82"/>
        <v>1</v>
      </c>
      <c r="P492" s="631"/>
      <c r="Q492" s="21">
        <f t="shared" si="83"/>
        <v>0</v>
      </c>
      <c r="R492" s="21">
        <f t="shared" si="84"/>
        <v>0</v>
      </c>
      <c r="S492" s="307">
        <f t="shared" si="75"/>
        <v>0</v>
      </c>
      <c r="T492" s="3190">
        <f>面积表!A487</f>
        <v>0</v>
      </c>
    </row>
    <row r="493" spans="1:20">
      <c r="A493" s="3169"/>
      <c r="B493" s="52"/>
      <c r="C493" s="21">
        <f t="shared" si="76"/>
        <v>1</v>
      </c>
      <c r="D493" s="2559"/>
      <c r="E493" s="21">
        <f t="shared" si="77"/>
        <v>0.02</v>
      </c>
      <c r="F493" s="631"/>
      <c r="G493" s="21">
        <f t="shared" si="78"/>
        <v>0</v>
      </c>
      <c r="H493" s="631"/>
      <c r="I493" s="21">
        <f t="shared" si="79"/>
        <v>1</v>
      </c>
      <c r="J493" s="631"/>
      <c r="K493" s="21">
        <f t="shared" si="80"/>
        <v>1</v>
      </c>
      <c r="L493" s="631"/>
      <c r="M493" s="21">
        <f t="shared" si="81"/>
        <v>1</v>
      </c>
      <c r="N493" s="631"/>
      <c r="O493" s="21">
        <f t="shared" si="82"/>
        <v>1</v>
      </c>
      <c r="P493" s="631"/>
      <c r="Q493" s="21">
        <f t="shared" si="83"/>
        <v>0</v>
      </c>
      <c r="R493" s="21">
        <f t="shared" si="84"/>
        <v>0</v>
      </c>
      <c r="S493" s="307">
        <f t="shared" si="75"/>
        <v>0</v>
      </c>
      <c r="T493" s="3190">
        <f>面积表!A488</f>
        <v>0</v>
      </c>
    </row>
    <row r="494" spans="1:20">
      <c r="A494" s="3169"/>
      <c r="B494" s="52"/>
      <c r="C494" s="21">
        <f t="shared" si="76"/>
        <v>1</v>
      </c>
      <c r="D494" s="2559"/>
      <c r="E494" s="21">
        <f t="shared" si="77"/>
        <v>0.02</v>
      </c>
      <c r="F494" s="631"/>
      <c r="G494" s="21">
        <f t="shared" si="78"/>
        <v>0</v>
      </c>
      <c r="H494" s="631"/>
      <c r="I494" s="21">
        <f t="shared" si="79"/>
        <v>1</v>
      </c>
      <c r="J494" s="631"/>
      <c r="K494" s="21">
        <f t="shared" si="80"/>
        <v>1</v>
      </c>
      <c r="L494" s="631"/>
      <c r="M494" s="21">
        <f t="shared" si="81"/>
        <v>1</v>
      </c>
      <c r="N494" s="631"/>
      <c r="O494" s="21">
        <f t="shared" si="82"/>
        <v>1</v>
      </c>
      <c r="P494" s="631"/>
      <c r="Q494" s="21">
        <f t="shared" si="83"/>
        <v>0</v>
      </c>
      <c r="R494" s="21">
        <f t="shared" si="84"/>
        <v>0</v>
      </c>
      <c r="S494" s="307">
        <f t="shared" si="75"/>
        <v>0</v>
      </c>
      <c r="T494" s="3190">
        <f>面积表!A489</f>
        <v>0</v>
      </c>
    </row>
    <row r="495" spans="1:20">
      <c r="A495" s="3169"/>
      <c r="B495" s="52"/>
      <c r="C495" s="21">
        <f t="shared" si="76"/>
        <v>1</v>
      </c>
      <c r="D495" s="2559"/>
      <c r="E495" s="21">
        <f t="shared" si="77"/>
        <v>0.02</v>
      </c>
      <c r="F495" s="631"/>
      <c r="G495" s="21">
        <f t="shared" si="78"/>
        <v>0</v>
      </c>
      <c r="H495" s="631"/>
      <c r="I495" s="21">
        <f t="shared" si="79"/>
        <v>1</v>
      </c>
      <c r="J495" s="631"/>
      <c r="K495" s="21">
        <f t="shared" si="80"/>
        <v>1</v>
      </c>
      <c r="L495" s="631"/>
      <c r="M495" s="21">
        <f t="shared" si="81"/>
        <v>1</v>
      </c>
      <c r="N495" s="631"/>
      <c r="O495" s="21">
        <f t="shared" si="82"/>
        <v>1</v>
      </c>
      <c r="P495" s="631"/>
      <c r="Q495" s="21">
        <f t="shared" si="83"/>
        <v>0</v>
      </c>
      <c r="R495" s="21">
        <f t="shared" si="84"/>
        <v>0</v>
      </c>
      <c r="S495" s="307">
        <f t="shared" si="75"/>
        <v>0</v>
      </c>
      <c r="T495" s="3190">
        <f>面积表!A490</f>
        <v>0</v>
      </c>
    </row>
    <row r="496" spans="1:20">
      <c r="A496" s="3169"/>
      <c r="B496" s="52"/>
      <c r="C496" s="21">
        <f t="shared" si="76"/>
        <v>1</v>
      </c>
      <c r="D496" s="2559"/>
      <c r="E496" s="21">
        <f t="shared" si="77"/>
        <v>0.02</v>
      </c>
      <c r="F496" s="631"/>
      <c r="G496" s="21">
        <f t="shared" si="78"/>
        <v>0</v>
      </c>
      <c r="H496" s="631"/>
      <c r="I496" s="21">
        <f t="shared" si="79"/>
        <v>1</v>
      </c>
      <c r="J496" s="631"/>
      <c r="K496" s="21">
        <f t="shared" si="80"/>
        <v>1</v>
      </c>
      <c r="L496" s="631"/>
      <c r="M496" s="21">
        <f t="shared" si="81"/>
        <v>1</v>
      </c>
      <c r="N496" s="631"/>
      <c r="O496" s="21">
        <f t="shared" si="82"/>
        <v>1</v>
      </c>
      <c r="P496" s="631"/>
      <c r="Q496" s="21">
        <f t="shared" si="83"/>
        <v>0</v>
      </c>
      <c r="R496" s="21">
        <f t="shared" si="84"/>
        <v>0</v>
      </c>
      <c r="S496" s="307">
        <f t="shared" si="75"/>
        <v>0</v>
      </c>
      <c r="T496" s="3190">
        <f>面积表!A491</f>
        <v>0</v>
      </c>
    </row>
    <row r="497" spans="1:20">
      <c r="A497" s="3169"/>
      <c r="B497" s="52"/>
      <c r="C497" s="21">
        <f t="shared" si="76"/>
        <v>1</v>
      </c>
      <c r="D497" s="2559"/>
      <c r="E497" s="21">
        <f t="shared" si="77"/>
        <v>0.02</v>
      </c>
      <c r="F497" s="631"/>
      <c r="G497" s="21">
        <f t="shared" si="78"/>
        <v>0</v>
      </c>
      <c r="H497" s="631"/>
      <c r="I497" s="21">
        <f t="shared" si="79"/>
        <v>1</v>
      </c>
      <c r="J497" s="631"/>
      <c r="K497" s="21">
        <f t="shared" si="80"/>
        <v>1</v>
      </c>
      <c r="L497" s="631"/>
      <c r="M497" s="21">
        <f t="shared" si="81"/>
        <v>1</v>
      </c>
      <c r="N497" s="631"/>
      <c r="O497" s="21">
        <f t="shared" si="82"/>
        <v>1</v>
      </c>
      <c r="P497" s="631"/>
      <c r="Q497" s="21">
        <f t="shared" si="83"/>
        <v>0</v>
      </c>
      <c r="R497" s="21">
        <f t="shared" si="84"/>
        <v>0</v>
      </c>
      <c r="S497" s="307">
        <f t="shared" si="75"/>
        <v>0</v>
      </c>
      <c r="T497" s="3190">
        <f>面积表!A492</f>
        <v>0</v>
      </c>
    </row>
    <row r="498" spans="1:20">
      <c r="A498" s="3169"/>
      <c r="B498" s="52"/>
      <c r="C498" s="21">
        <f t="shared" si="76"/>
        <v>1</v>
      </c>
      <c r="D498" s="2559"/>
      <c r="E498" s="21">
        <f t="shared" si="77"/>
        <v>0.02</v>
      </c>
      <c r="F498" s="631"/>
      <c r="G498" s="21">
        <f t="shared" si="78"/>
        <v>0</v>
      </c>
      <c r="H498" s="631"/>
      <c r="I498" s="21">
        <f t="shared" si="79"/>
        <v>1</v>
      </c>
      <c r="J498" s="631"/>
      <c r="K498" s="21">
        <f t="shared" si="80"/>
        <v>1</v>
      </c>
      <c r="L498" s="631"/>
      <c r="M498" s="21">
        <f t="shared" si="81"/>
        <v>1</v>
      </c>
      <c r="N498" s="631"/>
      <c r="O498" s="21">
        <f t="shared" si="82"/>
        <v>1</v>
      </c>
      <c r="P498" s="631"/>
      <c r="Q498" s="21">
        <f t="shared" si="83"/>
        <v>0</v>
      </c>
      <c r="R498" s="21">
        <f t="shared" si="84"/>
        <v>0</v>
      </c>
      <c r="S498" s="307">
        <f t="shared" si="75"/>
        <v>0</v>
      </c>
      <c r="T498" s="3190">
        <f>面积表!A493</f>
        <v>0</v>
      </c>
    </row>
    <row r="499" spans="1:20">
      <c r="A499" s="3169"/>
      <c r="B499" s="52"/>
      <c r="C499" s="21">
        <f t="shared" si="76"/>
        <v>1</v>
      </c>
      <c r="D499" s="2559"/>
      <c r="E499" s="21">
        <f t="shared" si="77"/>
        <v>0.02</v>
      </c>
      <c r="F499" s="631"/>
      <c r="G499" s="21">
        <f t="shared" si="78"/>
        <v>0</v>
      </c>
      <c r="H499" s="631"/>
      <c r="I499" s="21">
        <f t="shared" si="79"/>
        <v>1</v>
      </c>
      <c r="J499" s="631"/>
      <c r="K499" s="21">
        <f t="shared" si="80"/>
        <v>1</v>
      </c>
      <c r="L499" s="631"/>
      <c r="M499" s="21">
        <f t="shared" si="81"/>
        <v>1</v>
      </c>
      <c r="N499" s="631"/>
      <c r="O499" s="21">
        <f t="shared" si="82"/>
        <v>1</v>
      </c>
      <c r="P499" s="631"/>
      <c r="Q499" s="21">
        <f t="shared" si="83"/>
        <v>0</v>
      </c>
      <c r="R499" s="21">
        <f t="shared" si="84"/>
        <v>0</v>
      </c>
      <c r="S499" s="307">
        <f t="shared" si="75"/>
        <v>0</v>
      </c>
      <c r="T499" s="3190">
        <f>面积表!A494</f>
        <v>0</v>
      </c>
    </row>
    <row r="500" spans="1:20">
      <c r="A500" s="3169"/>
      <c r="B500" s="52"/>
      <c r="C500" s="21">
        <f t="shared" si="76"/>
        <v>1</v>
      </c>
      <c r="D500" s="2559"/>
      <c r="E500" s="21">
        <f t="shared" si="77"/>
        <v>0.02</v>
      </c>
      <c r="F500" s="631"/>
      <c r="G500" s="21">
        <f t="shared" si="78"/>
        <v>0</v>
      </c>
      <c r="H500" s="631"/>
      <c r="I500" s="21">
        <f t="shared" si="79"/>
        <v>1</v>
      </c>
      <c r="J500" s="631"/>
      <c r="K500" s="21">
        <f t="shared" si="80"/>
        <v>1</v>
      </c>
      <c r="L500" s="631"/>
      <c r="M500" s="21">
        <f t="shared" si="81"/>
        <v>1</v>
      </c>
      <c r="N500" s="631"/>
      <c r="O500" s="21">
        <f t="shared" si="82"/>
        <v>1</v>
      </c>
      <c r="P500" s="631"/>
      <c r="Q500" s="21">
        <f t="shared" si="83"/>
        <v>0</v>
      </c>
      <c r="R500" s="21">
        <f t="shared" si="84"/>
        <v>0</v>
      </c>
      <c r="S500" s="307">
        <f t="shared" si="75"/>
        <v>0</v>
      </c>
      <c r="T500" s="3190">
        <f>面积表!A495</f>
        <v>0</v>
      </c>
    </row>
    <row r="501" spans="1:20">
      <c r="A501" s="3169"/>
      <c r="B501" s="52"/>
      <c r="C501" s="21">
        <f t="shared" si="76"/>
        <v>1</v>
      </c>
      <c r="D501" s="2559"/>
      <c r="E501" s="21">
        <f t="shared" si="77"/>
        <v>0.02</v>
      </c>
      <c r="F501" s="631"/>
      <c r="G501" s="21">
        <f t="shared" si="78"/>
        <v>0</v>
      </c>
      <c r="H501" s="631"/>
      <c r="I501" s="21">
        <f t="shared" si="79"/>
        <v>1</v>
      </c>
      <c r="J501" s="631"/>
      <c r="K501" s="21">
        <f t="shared" si="80"/>
        <v>1</v>
      </c>
      <c r="L501" s="631"/>
      <c r="M501" s="21">
        <f t="shared" si="81"/>
        <v>1</v>
      </c>
      <c r="N501" s="631"/>
      <c r="O501" s="21">
        <f t="shared" si="82"/>
        <v>1</v>
      </c>
      <c r="P501" s="631"/>
      <c r="Q501" s="21">
        <f t="shared" si="83"/>
        <v>0</v>
      </c>
      <c r="R501" s="21">
        <f t="shared" si="84"/>
        <v>0</v>
      </c>
      <c r="S501" s="307">
        <f t="shared" si="75"/>
        <v>0</v>
      </c>
      <c r="T501" s="3190">
        <f>面积表!A496</f>
        <v>0</v>
      </c>
    </row>
    <row r="502" spans="1:20">
      <c r="A502" s="3169"/>
      <c r="B502" s="52"/>
      <c r="C502" s="21">
        <f t="shared" si="76"/>
        <v>1</v>
      </c>
      <c r="D502" s="2559"/>
      <c r="E502" s="21">
        <f t="shared" si="77"/>
        <v>0.02</v>
      </c>
      <c r="F502" s="631"/>
      <c r="G502" s="21">
        <f t="shared" si="78"/>
        <v>0</v>
      </c>
      <c r="H502" s="631"/>
      <c r="I502" s="21">
        <f t="shared" si="79"/>
        <v>1</v>
      </c>
      <c r="J502" s="631"/>
      <c r="K502" s="21">
        <f t="shared" si="80"/>
        <v>1</v>
      </c>
      <c r="L502" s="631"/>
      <c r="M502" s="21">
        <f t="shared" si="81"/>
        <v>1</v>
      </c>
      <c r="N502" s="631"/>
      <c r="O502" s="21">
        <f t="shared" si="82"/>
        <v>1</v>
      </c>
      <c r="P502" s="631"/>
      <c r="Q502" s="21">
        <f t="shared" si="83"/>
        <v>0</v>
      </c>
      <c r="R502" s="21">
        <f t="shared" si="84"/>
        <v>0</v>
      </c>
      <c r="S502" s="307">
        <f t="shared" si="75"/>
        <v>0</v>
      </c>
      <c r="T502" s="3190">
        <f>面积表!A497</f>
        <v>0</v>
      </c>
    </row>
    <row r="503" spans="1:20">
      <c r="A503" s="3169"/>
      <c r="B503" s="52"/>
      <c r="C503" s="21">
        <f t="shared" si="76"/>
        <v>1</v>
      </c>
      <c r="D503" s="2559"/>
      <c r="E503" s="21">
        <f t="shared" si="77"/>
        <v>0.02</v>
      </c>
      <c r="F503" s="631"/>
      <c r="G503" s="21">
        <f t="shared" si="78"/>
        <v>0</v>
      </c>
      <c r="H503" s="631"/>
      <c r="I503" s="21">
        <f t="shared" si="79"/>
        <v>1</v>
      </c>
      <c r="J503" s="631"/>
      <c r="K503" s="21">
        <f t="shared" si="80"/>
        <v>1</v>
      </c>
      <c r="L503" s="631"/>
      <c r="M503" s="21">
        <f t="shared" si="81"/>
        <v>1</v>
      </c>
      <c r="N503" s="631"/>
      <c r="O503" s="21">
        <f t="shared" si="82"/>
        <v>1</v>
      </c>
      <c r="P503" s="631"/>
      <c r="Q503" s="21">
        <f t="shared" si="83"/>
        <v>0</v>
      </c>
      <c r="R503" s="21">
        <f t="shared" si="84"/>
        <v>0</v>
      </c>
      <c r="S503" s="307">
        <f t="shared" si="75"/>
        <v>0</v>
      </c>
      <c r="T503" s="3190">
        <f>面积表!A498</f>
        <v>0</v>
      </c>
    </row>
    <row r="504" spans="1:20">
      <c r="A504" s="3169"/>
      <c r="B504" s="52"/>
      <c r="C504" s="21">
        <f t="shared" si="76"/>
        <v>1</v>
      </c>
      <c r="D504" s="2559"/>
      <c r="E504" s="21">
        <f t="shared" si="77"/>
        <v>0.02</v>
      </c>
      <c r="F504" s="631"/>
      <c r="G504" s="21">
        <f t="shared" si="78"/>
        <v>0</v>
      </c>
      <c r="H504" s="631"/>
      <c r="I504" s="21">
        <f t="shared" si="79"/>
        <v>1</v>
      </c>
      <c r="J504" s="631"/>
      <c r="K504" s="21">
        <f t="shared" si="80"/>
        <v>1</v>
      </c>
      <c r="L504" s="631"/>
      <c r="M504" s="21">
        <f t="shared" si="81"/>
        <v>1</v>
      </c>
      <c r="N504" s="631"/>
      <c r="O504" s="21">
        <f t="shared" si="82"/>
        <v>1</v>
      </c>
      <c r="P504" s="631"/>
      <c r="Q504" s="21">
        <f t="shared" si="83"/>
        <v>0</v>
      </c>
      <c r="R504" s="21">
        <f t="shared" si="84"/>
        <v>0</v>
      </c>
      <c r="S504" s="307">
        <f t="shared" si="75"/>
        <v>0</v>
      </c>
      <c r="T504" s="3190">
        <f>面积表!A499</f>
        <v>0</v>
      </c>
    </row>
    <row r="505" spans="1:20">
      <c r="A505" s="3169"/>
      <c r="B505" s="52"/>
      <c r="C505" s="21">
        <f t="shared" si="76"/>
        <v>1</v>
      </c>
      <c r="D505" s="2559"/>
      <c r="E505" s="21">
        <f t="shared" si="77"/>
        <v>0.02</v>
      </c>
      <c r="F505" s="631"/>
      <c r="G505" s="21">
        <f t="shared" si="78"/>
        <v>0</v>
      </c>
      <c r="H505" s="631"/>
      <c r="I505" s="21">
        <f t="shared" si="79"/>
        <v>1</v>
      </c>
      <c r="J505" s="631"/>
      <c r="K505" s="21">
        <f t="shared" si="80"/>
        <v>1</v>
      </c>
      <c r="L505" s="631"/>
      <c r="M505" s="21">
        <f t="shared" si="81"/>
        <v>1</v>
      </c>
      <c r="N505" s="631"/>
      <c r="O505" s="21">
        <f t="shared" si="82"/>
        <v>1</v>
      </c>
      <c r="P505" s="631"/>
      <c r="Q505" s="21">
        <f t="shared" si="83"/>
        <v>0</v>
      </c>
      <c r="R505" s="21">
        <f t="shared" si="84"/>
        <v>0</v>
      </c>
      <c r="S505" s="307">
        <f t="shared" si="75"/>
        <v>0</v>
      </c>
      <c r="T505" s="3190">
        <f>面积表!A500</f>
        <v>0</v>
      </c>
    </row>
    <row r="506" spans="1:20">
      <c r="A506" s="3169"/>
      <c r="B506" s="52"/>
      <c r="C506" s="21">
        <f t="shared" si="76"/>
        <v>1</v>
      </c>
      <c r="D506" s="2559"/>
      <c r="E506" s="21">
        <f t="shared" si="77"/>
        <v>0.02</v>
      </c>
      <c r="F506" s="631"/>
      <c r="G506" s="21">
        <f t="shared" si="78"/>
        <v>0</v>
      </c>
      <c r="H506" s="631"/>
      <c r="I506" s="21">
        <f t="shared" si="79"/>
        <v>1</v>
      </c>
      <c r="J506" s="631"/>
      <c r="K506" s="21">
        <f t="shared" si="80"/>
        <v>1</v>
      </c>
      <c r="L506" s="631"/>
      <c r="M506" s="21">
        <f t="shared" si="81"/>
        <v>1</v>
      </c>
      <c r="N506" s="631"/>
      <c r="O506" s="21">
        <f t="shared" si="82"/>
        <v>1</v>
      </c>
      <c r="P506" s="631"/>
      <c r="Q506" s="21">
        <f t="shared" si="83"/>
        <v>0</v>
      </c>
      <c r="R506" s="21">
        <f t="shared" si="84"/>
        <v>0</v>
      </c>
      <c r="S506" s="307">
        <f t="shared" si="75"/>
        <v>0</v>
      </c>
      <c r="T506" s="3190">
        <f>面积表!A501</f>
        <v>0</v>
      </c>
    </row>
    <row r="507" spans="1:20">
      <c r="A507" s="3169"/>
      <c r="B507" s="52"/>
      <c r="C507" s="21">
        <f t="shared" si="76"/>
        <v>1</v>
      </c>
      <c r="D507" s="2559"/>
      <c r="E507" s="21">
        <f t="shared" si="77"/>
        <v>0.02</v>
      </c>
      <c r="F507" s="631"/>
      <c r="G507" s="21">
        <f t="shared" si="78"/>
        <v>0</v>
      </c>
      <c r="H507" s="631"/>
      <c r="I507" s="21">
        <f t="shared" si="79"/>
        <v>1</v>
      </c>
      <c r="J507" s="631"/>
      <c r="K507" s="21">
        <f t="shared" si="80"/>
        <v>1</v>
      </c>
      <c r="L507" s="631"/>
      <c r="M507" s="21">
        <f t="shared" si="81"/>
        <v>1</v>
      </c>
      <c r="N507" s="631"/>
      <c r="O507" s="21">
        <f t="shared" si="82"/>
        <v>1</v>
      </c>
      <c r="P507" s="631"/>
      <c r="Q507" s="21">
        <f t="shared" si="83"/>
        <v>0</v>
      </c>
      <c r="R507" s="21">
        <f t="shared" si="84"/>
        <v>0</v>
      </c>
      <c r="S507" s="307">
        <f t="shared" si="75"/>
        <v>0</v>
      </c>
      <c r="T507" s="3190">
        <f>面积表!A502</f>
        <v>0</v>
      </c>
    </row>
    <row r="508" spans="1:20">
      <c r="A508" s="3169"/>
      <c r="B508" s="52"/>
      <c r="C508" s="21">
        <f t="shared" si="76"/>
        <v>1</v>
      </c>
      <c r="D508" s="2559"/>
      <c r="E508" s="21">
        <f t="shared" si="77"/>
        <v>0.02</v>
      </c>
      <c r="F508" s="631"/>
      <c r="G508" s="21">
        <f t="shared" si="78"/>
        <v>0</v>
      </c>
      <c r="H508" s="631"/>
      <c r="I508" s="21">
        <f t="shared" si="79"/>
        <v>1</v>
      </c>
      <c r="J508" s="631"/>
      <c r="K508" s="21">
        <f t="shared" si="80"/>
        <v>1</v>
      </c>
      <c r="L508" s="631"/>
      <c r="M508" s="21">
        <f t="shared" si="81"/>
        <v>1</v>
      </c>
      <c r="N508" s="631"/>
      <c r="O508" s="21">
        <f t="shared" si="82"/>
        <v>1</v>
      </c>
      <c r="P508" s="631"/>
      <c r="Q508" s="21">
        <f t="shared" si="83"/>
        <v>0</v>
      </c>
      <c r="R508" s="21">
        <f t="shared" si="84"/>
        <v>0</v>
      </c>
      <c r="S508" s="307">
        <f t="shared" si="75"/>
        <v>0</v>
      </c>
      <c r="T508" s="3190">
        <f>面积表!A503</f>
        <v>0</v>
      </c>
    </row>
    <row r="509" spans="1:20">
      <c r="A509" s="3169"/>
      <c r="B509" s="52"/>
      <c r="C509" s="21">
        <f t="shared" si="76"/>
        <v>1</v>
      </c>
      <c r="D509" s="2559"/>
      <c r="E509" s="21">
        <f t="shared" si="77"/>
        <v>0.02</v>
      </c>
      <c r="F509" s="631"/>
      <c r="G509" s="21">
        <f t="shared" si="78"/>
        <v>0</v>
      </c>
      <c r="H509" s="631"/>
      <c r="I509" s="21">
        <f t="shared" si="79"/>
        <v>1</v>
      </c>
      <c r="J509" s="631"/>
      <c r="K509" s="21">
        <f t="shared" si="80"/>
        <v>1</v>
      </c>
      <c r="L509" s="631"/>
      <c r="M509" s="21">
        <f t="shared" si="81"/>
        <v>1</v>
      </c>
      <c r="N509" s="631"/>
      <c r="O509" s="21">
        <f t="shared" si="82"/>
        <v>1</v>
      </c>
      <c r="P509" s="631"/>
      <c r="Q509" s="21">
        <f t="shared" si="83"/>
        <v>0</v>
      </c>
      <c r="R509" s="21">
        <f t="shared" si="84"/>
        <v>0</v>
      </c>
      <c r="S509" s="307">
        <f t="shared" si="75"/>
        <v>0</v>
      </c>
      <c r="T509" s="3190">
        <f>面积表!A504</f>
        <v>0</v>
      </c>
    </row>
    <row r="510" spans="1:20">
      <c r="A510" s="3169"/>
      <c r="B510" s="52"/>
      <c r="C510" s="21">
        <f t="shared" si="76"/>
        <v>1</v>
      </c>
      <c r="D510" s="2559"/>
      <c r="E510" s="21">
        <f t="shared" si="77"/>
        <v>0.02</v>
      </c>
      <c r="F510" s="631"/>
      <c r="G510" s="21">
        <f t="shared" si="78"/>
        <v>0</v>
      </c>
      <c r="H510" s="631"/>
      <c r="I510" s="21">
        <f t="shared" si="79"/>
        <v>1</v>
      </c>
      <c r="J510" s="631"/>
      <c r="K510" s="21">
        <f t="shared" si="80"/>
        <v>1</v>
      </c>
      <c r="L510" s="631"/>
      <c r="M510" s="21">
        <f t="shared" si="81"/>
        <v>1</v>
      </c>
      <c r="N510" s="631"/>
      <c r="O510" s="21">
        <f t="shared" si="82"/>
        <v>1</v>
      </c>
      <c r="P510" s="631"/>
      <c r="Q510" s="21">
        <f t="shared" si="83"/>
        <v>0</v>
      </c>
      <c r="R510" s="21">
        <f t="shared" si="84"/>
        <v>0</v>
      </c>
      <c r="S510" s="307">
        <f t="shared" si="75"/>
        <v>0</v>
      </c>
      <c r="T510" s="3190">
        <f>面积表!A505</f>
        <v>0</v>
      </c>
    </row>
    <row r="511" spans="1:20">
      <c r="A511" s="3169"/>
      <c r="B511" s="52"/>
      <c r="C511" s="21">
        <f t="shared" si="76"/>
        <v>1</v>
      </c>
      <c r="D511" s="2559"/>
      <c r="E511" s="21">
        <f t="shared" si="77"/>
        <v>0.02</v>
      </c>
      <c r="F511" s="631"/>
      <c r="G511" s="21">
        <f t="shared" si="78"/>
        <v>0</v>
      </c>
      <c r="H511" s="631"/>
      <c r="I511" s="21">
        <f t="shared" si="79"/>
        <v>1</v>
      </c>
      <c r="J511" s="631"/>
      <c r="K511" s="21">
        <f t="shared" si="80"/>
        <v>1</v>
      </c>
      <c r="L511" s="631"/>
      <c r="M511" s="21">
        <f t="shared" si="81"/>
        <v>1</v>
      </c>
      <c r="N511" s="631"/>
      <c r="O511" s="21">
        <f t="shared" si="82"/>
        <v>1</v>
      </c>
      <c r="P511" s="631"/>
      <c r="Q511" s="21">
        <f t="shared" si="83"/>
        <v>0</v>
      </c>
      <c r="R511" s="21">
        <f t="shared" si="84"/>
        <v>0</v>
      </c>
      <c r="S511" s="307">
        <f t="shared" si="75"/>
        <v>0</v>
      </c>
      <c r="T511" s="3190">
        <f>面积表!A506</f>
        <v>0</v>
      </c>
    </row>
    <row r="512" spans="1:20">
      <c r="A512" s="3169"/>
      <c r="B512" s="52"/>
      <c r="C512" s="21">
        <f t="shared" si="76"/>
        <v>1</v>
      </c>
      <c r="D512" s="2559"/>
      <c r="E512" s="21">
        <f t="shared" si="77"/>
        <v>0.02</v>
      </c>
      <c r="F512" s="631"/>
      <c r="G512" s="21">
        <f t="shared" si="78"/>
        <v>0</v>
      </c>
      <c r="H512" s="631"/>
      <c r="I512" s="21">
        <f t="shared" si="79"/>
        <v>1</v>
      </c>
      <c r="J512" s="631"/>
      <c r="K512" s="21">
        <f t="shared" si="80"/>
        <v>1</v>
      </c>
      <c r="L512" s="631"/>
      <c r="M512" s="21">
        <f t="shared" si="81"/>
        <v>1</v>
      </c>
      <c r="N512" s="631"/>
      <c r="O512" s="21">
        <f t="shared" si="82"/>
        <v>1</v>
      </c>
      <c r="P512" s="631"/>
      <c r="Q512" s="21">
        <f t="shared" si="83"/>
        <v>0</v>
      </c>
      <c r="R512" s="21">
        <f t="shared" si="84"/>
        <v>0</v>
      </c>
      <c r="S512" s="307">
        <f t="shared" si="75"/>
        <v>0</v>
      </c>
      <c r="T512" s="3190">
        <f>面积表!A507</f>
        <v>0</v>
      </c>
    </row>
    <row r="513" spans="1:20">
      <c r="A513" s="3169"/>
      <c r="B513" s="52"/>
      <c r="C513" s="21">
        <f t="shared" si="76"/>
        <v>1</v>
      </c>
      <c r="D513" s="2559"/>
      <c r="E513" s="21">
        <f t="shared" si="77"/>
        <v>0.02</v>
      </c>
      <c r="F513" s="631"/>
      <c r="G513" s="21">
        <f t="shared" si="78"/>
        <v>0</v>
      </c>
      <c r="H513" s="631"/>
      <c r="I513" s="21">
        <f t="shared" si="79"/>
        <v>1</v>
      </c>
      <c r="J513" s="631"/>
      <c r="K513" s="21">
        <f t="shared" si="80"/>
        <v>1</v>
      </c>
      <c r="L513" s="631"/>
      <c r="M513" s="21">
        <f t="shared" si="81"/>
        <v>1</v>
      </c>
      <c r="N513" s="631"/>
      <c r="O513" s="21">
        <f t="shared" si="82"/>
        <v>1</v>
      </c>
      <c r="P513" s="631"/>
      <c r="Q513" s="21">
        <f t="shared" si="83"/>
        <v>0</v>
      </c>
      <c r="R513" s="21">
        <f t="shared" si="84"/>
        <v>0</v>
      </c>
      <c r="S513" s="307">
        <f t="shared" si="75"/>
        <v>0</v>
      </c>
      <c r="T513" s="3190">
        <f>面积表!A508</f>
        <v>0</v>
      </c>
    </row>
    <row r="514" spans="1:20">
      <c r="A514" s="3169"/>
      <c r="B514" s="52"/>
      <c r="C514" s="21">
        <f t="shared" si="76"/>
        <v>1</v>
      </c>
      <c r="D514" s="2559"/>
      <c r="E514" s="21">
        <f t="shared" si="77"/>
        <v>0.02</v>
      </c>
      <c r="F514" s="631"/>
      <c r="G514" s="21">
        <f t="shared" si="78"/>
        <v>0</v>
      </c>
      <c r="H514" s="631"/>
      <c r="I514" s="21">
        <f t="shared" si="79"/>
        <v>1</v>
      </c>
      <c r="J514" s="631"/>
      <c r="K514" s="21">
        <f t="shared" si="80"/>
        <v>1</v>
      </c>
      <c r="L514" s="631"/>
      <c r="M514" s="21">
        <f t="shared" si="81"/>
        <v>1</v>
      </c>
      <c r="N514" s="631"/>
      <c r="O514" s="21">
        <f t="shared" si="82"/>
        <v>1</v>
      </c>
      <c r="P514" s="631"/>
      <c r="Q514" s="21">
        <f t="shared" si="83"/>
        <v>0</v>
      </c>
      <c r="R514" s="21">
        <f t="shared" si="84"/>
        <v>0</v>
      </c>
      <c r="S514" s="307">
        <f t="shared" si="75"/>
        <v>0</v>
      </c>
      <c r="T514" s="3190">
        <f>面积表!A509</f>
        <v>0</v>
      </c>
    </row>
    <row r="515" spans="1:20">
      <c r="A515" s="3169"/>
      <c r="B515" s="52"/>
      <c r="C515" s="21">
        <f t="shared" si="76"/>
        <v>1</v>
      </c>
      <c r="D515" s="2559"/>
      <c r="E515" s="21">
        <f t="shared" si="77"/>
        <v>0.02</v>
      </c>
      <c r="F515" s="631"/>
      <c r="G515" s="21">
        <f t="shared" si="78"/>
        <v>0</v>
      </c>
      <c r="H515" s="631"/>
      <c r="I515" s="21">
        <f t="shared" si="79"/>
        <v>1</v>
      </c>
      <c r="J515" s="631"/>
      <c r="K515" s="21">
        <f t="shared" si="80"/>
        <v>1</v>
      </c>
      <c r="L515" s="631"/>
      <c r="M515" s="21">
        <f t="shared" si="81"/>
        <v>1</v>
      </c>
      <c r="N515" s="631"/>
      <c r="O515" s="21">
        <f t="shared" si="82"/>
        <v>1</v>
      </c>
      <c r="P515" s="631"/>
      <c r="Q515" s="21">
        <f t="shared" si="83"/>
        <v>0</v>
      </c>
      <c r="R515" s="21">
        <f t="shared" si="84"/>
        <v>0</v>
      </c>
      <c r="S515" s="307">
        <f t="shared" si="75"/>
        <v>0</v>
      </c>
      <c r="T515" s="3190">
        <f>面积表!A510</f>
        <v>0</v>
      </c>
    </row>
    <row r="516" spans="1:20">
      <c r="A516" s="3169"/>
      <c r="B516" s="52"/>
      <c r="C516" s="21">
        <f t="shared" si="76"/>
        <v>1</v>
      </c>
      <c r="D516" s="2559"/>
      <c r="E516" s="21">
        <f t="shared" si="77"/>
        <v>0.02</v>
      </c>
      <c r="F516" s="631"/>
      <c r="G516" s="21">
        <f t="shared" si="78"/>
        <v>0</v>
      </c>
      <c r="H516" s="631"/>
      <c r="I516" s="21">
        <f t="shared" si="79"/>
        <v>1</v>
      </c>
      <c r="J516" s="631"/>
      <c r="K516" s="21">
        <f t="shared" si="80"/>
        <v>1</v>
      </c>
      <c r="L516" s="631"/>
      <c r="M516" s="21">
        <f t="shared" si="81"/>
        <v>1</v>
      </c>
      <c r="N516" s="631"/>
      <c r="O516" s="21">
        <f t="shared" si="82"/>
        <v>1</v>
      </c>
      <c r="P516" s="631"/>
      <c r="Q516" s="21">
        <f t="shared" si="83"/>
        <v>0</v>
      </c>
      <c r="R516" s="21">
        <f t="shared" si="84"/>
        <v>0</v>
      </c>
      <c r="S516" s="307">
        <f t="shared" si="75"/>
        <v>0</v>
      </c>
      <c r="T516" s="3190">
        <f>面积表!A511</f>
        <v>0</v>
      </c>
    </row>
    <row r="517" spans="1:20">
      <c r="A517" s="3169"/>
      <c r="B517" s="52"/>
      <c r="C517" s="21">
        <f t="shared" si="76"/>
        <v>1</v>
      </c>
      <c r="D517" s="2559"/>
      <c r="E517" s="21">
        <f t="shared" si="77"/>
        <v>0.02</v>
      </c>
      <c r="F517" s="631"/>
      <c r="G517" s="21">
        <f t="shared" si="78"/>
        <v>0</v>
      </c>
      <c r="H517" s="631"/>
      <c r="I517" s="21">
        <f t="shared" si="79"/>
        <v>1</v>
      </c>
      <c r="J517" s="631"/>
      <c r="K517" s="21">
        <f t="shared" si="80"/>
        <v>1</v>
      </c>
      <c r="L517" s="631"/>
      <c r="M517" s="21">
        <f t="shared" si="81"/>
        <v>1</v>
      </c>
      <c r="N517" s="631"/>
      <c r="O517" s="21">
        <f t="shared" si="82"/>
        <v>1</v>
      </c>
      <c r="P517" s="631"/>
      <c r="Q517" s="21">
        <f t="shared" si="83"/>
        <v>0</v>
      </c>
      <c r="R517" s="21">
        <f t="shared" si="84"/>
        <v>0</v>
      </c>
      <c r="S517" s="307">
        <f t="shared" si="75"/>
        <v>0</v>
      </c>
      <c r="T517" s="3190">
        <f>面积表!A512</f>
        <v>0</v>
      </c>
    </row>
    <row r="518" spans="1:20">
      <c r="A518" s="3169"/>
      <c r="B518" s="52"/>
      <c r="C518" s="21">
        <f t="shared" si="76"/>
        <v>1</v>
      </c>
      <c r="D518" s="2559"/>
      <c r="E518" s="21">
        <f t="shared" si="77"/>
        <v>0.02</v>
      </c>
      <c r="F518" s="631"/>
      <c r="G518" s="21">
        <f t="shared" si="78"/>
        <v>0</v>
      </c>
      <c r="H518" s="631"/>
      <c r="I518" s="21">
        <f t="shared" si="79"/>
        <v>1</v>
      </c>
      <c r="J518" s="631"/>
      <c r="K518" s="21">
        <f t="shared" si="80"/>
        <v>1</v>
      </c>
      <c r="L518" s="631"/>
      <c r="M518" s="21">
        <f t="shared" si="81"/>
        <v>1</v>
      </c>
      <c r="N518" s="631"/>
      <c r="O518" s="21">
        <f t="shared" si="82"/>
        <v>1</v>
      </c>
      <c r="P518" s="631"/>
      <c r="Q518" s="21">
        <f t="shared" si="83"/>
        <v>0</v>
      </c>
      <c r="R518" s="21">
        <f t="shared" si="84"/>
        <v>0</v>
      </c>
      <c r="S518" s="307">
        <f t="shared" si="75"/>
        <v>0</v>
      </c>
      <c r="T518" s="3190">
        <f>面积表!A513</f>
        <v>0</v>
      </c>
    </row>
    <row r="519" spans="1:20">
      <c r="A519" s="3169"/>
      <c r="B519" s="52"/>
      <c r="C519" s="21">
        <f t="shared" si="76"/>
        <v>1</v>
      </c>
      <c r="D519" s="2559"/>
      <c r="E519" s="21">
        <f t="shared" si="77"/>
        <v>0.02</v>
      </c>
      <c r="F519" s="631"/>
      <c r="G519" s="21">
        <f t="shared" si="78"/>
        <v>0</v>
      </c>
      <c r="H519" s="631"/>
      <c r="I519" s="21">
        <f t="shared" si="79"/>
        <v>1</v>
      </c>
      <c r="J519" s="631"/>
      <c r="K519" s="21">
        <f t="shared" si="80"/>
        <v>1</v>
      </c>
      <c r="L519" s="631"/>
      <c r="M519" s="21">
        <f t="shared" si="81"/>
        <v>1</v>
      </c>
      <c r="N519" s="631"/>
      <c r="O519" s="21">
        <f t="shared" si="82"/>
        <v>1</v>
      </c>
      <c r="P519" s="631"/>
      <c r="Q519" s="21">
        <f t="shared" si="83"/>
        <v>0</v>
      </c>
      <c r="R519" s="21">
        <f t="shared" si="84"/>
        <v>0</v>
      </c>
      <c r="S519" s="307">
        <f t="shared" si="75"/>
        <v>0</v>
      </c>
      <c r="T519" s="3190">
        <f>面积表!A514</f>
        <v>0</v>
      </c>
    </row>
    <row r="520" spans="1:20">
      <c r="A520" s="3169"/>
      <c r="B520" s="52"/>
      <c r="C520" s="21">
        <f t="shared" si="76"/>
        <v>1</v>
      </c>
      <c r="D520" s="2559"/>
      <c r="E520" s="21">
        <f t="shared" si="77"/>
        <v>0.02</v>
      </c>
      <c r="F520" s="631"/>
      <c r="G520" s="21">
        <f t="shared" si="78"/>
        <v>0</v>
      </c>
      <c r="H520" s="631"/>
      <c r="I520" s="21">
        <f t="shared" si="79"/>
        <v>1</v>
      </c>
      <c r="J520" s="631"/>
      <c r="K520" s="21">
        <f t="shared" si="80"/>
        <v>1</v>
      </c>
      <c r="L520" s="631"/>
      <c r="M520" s="21">
        <f t="shared" si="81"/>
        <v>1</v>
      </c>
      <c r="N520" s="631"/>
      <c r="O520" s="21">
        <f t="shared" si="82"/>
        <v>1</v>
      </c>
      <c r="P520" s="631"/>
      <c r="Q520" s="21">
        <f t="shared" si="83"/>
        <v>0</v>
      </c>
      <c r="R520" s="21">
        <f t="shared" si="84"/>
        <v>0</v>
      </c>
      <c r="S520" s="307">
        <f t="shared" si="75"/>
        <v>0</v>
      </c>
      <c r="T520" s="3190">
        <f>面积表!A515</f>
        <v>0</v>
      </c>
    </row>
    <row r="521" spans="1:20">
      <c r="A521" s="3169"/>
      <c r="B521" s="52"/>
      <c r="C521" s="21">
        <f t="shared" si="76"/>
        <v>1</v>
      </c>
      <c r="D521" s="2559"/>
      <c r="E521" s="21">
        <f t="shared" si="77"/>
        <v>0.02</v>
      </c>
      <c r="F521" s="631"/>
      <c r="G521" s="21">
        <f t="shared" si="78"/>
        <v>0</v>
      </c>
      <c r="H521" s="631"/>
      <c r="I521" s="21">
        <f t="shared" si="79"/>
        <v>1</v>
      </c>
      <c r="J521" s="631"/>
      <c r="K521" s="21">
        <f t="shared" si="80"/>
        <v>1</v>
      </c>
      <c r="L521" s="631"/>
      <c r="M521" s="21">
        <f t="shared" si="81"/>
        <v>1</v>
      </c>
      <c r="N521" s="631"/>
      <c r="O521" s="21">
        <f t="shared" si="82"/>
        <v>1</v>
      </c>
      <c r="P521" s="631"/>
      <c r="Q521" s="21">
        <f t="shared" si="83"/>
        <v>0</v>
      </c>
      <c r="R521" s="21">
        <f t="shared" si="84"/>
        <v>0</v>
      </c>
      <c r="S521" s="307">
        <f t="shared" si="75"/>
        <v>0</v>
      </c>
      <c r="T521" s="3190">
        <f>面积表!A516</f>
        <v>0</v>
      </c>
    </row>
    <row r="522" spans="1:20">
      <c r="A522" s="3169"/>
      <c r="B522" s="52"/>
      <c r="C522" s="21">
        <f t="shared" si="76"/>
        <v>1</v>
      </c>
      <c r="D522" s="2559"/>
      <c r="E522" s="21">
        <f t="shared" si="77"/>
        <v>0.02</v>
      </c>
      <c r="F522" s="631"/>
      <c r="G522" s="21">
        <f t="shared" si="78"/>
        <v>0</v>
      </c>
      <c r="H522" s="631"/>
      <c r="I522" s="21">
        <f t="shared" si="79"/>
        <v>1</v>
      </c>
      <c r="J522" s="631"/>
      <c r="K522" s="21">
        <f t="shared" si="80"/>
        <v>1</v>
      </c>
      <c r="L522" s="631"/>
      <c r="M522" s="21">
        <f t="shared" si="81"/>
        <v>1</v>
      </c>
      <c r="N522" s="631"/>
      <c r="O522" s="21">
        <f t="shared" si="82"/>
        <v>1</v>
      </c>
      <c r="P522" s="631"/>
      <c r="Q522" s="21">
        <f t="shared" si="83"/>
        <v>0</v>
      </c>
      <c r="R522" s="21">
        <f t="shared" si="84"/>
        <v>0</v>
      </c>
      <c r="S522" s="307">
        <f t="shared" si="75"/>
        <v>0</v>
      </c>
      <c r="T522" s="3190">
        <f>面积表!A517</f>
        <v>0</v>
      </c>
    </row>
    <row r="523" spans="1:20">
      <c r="A523" s="3169"/>
      <c r="B523" s="52"/>
      <c r="C523" s="21">
        <f t="shared" si="76"/>
        <v>1</v>
      </c>
      <c r="D523" s="2559"/>
      <c r="E523" s="21">
        <f t="shared" si="77"/>
        <v>0.02</v>
      </c>
      <c r="F523" s="631"/>
      <c r="G523" s="21">
        <f t="shared" si="78"/>
        <v>0</v>
      </c>
      <c r="H523" s="631"/>
      <c r="I523" s="21">
        <f t="shared" si="79"/>
        <v>1</v>
      </c>
      <c r="J523" s="631"/>
      <c r="K523" s="21">
        <f t="shared" si="80"/>
        <v>1</v>
      </c>
      <c r="L523" s="631"/>
      <c r="M523" s="21">
        <f t="shared" si="81"/>
        <v>1</v>
      </c>
      <c r="N523" s="631"/>
      <c r="O523" s="21">
        <f t="shared" si="82"/>
        <v>1</v>
      </c>
      <c r="P523" s="631"/>
      <c r="Q523" s="21">
        <f t="shared" si="83"/>
        <v>0</v>
      </c>
      <c r="R523" s="21">
        <f t="shared" si="84"/>
        <v>0</v>
      </c>
      <c r="S523" s="307">
        <f t="shared" si="75"/>
        <v>0</v>
      </c>
      <c r="T523" s="3190">
        <f>面积表!A518</f>
        <v>0</v>
      </c>
    </row>
    <row r="524" spans="1:20">
      <c r="A524" s="3169"/>
      <c r="B524" s="52"/>
      <c r="C524" s="21">
        <f t="shared" si="76"/>
        <v>1</v>
      </c>
      <c r="D524" s="2559"/>
      <c r="E524" s="21">
        <f t="shared" si="77"/>
        <v>0.02</v>
      </c>
      <c r="F524" s="631"/>
      <c r="G524" s="21">
        <f t="shared" si="78"/>
        <v>0</v>
      </c>
      <c r="H524" s="631"/>
      <c r="I524" s="21">
        <f t="shared" si="79"/>
        <v>1</v>
      </c>
      <c r="J524" s="631"/>
      <c r="K524" s="21">
        <f t="shared" si="80"/>
        <v>1</v>
      </c>
      <c r="L524" s="631"/>
      <c r="M524" s="21">
        <f t="shared" si="81"/>
        <v>1</v>
      </c>
      <c r="N524" s="631"/>
      <c r="O524" s="21">
        <f t="shared" si="82"/>
        <v>1</v>
      </c>
      <c r="P524" s="631"/>
      <c r="Q524" s="21">
        <f t="shared" si="83"/>
        <v>0</v>
      </c>
      <c r="R524" s="21">
        <f t="shared" si="84"/>
        <v>0</v>
      </c>
      <c r="S524" s="307">
        <f t="shared" si="75"/>
        <v>0</v>
      </c>
      <c r="T524" s="3190">
        <f>面积表!A519</f>
        <v>0</v>
      </c>
    </row>
    <row r="525" spans="1:20">
      <c r="A525" s="3169"/>
      <c r="B525" s="52"/>
      <c r="C525" s="3192">
        <f t="shared" si="76"/>
        <v>1</v>
      </c>
      <c r="D525" s="2559"/>
      <c r="E525" s="3192">
        <f t="shared" si="77"/>
        <v>0.02</v>
      </c>
      <c r="F525" s="631"/>
      <c r="G525" s="3192">
        <f t="shared" si="78"/>
        <v>0</v>
      </c>
      <c r="H525" s="631"/>
      <c r="I525" s="3192">
        <f t="shared" si="79"/>
        <v>1</v>
      </c>
      <c r="J525" s="631"/>
      <c r="K525" s="3192">
        <f t="shared" si="80"/>
        <v>1</v>
      </c>
      <c r="L525" s="631"/>
      <c r="M525" s="3192">
        <f t="shared" si="81"/>
        <v>1</v>
      </c>
      <c r="N525" s="631"/>
      <c r="O525" s="3192">
        <f t="shared" si="82"/>
        <v>1</v>
      </c>
      <c r="P525" s="631"/>
      <c r="Q525" s="3192">
        <f t="shared" si="83"/>
        <v>0</v>
      </c>
      <c r="R525" s="3192">
        <f t="shared" si="84"/>
        <v>0</v>
      </c>
      <c r="S525" s="898">
        <f t="shared" si="75"/>
        <v>0</v>
      </c>
      <c r="T525" s="3190">
        <f>面积表!A520</f>
        <v>0</v>
      </c>
    </row>
    <row r="526" spans="1:20">
      <c r="A526" s="3169"/>
      <c r="B526" s="52"/>
      <c r="C526" s="3192">
        <f t="shared" si="76"/>
        <v>1</v>
      </c>
      <c r="D526" s="2559"/>
      <c r="E526" s="3192">
        <f t="shared" si="77"/>
        <v>0.02</v>
      </c>
      <c r="F526" s="631"/>
      <c r="G526" s="3192">
        <f t="shared" si="78"/>
        <v>0</v>
      </c>
      <c r="H526" s="631"/>
      <c r="I526" s="3192">
        <f t="shared" si="79"/>
        <v>1</v>
      </c>
      <c r="J526" s="631"/>
      <c r="K526" s="3192">
        <f t="shared" si="80"/>
        <v>1</v>
      </c>
      <c r="L526" s="631"/>
      <c r="M526" s="3192">
        <f t="shared" si="81"/>
        <v>1</v>
      </c>
      <c r="N526" s="631"/>
      <c r="O526" s="3192">
        <f t="shared" si="82"/>
        <v>1</v>
      </c>
      <c r="P526" s="631"/>
      <c r="Q526" s="3192">
        <f t="shared" si="83"/>
        <v>0</v>
      </c>
      <c r="R526" s="3192">
        <f t="shared" si="84"/>
        <v>0</v>
      </c>
      <c r="S526" s="898">
        <f t="shared" si="75"/>
        <v>0</v>
      </c>
      <c r="T526" s="3190">
        <f>面积表!A521</f>
        <v>0</v>
      </c>
    </row>
    <row r="527" spans="1:20">
      <c r="A527" s="3169"/>
      <c r="B527" s="52"/>
      <c r="C527" s="3192">
        <f t="shared" si="76"/>
        <v>1</v>
      </c>
      <c r="D527" s="2559"/>
      <c r="E527" s="3192">
        <f t="shared" si="77"/>
        <v>0.02</v>
      </c>
      <c r="F527" s="631"/>
      <c r="G527" s="3192">
        <f t="shared" si="78"/>
        <v>0</v>
      </c>
      <c r="H527" s="631"/>
      <c r="I527" s="3192">
        <f t="shared" si="79"/>
        <v>1</v>
      </c>
      <c r="J527" s="631"/>
      <c r="K527" s="3192">
        <f t="shared" si="80"/>
        <v>1</v>
      </c>
      <c r="L527" s="631"/>
      <c r="M527" s="3192">
        <f t="shared" si="81"/>
        <v>1</v>
      </c>
      <c r="N527" s="631"/>
      <c r="O527" s="3192">
        <f t="shared" si="82"/>
        <v>1</v>
      </c>
      <c r="P527" s="631"/>
      <c r="Q527" s="3192">
        <f t="shared" si="83"/>
        <v>0</v>
      </c>
      <c r="R527" s="3192">
        <f t="shared" si="84"/>
        <v>0</v>
      </c>
      <c r="S527" s="898">
        <f t="shared" si="75"/>
        <v>0</v>
      </c>
      <c r="T527" s="3190">
        <f>面积表!A522</f>
        <v>0</v>
      </c>
    </row>
    <row r="528" spans="1:20">
      <c r="A528" s="3169"/>
      <c r="B528" s="52"/>
      <c r="C528" s="3192">
        <f t="shared" si="76"/>
        <v>1</v>
      </c>
      <c r="D528" s="2559"/>
      <c r="E528" s="3192">
        <f t="shared" si="77"/>
        <v>0.02</v>
      </c>
      <c r="F528" s="631"/>
      <c r="G528" s="3192">
        <f t="shared" si="78"/>
        <v>0</v>
      </c>
      <c r="H528" s="631"/>
      <c r="I528" s="3192">
        <f t="shared" si="79"/>
        <v>1</v>
      </c>
      <c r="J528" s="631"/>
      <c r="K528" s="3192">
        <f t="shared" si="80"/>
        <v>1</v>
      </c>
      <c r="L528" s="631"/>
      <c r="M528" s="3192">
        <f t="shared" si="81"/>
        <v>1</v>
      </c>
      <c r="N528" s="631"/>
      <c r="O528" s="3192">
        <f t="shared" si="82"/>
        <v>1</v>
      </c>
      <c r="P528" s="631"/>
      <c r="Q528" s="3192">
        <f t="shared" si="83"/>
        <v>0</v>
      </c>
      <c r="R528" s="3192">
        <f t="shared" si="84"/>
        <v>0</v>
      </c>
      <c r="S528" s="898">
        <f t="shared" si="75"/>
        <v>0</v>
      </c>
      <c r="T528" s="3190">
        <f>面积表!A523</f>
        <v>0</v>
      </c>
    </row>
    <row r="529" spans="1:20">
      <c r="A529" s="3169"/>
      <c r="B529" s="52"/>
      <c r="C529" s="3192">
        <f t="shared" si="76"/>
        <v>1</v>
      </c>
      <c r="D529" s="2559"/>
      <c r="E529" s="3192">
        <f t="shared" si="77"/>
        <v>0.02</v>
      </c>
      <c r="F529" s="631"/>
      <c r="G529" s="3192">
        <f t="shared" si="78"/>
        <v>0</v>
      </c>
      <c r="H529" s="631"/>
      <c r="I529" s="3192">
        <f t="shared" si="79"/>
        <v>1</v>
      </c>
      <c r="J529" s="631"/>
      <c r="K529" s="3192">
        <f t="shared" si="80"/>
        <v>1</v>
      </c>
      <c r="L529" s="631"/>
      <c r="M529" s="3192">
        <f t="shared" si="81"/>
        <v>1</v>
      </c>
      <c r="N529" s="631"/>
      <c r="O529" s="3192">
        <f t="shared" si="82"/>
        <v>1</v>
      </c>
      <c r="P529" s="631"/>
      <c r="Q529" s="3192">
        <f t="shared" si="83"/>
        <v>0</v>
      </c>
      <c r="R529" s="3192">
        <f t="shared" si="84"/>
        <v>0</v>
      </c>
      <c r="S529" s="898">
        <f t="shared" si="75"/>
        <v>0</v>
      </c>
      <c r="T529" s="3190">
        <f>面积表!A524</f>
        <v>0</v>
      </c>
    </row>
    <row r="530" spans="1:20">
      <c r="A530" s="3169"/>
      <c r="B530" s="52"/>
      <c r="C530" s="3192">
        <f t="shared" si="76"/>
        <v>1</v>
      </c>
      <c r="D530" s="2559"/>
      <c r="E530" s="3192">
        <f t="shared" si="77"/>
        <v>0.02</v>
      </c>
      <c r="F530" s="631"/>
      <c r="G530" s="3192">
        <f t="shared" si="78"/>
        <v>0</v>
      </c>
      <c r="H530" s="631"/>
      <c r="I530" s="3192">
        <f t="shared" si="79"/>
        <v>1</v>
      </c>
      <c r="J530" s="631"/>
      <c r="K530" s="3192">
        <f t="shared" si="80"/>
        <v>1</v>
      </c>
      <c r="L530" s="631"/>
      <c r="M530" s="3192">
        <f t="shared" si="81"/>
        <v>1</v>
      </c>
      <c r="N530" s="631"/>
      <c r="O530" s="3192">
        <f t="shared" si="82"/>
        <v>1</v>
      </c>
      <c r="P530" s="631"/>
      <c r="Q530" s="3192">
        <f t="shared" si="83"/>
        <v>0</v>
      </c>
      <c r="R530" s="3192">
        <f t="shared" si="84"/>
        <v>0</v>
      </c>
      <c r="S530" s="898">
        <f t="shared" si="75"/>
        <v>0</v>
      </c>
      <c r="T530" s="3190">
        <f>面积表!A525</f>
        <v>0</v>
      </c>
    </row>
    <row r="531" spans="1:20">
      <c r="A531" s="3169"/>
      <c r="B531" s="52"/>
      <c r="C531" s="3192">
        <f t="shared" si="76"/>
        <v>1</v>
      </c>
      <c r="D531" s="2559"/>
      <c r="E531" s="3192">
        <f t="shared" si="77"/>
        <v>0.02</v>
      </c>
      <c r="F531" s="631"/>
      <c r="G531" s="3192">
        <f t="shared" si="78"/>
        <v>0</v>
      </c>
      <c r="H531" s="631"/>
      <c r="I531" s="3192">
        <f t="shared" si="79"/>
        <v>1</v>
      </c>
      <c r="J531" s="631"/>
      <c r="K531" s="3192">
        <f t="shared" si="80"/>
        <v>1</v>
      </c>
      <c r="L531" s="631"/>
      <c r="M531" s="3192">
        <f t="shared" si="81"/>
        <v>1</v>
      </c>
      <c r="N531" s="631"/>
      <c r="O531" s="3192">
        <f t="shared" si="82"/>
        <v>1</v>
      </c>
      <c r="P531" s="631"/>
      <c r="Q531" s="3192">
        <f t="shared" si="83"/>
        <v>0</v>
      </c>
      <c r="R531" s="3192">
        <f t="shared" si="84"/>
        <v>0</v>
      </c>
      <c r="S531" s="898">
        <f t="shared" si="75"/>
        <v>0</v>
      </c>
      <c r="T531" s="3190">
        <f>面积表!A526</f>
        <v>0</v>
      </c>
    </row>
    <row r="532" spans="1:20">
      <c r="A532" s="3169"/>
      <c r="B532" s="52"/>
      <c r="C532" s="3192">
        <f t="shared" si="76"/>
        <v>1</v>
      </c>
      <c r="D532" s="2559"/>
      <c r="E532" s="3192">
        <f t="shared" si="77"/>
        <v>0.02</v>
      </c>
      <c r="F532" s="631"/>
      <c r="G532" s="3192">
        <f t="shared" si="78"/>
        <v>0</v>
      </c>
      <c r="H532" s="631"/>
      <c r="I532" s="3192">
        <f t="shared" si="79"/>
        <v>1</v>
      </c>
      <c r="J532" s="631"/>
      <c r="K532" s="3192">
        <f t="shared" si="80"/>
        <v>1</v>
      </c>
      <c r="L532" s="631"/>
      <c r="M532" s="3192">
        <f t="shared" si="81"/>
        <v>1</v>
      </c>
      <c r="N532" s="631"/>
      <c r="O532" s="3192">
        <f t="shared" si="82"/>
        <v>1</v>
      </c>
      <c r="P532" s="631"/>
      <c r="Q532" s="3192">
        <f t="shared" si="83"/>
        <v>0</v>
      </c>
      <c r="R532" s="3192">
        <f t="shared" si="84"/>
        <v>0</v>
      </c>
      <c r="S532" s="898">
        <f t="shared" si="75"/>
        <v>0</v>
      </c>
      <c r="T532" s="3190">
        <f>面积表!A527</f>
        <v>0</v>
      </c>
    </row>
    <row r="533" spans="1:20">
      <c r="A533" s="3169"/>
      <c r="B533" s="52"/>
      <c r="C533" s="3192">
        <f t="shared" si="76"/>
        <v>1</v>
      </c>
      <c r="D533" s="2559"/>
      <c r="E533" s="3192">
        <f t="shared" si="77"/>
        <v>0.02</v>
      </c>
      <c r="F533" s="631"/>
      <c r="G533" s="3192">
        <f t="shared" si="78"/>
        <v>0</v>
      </c>
      <c r="H533" s="631"/>
      <c r="I533" s="3192">
        <f t="shared" si="79"/>
        <v>1</v>
      </c>
      <c r="J533" s="631"/>
      <c r="K533" s="3192">
        <f t="shared" si="80"/>
        <v>1</v>
      </c>
      <c r="L533" s="631"/>
      <c r="M533" s="3192">
        <f t="shared" si="81"/>
        <v>1</v>
      </c>
      <c r="N533" s="631"/>
      <c r="O533" s="3192">
        <f t="shared" si="82"/>
        <v>1</v>
      </c>
      <c r="P533" s="631"/>
      <c r="Q533" s="3192">
        <f t="shared" si="83"/>
        <v>0</v>
      </c>
      <c r="R533" s="3192">
        <f t="shared" si="84"/>
        <v>0</v>
      </c>
      <c r="S533" s="898">
        <f t="shared" si="75"/>
        <v>0</v>
      </c>
      <c r="T533" s="3190">
        <f>面积表!A528</f>
        <v>0</v>
      </c>
    </row>
    <row r="534" spans="1:20">
      <c r="A534" s="3169"/>
      <c r="B534" s="52"/>
      <c r="C534" s="3192">
        <f t="shared" si="76"/>
        <v>1</v>
      </c>
      <c r="D534" s="2559"/>
      <c r="E534" s="3192">
        <f t="shared" si="77"/>
        <v>0.02</v>
      </c>
      <c r="F534" s="631"/>
      <c r="G534" s="3192">
        <f t="shared" si="78"/>
        <v>0</v>
      </c>
      <c r="H534" s="631"/>
      <c r="I534" s="3192">
        <f t="shared" si="79"/>
        <v>1</v>
      </c>
      <c r="J534" s="631"/>
      <c r="K534" s="3192">
        <f t="shared" si="80"/>
        <v>1</v>
      </c>
      <c r="L534" s="631"/>
      <c r="M534" s="3192">
        <f t="shared" si="81"/>
        <v>1</v>
      </c>
      <c r="N534" s="631"/>
      <c r="O534" s="3192">
        <f t="shared" si="82"/>
        <v>1</v>
      </c>
      <c r="P534" s="631"/>
      <c r="Q534" s="3192">
        <f t="shared" si="83"/>
        <v>0</v>
      </c>
      <c r="R534" s="3192">
        <f t="shared" si="84"/>
        <v>0</v>
      </c>
      <c r="S534" s="898">
        <f t="shared" si="75"/>
        <v>0</v>
      </c>
      <c r="T534" s="3190">
        <f>面积表!A529</f>
        <v>0</v>
      </c>
    </row>
    <row r="535" spans="1:20">
      <c r="A535" s="3169"/>
      <c r="B535" s="52"/>
      <c r="C535" s="3192">
        <f t="shared" si="76"/>
        <v>1</v>
      </c>
      <c r="D535" s="2559"/>
      <c r="E535" s="3192">
        <f t="shared" si="77"/>
        <v>0.02</v>
      </c>
      <c r="F535" s="631"/>
      <c r="G535" s="3192">
        <f t="shared" si="78"/>
        <v>0</v>
      </c>
      <c r="H535" s="631"/>
      <c r="I535" s="3192">
        <f t="shared" si="79"/>
        <v>1</v>
      </c>
      <c r="J535" s="631"/>
      <c r="K535" s="3192">
        <f t="shared" si="80"/>
        <v>1</v>
      </c>
      <c r="L535" s="631"/>
      <c r="M535" s="3192">
        <f t="shared" si="81"/>
        <v>1</v>
      </c>
      <c r="N535" s="631"/>
      <c r="O535" s="3192">
        <f t="shared" si="82"/>
        <v>1</v>
      </c>
      <c r="P535" s="631"/>
      <c r="Q535" s="3192">
        <f t="shared" si="83"/>
        <v>0</v>
      </c>
      <c r="R535" s="3192">
        <f t="shared" si="84"/>
        <v>0</v>
      </c>
      <c r="S535" s="898">
        <f t="shared" si="75"/>
        <v>0</v>
      </c>
      <c r="T535" s="3190">
        <f>面积表!A530</f>
        <v>0</v>
      </c>
    </row>
    <row r="536" spans="1:20">
      <c r="A536" s="3169"/>
      <c r="B536" s="52"/>
      <c r="C536" s="3192">
        <f t="shared" si="76"/>
        <v>1</v>
      </c>
      <c r="D536" s="2559"/>
      <c r="E536" s="3192">
        <f t="shared" si="77"/>
        <v>0.02</v>
      </c>
      <c r="F536" s="631"/>
      <c r="G536" s="3192">
        <f t="shared" si="78"/>
        <v>0</v>
      </c>
      <c r="H536" s="631"/>
      <c r="I536" s="3192">
        <f t="shared" si="79"/>
        <v>1</v>
      </c>
      <c r="J536" s="631"/>
      <c r="K536" s="3192">
        <f t="shared" si="80"/>
        <v>1</v>
      </c>
      <c r="L536" s="631"/>
      <c r="M536" s="3192">
        <f t="shared" si="81"/>
        <v>1</v>
      </c>
      <c r="N536" s="631"/>
      <c r="O536" s="3192">
        <f t="shared" si="82"/>
        <v>1</v>
      </c>
      <c r="P536" s="631"/>
      <c r="Q536" s="3192">
        <f t="shared" si="83"/>
        <v>0</v>
      </c>
      <c r="R536" s="3192">
        <f t="shared" si="84"/>
        <v>0</v>
      </c>
      <c r="S536" s="898">
        <f t="shared" ref="S536:S599" si="85">ROUND(R536*B536/10000,0)</f>
        <v>0</v>
      </c>
      <c r="T536" s="3190">
        <f>面积表!A531</f>
        <v>0</v>
      </c>
    </row>
    <row r="537" spans="1:20">
      <c r="A537" s="3169"/>
      <c r="B537" s="52"/>
      <c r="C537" s="3192">
        <f t="shared" si="76"/>
        <v>1</v>
      </c>
      <c r="D537" s="2559"/>
      <c r="E537" s="3192">
        <f t="shared" si="77"/>
        <v>0.02</v>
      </c>
      <c r="F537" s="631"/>
      <c r="G537" s="3192">
        <f t="shared" si="78"/>
        <v>0</v>
      </c>
      <c r="H537" s="631"/>
      <c r="I537" s="3192">
        <f t="shared" si="79"/>
        <v>1</v>
      </c>
      <c r="J537" s="631"/>
      <c r="K537" s="3192">
        <f t="shared" si="80"/>
        <v>1</v>
      </c>
      <c r="L537" s="631"/>
      <c r="M537" s="3192">
        <f t="shared" si="81"/>
        <v>1</v>
      </c>
      <c r="N537" s="631"/>
      <c r="O537" s="3192">
        <f t="shared" si="82"/>
        <v>1</v>
      </c>
      <c r="P537" s="631"/>
      <c r="Q537" s="3192">
        <f t="shared" si="83"/>
        <v>0</v>
      </c>
      <c r="R537" s="3192">
        <f t="shared" si="84"/>
        <v>0</v>
      </c>
      <c r="S537" s="898">
        <f t="shared" si="85"/>
        <v>0</v>
      </c>
      <c r="T537" s="3190">
        <f>面积表!A532</f>
        <v>0</v>
      </c>
    </row>
    <row r="538" spans="1:20">
      <c r="A538" s="3169"/>
      <c r="B538" s="52"/>
      <c r="C538" s="3192">
        <f t="shared" ref="C538:C601" si="86">IF(B538="",1,(LOOKUP(B538,$3:$3,$4:$4)-LOOKUP($B$24,$3:$3,$4:$4)+100)/100)</f>
        <v>1</v>
      </c>
      <c r="D538" s="2559"/>
      <c r="E538" s="3192">
        <f t="shared" ref="E538:E601" si="87">(SUMIF($5:$5,D538,$6:$6)-SUMIF($5:$5,$D$24,$6:$6)+100)/100</f>
        <v>0.02</v>
      </c>
      <c r="F538" s="631"/>
      <c r="G538" s="3192">
        <f t="shared" ref="G538:G601" si="88">(SUMIF($7:$7,F538,$8:$8)-SUMIF($7:$7,$F$24,$8:$8)+100)/100</f>
        <v>0</v>
      </c>
      <c r="H538" s="631"/>
      <c r="I538" s="3192">
        <f t="shared" ref="I538:I601" si="89">(SUMIF($9:$9,H538,$10:$10)-SUMIF($9:$9,$H$24,$10:$10)+100)/100</f>
        <v>1</v>
      </c>
      <c r="J538" s="631"/>
      <c r="K538" s="3192">
        <f t="shared" ref="K538:K601" si="90">(SUMIF($11:$11,J538,$12:$12)-SUMIF($11:$11,$J$24,$12:$12)+100)/100</f>
        <v>1</v>
      </c>
      <c r="L538" s="631"/>
      <c r="M538" s="3192">
        <f t="shared" ref="M538:M601" si="91">(SUMIF($13:$13,L538,$14:$14)-SUMIF($13:$13,$L$24,$14:$14)+100)/100</f>
        <v>1</v>
      </c>
      <c r="N538" s="631"/>
      <c r="O538" s="3192">
        <f t="shared" ref="O538:O601" si="92">(SUMIF($15:$15,N538,$16:$16)-SUMIF($15:$15,$N$24,$16:$16)+100)/100</f>
        <v>1</v>
      </c>
      <c r="P538" s="631"/>
      <c r="Q538" s="3192">
        <f t="shared" ref="Q538:Q601" si="93">(SUMIF($17:$17,P538,$18:$18)-SUMIF($17:$17,$P$24,$18:$18)+100)/100</f>
        <v>0</v>
      </c>
      <c r="R538" s="3192">
        <f t="shared" ref="R538:R601" si="94">IF(B538="",0,ROUND($R$24*C538*E538*G538*I538*K538*M538*O538*Q538,0))</f>
        <v>0</v>
      </c>
      <c r="S538" s="898">
        <f t="shared" si="85"/>
        <v>0</v>
      </c>
      <c r="T538" s="3190">
        <f>面积表!A533</f>
        <v>0</v>
      </c>
    </row>
    <row r="539" spans="1:20">
      <c r="A539" s="3169"/>
      <c r="B539" s="52"/>
      <c r="C539" s="3192">
        <f t="shared" si="86"/>
        <v>1</v>
      </c>
      <c r="D539" s="2559"/>
      <c r="E539" s="3192">
        <f t="shared" si="87"/>
        <v>0.02</v>
      </c>
      <c r="F539" s="631"/>
      <c r="G539" s="3192">
        <f t="shared" si="88"/>
        <v>0</v>
      </c>
      <c r="H539" s="631"/>
      <c r="I539" s="3192">
        <f t="shared" si="89"/>
        <v>1</v>
      </c>
      <c r="J539" s="631"/>
      <c r="K539" s="3192">
        <f t="shared" si="90"/>
        <v>1</v>
      </c>
      <c r="L539" s="631"/>
      <c r="M539" s="3192">
        <f t="shared" si="91"/>
        <v>1</v>
      </c>
      <c r="N539" s="631"/>
      <c r="O539" s="3192">
        <f t="shared" si="92"/>
        <v>1</v>
      </c>
      <c r="P539" s="631"/>
      <c r="Q539" s="3192">
        <f t="shared" si="93"/>
        <v>0</v>
      </c>
      <c r="R539" s="3192">
        <f t="shared" si="94"/>
        <v>0</v>
      </c>
      <c r="S539" s="898">
        <f t="shared" si="85"/>
        <v>0</v>
      </c>
      <c r="T539" s="3190">
        <f>面积表!A534</f>
        <v>0</v>
      </c>
    </row>
    <row r="540" spans="1:20">
      <c r="A540" s="3169"/>
      <c r="B540" s="52"/>
      <c r="C540" s="3192">
        <f t="shared" si="86"/>
        <v>1</v>
      </c>
      <c r="D540" s="2559"/>
      <c r="E540" s="3192">
        <f t="shared" si="87"/>
        <v>0.02</v>
      </c>
      <c r="F540" s="631"/>
      <c r="G540" s="3192">
        <f t="shared" si="88"/>
        <v>0</v>
      </c>
      <c r="H540" s="631"/>
      <c r="I540" s="3192">
        <f t="shared" si="89"/>
        <v>1</v>
      </c>
      <c r="J540" s="631"/>
      <c r="K540" s="3192">
        <f t="shared" si="90"/>
        <v>1</v>
      </c>
      <c r="L540" s="631"/>
      <c r="M540" s="3192">
        <f t="shared" si="91"/>
        <v>1</v>
      </c>
      <c r="N540" s="631"/>
      <c r="O540" s="3192">
        <f t="shared" si="92"/>
        <v>1</v>
      </c>
      <c r="P540" s="631"/>
      <c r="Q540" s="3192">
        <f t="shared" si="93"/>
        <v>0</v>
      </c>
      <c r="R540" s="3192">
        <f t="shared" si="94"/>
        <v>0</v>
      </c>
      <c r="S540" s="898">
        <f t="shared" si="85"/>
        <v>0</v>
      </c>
      <c r="T540" s="3190">
        <f>面积表!A535</f>
        <v>0</v>
      </c>
    </row>
    <row r="541" spans="1:20">
      <c r="A541" s="3169"/>
      <c r="B541" s="52"/>
      <c r="C541" s="3192">
        <f t="shared" si="86"/>
        <v>1</v>
      </c>
      <c r="D541" s="2559"/>
      <c r="E541" s="3192">
        <f t="shared" si="87"/>
        <v>0.02</v>
      </c>
      <c r="F541" s="631"/>
      <c r="G541" s="3192">
        <f t="shared" si="88"/>
        <v>0</v>
      </c>
      <c r="H541" s="631"/>
      <c r="I541" s="3192">
        <f t="shared" si="89"/>
        <v>1</v>
      </c>
      <c r="J541" s="631"/>
      <c r="K541" s="3192">
        <f t="shared" si="90"/>
        <v>1</v>
      </c>
      <c r="L541" s="631"/>
      <c r="M541" s="3192">
        <f t="shared" si="91"/>
        <v>1</v>
      </c>
      <c r="N541" s="631"/>
      <c r="O541" s="3192">
        <f t="shared" si="92"/>
        <v>1</v>
      </c>
      <c r="P541" s="631"/>
      <c r="Q541" s="3192">
        <f t="shared" si="93"/>
        <v>0</v>
      </c>
      <c r="R541" s="3192">
        <f t="shared" si="94"/>
        <v>0</v>
      </c>
      <c r="S541" s="898">
        <f t="shared" si="85"/>
        <v>0</v>
      </c>
      <c r="T541" s="3190">
        <f>面积表!A536</f>
        <v>0</v>
      </c>
    </row>
    <row r="542" spans="1:20">
      <c r="A542" s="3169"/>
      <c r="B542" s="52"/>
      <c r="C542" s="3192">
        <f t="shared" si="86"/>
        <v>1</v>
      </c>
      <c r="D542" s="2559"/>
      <c r="E542" s="3192">
        <f t="shared" si="87"/>
        <v>0.02</v>
      </c>
      <c r="F542" s="631"/>
      <c r="G542" s="3192">
        <f t="shared" si="88"/>
        <v>0</v>
      </c>
      <c r="H542" s="631"/>
      <c r="I542" s="3192">
        <f t="shared" si="89"/>
        <v>1</v>
      </c>
      <c r="J542" s="631"/>
      <c r="K542" s="3192">
        <f t="shared" si="90"/>
        <v>1</v>
      </c>
      <c r="L542" s="631"/>
      <c r="M542" s="3192">
        <f t="shared" si="91"/>
        <v>1</v>
      </c>
      <c r="N542" s="631"/>
      <c r="O542" s="3192">
        <f t="shared" si="92"/>
        <v>1</v>
      </c>
      <c r="P542" s="631"/>
      <c r="Q542" s="3192">
        <f t="shared" si="93"/>
        <v>0</v>
      </c>
      <c r="R542" s="3192">
        <f t="shared" si="94"/>
        <v>0</v>
      </c>
      <c r="S542" s="898">
        <f t="shared" si="85"/>
        <v>0</v>
      </c>
      <c r="T542" s="3190">
        <f>面积表!A537</f>
        <v>0</v>
      </c>
    </row>
    <row r="543" spans="1:20">
      <c r="A543" s="3169"/>
      <c r="B543" s="52"/>
      <c r="C543" s="3192">
        <f t="shared" si="86"/>
        <v>1</v>
      </c>
      <c r="D543" s="2559"/>
      <c r="E543" s="3192">
        <f t="shared" si="87"/>
        <v>0.02</v>
      </c>
      <c r="F543" s="631"/>
      <c r="G543" s="3192">
        <f t="shared" si="88"/>
        <v>0</v>
      </c>
      <c r="H543" s="631"/>
      <c r="I543" s="3192">
        <f t="shared" si="89"/>
        <v>1</v>
      </c>
      <c r="J543" s="631"/>
      <c r="K543" s="3192">
        <f t="shared" si="90"/>
        <v>1</v>
      </c>
      <c r="L543" s="631"/>
      <c r="M543" s="3192">
        <f t="shared" si="91"/>
        <v>1</v>
      </c>
      <c r="N543" s="631"/>
      <c r="O543" s="3192">
        <f t="shared" si="92"/>
        <v>1</v>
      </c>
      <c r="P543" s="631"/>
      <c r="Q543" s="3192">
        <f t="shared" si="93"/>
        <v>0</v>
      </c>
      <c r="R543" s="3192">
        <f t="shared" si="94"/>
        <v>0</v>
      </c>
      <c r="S543" s="898">
        <f t="shared" si="85"/>
        <v>0</v>
      </c>
      <c r="T543" s="3190">
        <f>面积表!A538</f>
        <v>0</v>
      </c>
    </row>
    <row r="544" spans="1:20">
      <c r="A544" s="3169"/>
      <c r="B544" s="52"/>
      <c r="C544" s="3192">
        <f t="shared" si="86"/>
        <v>1</v>
      </c>
      <c r="D544" s="2559"/>
      <c r="E544" s="3192">
        <f t="shared" si="87"/>
        <v>0.02</v>
      </c>
      <c r="F544" s="631"/>
      <c r="G544" s="3192">
        <f t="shared" si="88"/>
        <v>0</v>
      </c>
      <c r="H544" s="631"/>
      <c r="I544" s="3192">
        <f t="shared" si="89"/>
        <v>1</v>
      </c>
      <c r="J544" s="631"/>
      <c r="K544" s="3192">
        <f t="shared" si="90"/>
        <v>1</v>
      </c>
      <c r="L544" s="631"/>
      <c r="M544" s="3192">
        <f t="shared" si="91"/>
        <v>1</v>
      </c>
      <c r="N544" s="631"/>
      <c r="O544" s="3192">
        <f t="shared" si="92"/>
        <v>1</v>
      </c>
      <c r="P544" s="631"/>
      <c r="Q544" s="3192">
        <f t="shared" si="93"/>
        <v>0</v>
      </c>
      <c r="R544" s="3192">
        <f t="shared" si="94"/>
        <v>0</v>
      </c>
      <c r="S544" s="898">
        <f t="shared" si="85"/>
        <v>0</v>
      </c>
      <c r="T544" s="3190">
        <f>面积表!A539</f>
        <v>0</v>
      </c>
    </row>
    <row r="545" spans="1:20">
      <c r="A545" s="3169"/>
      <c r="B545" s="52"/>
      <c r="C545" s="3192">
        <f t="shared" si="86"/>
        <v>1</v>
      </c>
      <c r="D545" s="2559"/>
      <c r="E545" s="3192">
        <f t="shared" si="87"/>
        <v>0.02</v>
      </c>
      <c r="F545" s="631"/>
      <c r="G545" s="3192">
        <f t="shared" si="88"/>
        <v>0</v>
      </c>
      <c r="H545" s="631"/>
      <c r="I545" s="3192">
        <f t="shared" si="89"/>
        <v>1</v>
      </c>
      <c r="J545" s="631"/>
      <c r="K545" s="3192">
        <f t="shared" si="90"/>
        <v>1</v>
      </c>
      <c r="L545" s="631"/>
      <c r="M545" s="3192">
        <f t="shared" si="91"/>
        <v>1</v>
      </c>
      <c r="N545" s="631"/>
      <c r="O545" s="3192">
        <f t="shared" si="92"/>
        <v>1</v>
      </c>
      <c r="P545" s="631"/>
      <c r="Q545" s="3192">
        <f t="shared" si="93"/>
        <v>0</v>
      </c>
      <c r="R545" s="3192">
        <f t="shared" si="94"/>
        <v>0</v>
      </c>
      <c r="S545" s="898">
        <f t="shared" si="85"/>
        <v>0</v>
      </c>
      <c r="T545" s="3190">
        <f>面积表!A540</f>
        <v>0</v>
      </c>
    </row>
    <row r="546" spans="1:20">
      <c r="A546" s="3169"/>
      <c r="B546" s="52"/>
      <c r="C546" s="3192">
        <f t="shared" si="86"/>
        <v>1</v>
      </c>
      <c r="D546" s="2559"/>
      <c r="E546" s="3192">
        <f t="shared" si="87"/>
        <v>0.02</v>
      </c>
      <c r="F546" s="631"/>
      <c r="G546" s="3192">
        <f t="shared" si="88"/>
        <v>0</v>
      </c>
      <c r="H546" s="631"/>
      <c r="I546" s="3192">
        <f t="shared" si="89"/>
        <v>1</v>
      </c>
      <c r="J546" s="631"/>
      <c r="K546" s="3192">
        <f t="shared" si="90"/>
        <v>1</v>
      </c>
      <c r="L546" s="631"/>
      <c r="M546" s="3192">
        <f t="shared" si="91"/>
        <v>1</v>
      </c>
      <c r="N546" s="631"/>
      <c r="O546" s="3192">
        <f t="shared" si="92"/>
        <v>1</v>
      </c>
      <c r="P546" s="631"/>
      <c r="Q546" s="3192">
        <f t="shared" si="93"/>
        <v>0</v>
      </c>
      <c r="R546" s="3192">
        <f t="shared" si="94"/>
        <v>0</v>
      </c>
      <c r="S546" s="898">
        <f t="shared" si="85"/>
        <v>0</v>
      </c>
      <c r="T546" s="3190">
        <f>面积表!A541</f>
        <v>0</v>
      </c>
    </row>
    <row r="547" spans="1:20">
      <c r="A547" s="3169"/>
      <c r="B547" s="52"/>
      <c r="C547" s="3192">
        <f t="shared" si="86"/>
        <v>1</v>
      </c>
      <c r="D547" s="2559"/>
      <c r="E547" s="3192">
        <f t="shared" si="87"/>
        <v>0.02</v>
      </c>
      <c r="F547" s="631"/>
      <c r="G547" s="3192">
        <f t="shared" si="88"/>
        <v>0</v>
      </c>
      <c r="H547" s="631"/>
      <c r="I547" s="3192">
        <f t="shared" si="89"/>
        <v>1</v>
      </c>
      <c r="J547" s="631"/>
      <c r="K547" s="3192">
        <f t="shared" si="90"/>
        <v>1</v>
      </c>
      <c r="L547" s="631"/>
      <c r="M547" s="3192">
        <f t="shared" si="91"/>
        <v>1</v>
      </c>
      <c r="N547" s="631"/>
      <c r="O547" s="3192">
        <f t="shared" si="92"/>
        <v>1</v>
      </c>
      <c r="P547" s="631"/>
      <c r="Q547" s="3192">
        <f t="shared" si="93"/>
        <v>0</v>
      </c>
      <c r="R547" s="3192">
        <f t="shared" si="94"/>
        <v>0</v>
      </c>
      <c r="S547" s="898">
        <f t="shared" si="85"/>
        <v>0</v>
      </c>
      <c r="T547" s="3190">
        <f>面积表!A542</f>
        <v>0</v>
      </c>
    </row>
    <row r="548" spans="1:20">
      <c r="A548" s="3169"/>
      <c r="B548" s="52"/>
      <c r="C548" s="3192">
        <f t="shared" si="86"/>
        <v>1</v>
      </c>
      <c r="D548" s="2559"/>
      <c r="E548" s="3192">
        <f t="shared" si="87"/>
        <v>0.02</v>
      </c>
      <c r="F548" s="631"/>
      <c r="G548" s="3192">
        <f t="shared" si="88"/>
        <v>0</v>
      </c>
      <c r="H548" s="631"/>
      <c r="I548" s="3192">
        <f t="shared" si="89"/>
        <v>1</v>
      </c>
      <c r="J548" s="631"/>
      <c r="K548" s="3192">
        <f t="shared" si="90"/>
        <v>1</v>
      </c>
      <c r="L548" s="631"/>
      <c r="M548" s="3192">
        <f t="shared" si="91"/>
        <v>1</v>
      </c>
      <c r="N548" s="631"/>
      <c r="O548" s="3192">
        <f t="shared" si="92"/>
        <v>1</v>
      </c>
      <c r="P548" s="631"/>
      <c r="Q548" s="3192">
        <f t="shared" si="93"/>
        <v>0</v>
      </c>
      <c r="R548" s="3192">
        <f t="shared" si="94"/>
        <v>0</v>
      </c>
      <c r="S548" s="898">
        <f t="shared" si="85"/>
        <v>0</v>
      </c>
      <c r="T548" s="3190">
        <f>面积表!A543</f>
        <v>0</v>
      </c>
    </row>
    <row r="549" spans="1:20">
      <c r="A549" s="3169"/>
      <c r="B549" s="52"/>
      <c r="C549" s="3192">
        <f t="shared" si="86"/>
        <v>1</v>
      </c>
      <c r="D549" s="2559"/>
      <c r="E549" s="3192">
        <f t="shared" si="87"/>
        <v>0.02</v>
      </c>
      <c r="F549" s="631"/>
      <c r="G549" s="3192">
        <f t="shared" si="88"/>
        <v>0</v>
      </c>
      <c r="H549" s="631"/>
      <c r="I549" s="3192">
        <f t="shared" si="89"/>
        <v>1</v>
      </c>
      <c r="J549" s="631"/>
      <c r="K549" s="3192">
        <f t="shared" si="90"/>
        <v>1</v>
      </c>
      <c r="L549" s="631"/>
      <c r="M549" s="3192">
        <f t="shared" si="91"/>
        <v>1</v>
      </c>
      <c r="N549" s="631"/>
      <c r="O549" s="3192">
        <f t="shared" si="92"/>
        <v>1</v>
      </c>
      <c r="P549" s="631"/>
      <c r="Q549" s="3192">
        <f t="shared" si="93"/>
        <v>0</v>
      </c>
      <c r="R549" s="3192">
        <f t="shared" si="94"/>
        <v>0</v>
      </c>
      <c r="S549" s="898">
        <f t="shared" si="85"/>
        <v>0</v>
      </c>
      <c r="T549" s="3190">
        <f>面积表!A544</f>
        <v>0</v>
      </c>
    </row>
    <row r="550" spans="1:20">
      <c r="A550" s="3169"/>
      <c r="B550" s="52"/>
      <c r="C550" s="3192">
        <f t="shared" si="86"/>
        <v>1</v>
      </c>
      <c r="D550" s="2559"/>
      <c r="E550" s="3192">
        <f t="shared" si="87"/>
        <v>0.02</v>
      </c>
      <c r="F550" s="631"/>
      <c r="G550" s="3192">
        <f t="shared" si="88"/>
        <v>0</v>
      </c>
      <c r="H550" s="631"/>
      <c r="I550" s="3192">
        <f t="shared" si="89"/>
        <v>1</v>
      </c>
      <c r="J550" s="631"/>
      <c r="K550" s="3192">
        <f t="shared" si="90"/>
        <v>1</v>
      </c>
      <c r="L550" s="631"/>
      <c r="M550" s="3192">
        <f t="shared" si="91"/>
        <v>1</v>
      </c>
      <c r="N550" s="631"/>
      <c r="O550" s="3192">
        <f t="shared" si="92"/>
        <v>1</v>
      </c>
      <c r="P550" s="631"/>
      <c r="Q550" s="3192">
        <f t="shared" si="93"/>
        <v>0</v>
      </c>
      <c r="R550" s="3192">
        <f t="shared" si="94"/>
        <v>0</v>
      </c>
      <c r="S550" s="898">
        <f t="shared" si="85"/>
        <v>0</v>
      </c>
      <c r="T550" s="3190">
        <f>面积表!A545</f>
        <v>0</v>
      </c>
    </row>
    <row r="551" spans="1:20">
      <c r="A551" s="3169"/>
      <c r="B551" s="52"/>
      <c r="C551" s="3192">
        <f t="shared" si="86"/>
        <v>1</v>
      </c>
      <c r="D551" s="2559"/>
      <c r="E551" s="3192">
        <f t="shared" si="87"/>
        <v>0.02</v>
      </c>
      <c r="F551" s="631"/>
      <c r="G551" s="3192">
        <f t="shared" si="88"/>
        <v>0</v>
      </c>
      <c r="H551" s="631"/>
      <c r="I551" s="3192">
        <f t="shared" si="89"/>
        <v>1</v>
      </c>
      <c r="J551" s="631"/>
      <c r="K551" s="3192">
        <f t="shared" si="90"/>
        <v>1</v>
      </c>
      <c r="L551" s="631"/>
      <c r="M551" s="3192">
        <f t="shared" si="91"/>
        <v>1</v>
      </c>
      <c r="N551" s="631"/>
      <c r="O551" s="3192">
        <f t="shared" si="92"/>
        <v>1</v>
      </c>
      <c r="P551" s="631"/>
      <c r="Q551" s="3192">
        <f t="shared" si="93"/>
        <v>0</v>
      </c>
      <c r="R551" s="3192">
        <f t="shared" si="94"/>
        <v>0</v>
      </c>
      <c r="S551" s="898">
        <f t="shared" si="85"/>
        <v>0</v>
      </c>
      <c r="T551" s="3190">
        <f>面积表!A546</f>
        <v>0</v>
      </c>
    </row>
    <row r="552" spans="1:20">
      <c r="A552" s="3169"/>
      <c r="B552" s="52"/>
      <c r="C552" s="3192">
        <f t="shared" si="86"/>
        <v>1</v>
      </c>
      <c r="D552" s="2559"/>
      <c r="E552" s="3192">
        <f t="shared" si="87"/>
        <v>0.02</v>
      </c>
      <c r="F552" s="631"/>
      <c r="G552" s="3192">
        <f t="shared" si="88"/>
        <v>0</v>
      </c>
      <c r="H552" s="631"/>
      <c r="I552" s="3192">
        <f t="shared" si="89"/>
        <v>1</v>
      </c>
      <c r="J552" s="631"/>
      <c r="K552" s="3192">
        <f t="shared" si="90"/>
        <v>1</v>
      </c>
      <c r="L552" s="631"/>
      <c r="M552" s="3192">
        <f t="shared" si="91"/>
        <v>1</v>
      </c>
      <c r="N552" s="631"/>
      <c r="O552" s="3192">
        <f t="shared" si="92"/>
        <v>1</v>
      </c>
      <c r="P552" s="631"/>
      <c r="Q552" s="3192">
        <f t="shared" si="93"/>
        <v>0</v>
      </c>
      <c r="R552" s="3192">
        <f t="shared" si="94"/>
        <v>0</v>
      </c>
      <c r="S552" s="898">
        <f t="shared" si="85"/>
        <v>0</v>
      </c>
      <c r="T552" s="3190">
        <f>面积表!A547</f>
        <v>0</v>
      </c>
    </row>
    <row r="553" spans="1:20">
      <c r="A553" s="3169"/>
      <c r="B553" s="52"/>
      <c r="C553" s="3192">
        <f t="shared" si="86"/>
        <v>1</v>
      </c>
      <c r="D553" s="2559"/>
      <c r="E553" s="3192">
        <f t="shared" si="87"/>
        <v>0.02</v>
      </c>
      <c r="F553" s="631"/>
      <c r="G553" s="3192">
        <f t="shared" si="88"/>
        <v>0</v>
      </c>
      <c r="H553" s="631"/>
      <c r="I553" s="3192">
        <f t="shared" si="89"/>
        <v>1</v>
      </c>
      <c r="J553" s="631"/>
      <c r="K553" s="3192">
        <f t="shared" si="90"/>
        <v>1</v>
      </c>
      <c r="L553" s="631"/>
      <c r="M553" s="3192">
        <f t="shared" si="91"/>
        <v>1</v>
      </c>
      <c r="N553" s="631"/>
      <c r="O553" s="3192">
        <f t="shared" si="92"/>
        <v>1</v>
      </c>
      <c r="P553" s="631"/>
      <c r="Q553" s="3192">
        <f t="shared" si="93"/>
        <v>0</v>
      </c>
      <c r="R553" s="3192">
        <f t="shared" si="94"/>
        <v>0</v>
      </c>
      <c r="S553" s="898">
        <f t="shared" si="85"/>
        <v>0</v>
      </c>
      <c r="T553" s="3190">
        <f>面积表!A548</f>
        <v>0</v>
      </c>
    </row>
    <row r="554" spans="1:20">
      <c r="A554" s="3169"/>
      <c r="B554" s="52"/>
      <c r="C554" s="3192">
        <f t="shared" si="86"/>
        <v>1</v>
      </c>
      <c r="D554" s="2559"/>
      <c r="E554" s="3192">
        <f t="shared" si="87"/>
        <v>0.02</v>
      </c>
      <c r="F554" s="631"/>
      <c r="G554" s="3192">
        <f t="shared" si="88"/>
        <v>0</v>
      </c>
      <c r="H554" s="631"/>
      <c r="I554" s="3192">
        <f t="shared" si="89"/>
        <v>1</v>
      </c>
      <c r="J554" s="631"/>
      <c r="K554" s="3192">
        <f t="shared" si="90"/>
        <v>1</v>
      </c>
      <c r="L554" s="631"/>
      <c r="M554" s="3192">
        <f t="shared" si="91"/>
        <v>1</v>
      </c>
      <c r="N554" s="631"/>
      <c r="O554" s="3192">
        <f t="shared" si="92"/>
        <v>1</v>
      </c>
      <c r="P554" s="631"/>
      <c r="Q554" s="3192">
        <f t="shared" si="93"/>
        <v>0</v>
      </c>
      <c r="R554" s="3192">
        <f t="shared" si="94"/>
        <v>0</v>
      </c>
      <c r="S554" s="898">
        <f t="shared" si="85"/>
        <v>0</v>
      </c>
      <c r="T554" s="3190">
        <f>面积表!A549</f>
        <v>0</v>
      </c>
    </row>
    <row r="555" spans="1:20">
      <c r="A555" s="3169"/>
      <c r="B555" s="52"/>
      <c r="C555" s="3192">
        <f t="shared" si="86"/>
        <v>1</v>
      </c>
      <c r="D555" s="2559"/>
      <c r="E555" s="3192">
        <f t="shared" si="87"/>
        <v>0.02</v>
      </c>
      <c r="F555" s="631"/>
      <c r="G555" s="3192">
        <f t="shared" si="88"/>
        <v>0</v>
      </c>
      <c r="H555" s="631"/>
      <c r="I555" s="3192">
        <f t="shared" si="89"/>
        <v>1</v>
      </c>
      <c r="J555" s="631"/>
      <c r="K555" s="3192">
        <f t="shared" si="90"/>
        <v>1</v>
      </c>
      <c r="L555" s="631"/>
      <c r="M555" s="3192">
        <f t="shared" si="91"/>
        <v>1</v>
      </c>
      <c r="N555" s="631"/>
      <c r="O555" s="3192">
        <f t="shared" si="92"/>
        <v>1</v>
      </c>
      <c r="P555" s="631"/>
      <c r="Q555" s="3192">
        <f t="shared" si="93"/>
        <v>0</v>
      </c>
      <c r="R555" s="3192">
        <f t="shared" si="94"/>
        <v>0</v>
      </c>
      <c r="S555" s="898">
        <f t="shared" si="85"/>
        <v>0</v>
      </c>
      <c r="T555" s="3190">
        <f>面积表!A550</f>
        <v>0</v>
      </c>
    </row>
    <row r="556" spans="1:20">
      <c r="A556" s="3169"/>
      <c r="B556" s="52"/>
      <c r="C556" s="3192">
        <f t="shared" si="86"/>
        <v>1</v>
      </c>
      <c r="D556" s="2559"/>
      <c r="E556" s="3192">
        <f t="shared" si="87"/>
        <v>0.02</v>
      </c>
      <c r="F556" s="631"/>
      <c r="G556" s="3192">
        <f t="shared" si="88"/>
        <v>0</v>
      </c>
      <c r="H556" s="631"/>
      <c r="I556" s="3192">
        <f t="shared" si="89"/>
        <v>1</v>
      </c>
      <c r="J556" s="631"/>
      <c r="K556" s="3192">
        <f t="shared" si="90"/>
        <v>1</v>
      </c>
      <c r="L556" s="631"/>
      <c r="M556" s="3192">
        <f t="shared" si="91"/>
        <v>1</v>
      </c>
      <c r="N556" s="631"/>
      <c r="O556" s="3192">
        <f t="shared" si="92"/>
        <v>1</v>
      </c>
      <c r="P556" s="631"/>
      <c r="Q556" s="3192">
        <f t="shared" si="93"/>
        <v>0</v>
      </c>
      <c r="R556" s="3192">
        <f t="shared" si="94"/>
        <v>0</v>
      </c>
      <c r="S556" s="898">
        <f t="shared" si="85"/>
        <v>0</v>
      </c>
      <c r="T556" s="3190">
        <f>面积表!A551</f>
        <v>0</v>
      </c>
    </row>
    <row r="557" spans="1:20">
      <c r="A557" s="3169"/>
      <c r="B557" s="52"/>
      <c r="C557" s="3192">
        <f t="shared" si="86"/>
        <v>1</v>
      </c>
      <c r="D557" s="2559"/>
      <c r="E557" s="3192">
        <f t="shared" si="87"/>
        <v>0.02</v>
      </c>
      <c r="F557" s="631"/>
      <c r="G557" s="3192">
        <f t="shared" si="88"/>
        <v>0</v>
      </c>
      <c r="H557" s="631"/>
      <c r="I557" s="3192">
        <f t="shared" si="89"/>
        <v>1</v>
      </c>
      <c r="J557" s="631"/>
      <c r="K557" s="3192">
        <f t="shared" si="90"/>
        <v>1</v>
      </c>
      <c r="L557" s="631"/>
      <c r="M557" s="3192">
        <f t="shared" si="91"/>
        <v>1</v>
      </c>
      <c r="N557" s="631"/>
      <c r="O557" s="3192">
        <f t="shared" si="92"/>
        <v>1</v>
      </c>
      <c r="P557" s="631"/>
      <c r="Q557" s="3192">
        <f t="shared" si="93"/>
        <v>0</v>
      </c>
      <c r="R557" s="3192">
        <f t="shared" si="94"/>
        <v>0</v>
      </c>
      <c r="S557" s="898">
        <f t="shared" si="85"/>
        <v>0</v>
      </c>
      <c r="T557" s="3190">
        <f>面积表!A552</f>
        <v>0</v>
      </c>
    </row>
    <row r="558" spans="1:20">
      <c r="A558" s="3169"/>
      <c r="B558" s="52"/>
      <c r="C558" s="3192">
        <f t="shared" si="86"/>
        <v>1</v>
      </c>
      <c r="D558" s="2559"/>
      <c r="E558" s="3192">
        <f t="shared" si="87"/>
        <v>0.02</v>
      </c>
      <c r="F558" s="631"/>
      <c r="G558" s="3192">
        <f t="shared" si="88"/>
        <v>0</v>
      </c>
      <c r="H558" s="631"/>
      <c r="I558" s="3192">
        <f t="shared" si="89"/>
        <v>1</v>
      </c>
      <c r="J558" s="631"/>
      <c r="K558" s="3192">
        <f t="shared" si="90"/>
        <v>1</v>
      </c>
      <c r="L558" s="631"/>
      <c r="M558" s="3192">
        <f t="shared" si="91"/>
        <v>1</v>
      </c>
      <c r="N558" s="631"/>
      <c r="O558" s="3192">
        <f t="shared" si="92"/>
        <v>1</v>
      </c>
      <c r="P558" s="631"/>
      <c r="Q558" s="3192">
        <f t="shared" si="93"/>
        <v>0</v>
      </c>
      <c r="R558" s="3192">
        <f t="shared" si="94"/>
        <v>0</v>
      </c>
      <c r="S558" s="898">
        <f t="shared" si="85"/>
        <v>0</v>
      </c>
      <c r="T558" s="3190">
        <f>面积表!A553</f>
        <v>0</v>
      </c>
    </row>
    <row r="559" spans="1:20">
      <c r="A559" s="3169"/>
      <c r="B559" s="52"/>
      <c r="C559" s="3192">
        <f t="shared" si="86"/>
        <v>1</v>
      </c>
      <c r="D559" s="2559"/>
      <c r="E559" s="3192">
        <f t="shared" si="87"/>
        <v>0.02</v>
      </c>
      <c r="F559" s="631"/>
      <c r="G559" s="3192">
        <f t="shared" si="88"/>
        <v>0</v>
      </c>
      <c r="H559" s="631"/>
      <c r="I559" s="3192">
        <f t="shared" si="89"/>
        <v>1</v>
      </c>
      <c r="J559" s="631"/>
      <c r="K559" s="3192">
        <f t="shared" si="90"/>
        <v>1</v>
      </c>
      <c r="L559" s="631"/>
      <c r="M559" s="3192">
        <f t="shared" si="91"/>
        <v>1</v>
      </c>
      <c r="N559" s="631"/>
      <c r="O559" s="3192">
        <f t="shared" si="92"/>
        <v>1</v>
      </c>
      <c r="P559" s="631"/>
      <c r="Q559" s="3192">
        <f t="shared" si="93"/>
        <v>0</v>
      </c>
      <c r="R559" s="3192">
        <f t="shared" si="94"/>
        <v>0</v>
      </c>
      <c r="S559" s="898">
        <f t="shared" si="85"/>
        <v>0</v>
      </c>
      <c r="T559" s="3190">
        <f>面积表!A554</f>
        <v>0</v>
      </c>
    </row>
    <row r="560" spans="1:20">
      <c r="A560" s="3169"/>
      <c r="B560" s="52"/>
      <c r="C560" s="3192">
        <f t="shared" si="86"/>
        <v>1</v>
      </c>
      <c r="D560" s="2559"/>
      <c r="E560" s="3192">
        <f t="shared" si="87"/>
        <v>0.02</v>
      </c>
      <c r="F560" s="631"/>
      <c r="G560" s="3192">
        <f t="shared" si="88"/>
        <v>0</v>
      </c>
      <c r="H560" s="631"/>
      <c r="I560" s="3192">
        <f t="shared" si="89"/>
        <v>1</v>
      </c>
      <c r="J560" s="631"/>
      <c r="K560" s="3192">
        <f t="shared" si="90"/>
        <v>1</v>
      </c>
      <c r="L560" s="631"/>
      <c r="M560" s="3192">
        <f t="shared" si="91"/>
        <v>1</v>
      </c>
      <c r="N560" s="631"/>
      <c r="O560" s="3192">
        <f t="shared" si="92"/>
        <v>1</v>
      </c>
      <c r="P560" s="631"/>
      <c r="Q560" s="3192">
        <f t="shared" si="93"/>
        <v>0</v>
      </c>
      <c r="R560" s="3192">
        <f t="shared" si="94"/>
        <v>0</v>
      </c>
      <c r="S560" s="898">
        <f t="shared" si="85"/>
        <v>0</v>
      </c>
      <c r="T560" s="3190">
        <f>面积表!A555</f>
        <v>0</v>
      </c>
    </row>
    <row r="561" spans="1:20">
      <c r="A561" s="3169"/>
      <c r="B561" s="52"/>
      <c r="C561" s="3192">
        <f t="shared" si="86"/>
        <v>1</v>
      </c>
      <c r="D561" s="2559"/>
      <c r="E561" s="3192">
        <f t="shared" si="87"/>
        <v>0.02</v>
      </c>
      <c r="F561" s="631"/>
      <c r="G561" s="3192">
        <f t="shared" si="88"/>
        <v>0</v>
      </c>
      <c r="H561" s="631"/>
      <c r="I561" s="3192">
        <f t="shared" si="89"/>
        <v>1</v>
      </c>
      <c r="J561" s="631"/>
      <c r="K561" s="3192">
        <f t="shared" si="90"/>
        <v>1</v>
      </c>
      <c r="L561" s="631"/>
      <c r="M561" s="3192">
        <f t="shared" si="91"/>
        <v>1</v>
      </c>
      <c r="N561" s="631"/>
      <c r="O561" s="3192">
        <f t="shared" si="92"/>
        <v>1</v>
      </c>
      <c r="P561" s="631"/>
      <c r="Q561" s="3192">
        <f t="shared" si="93"/>
        <v>0</v>
      </c>
      <c r="R561" s="3192">
        <f t="shared" si="94"/>
        <v>0</v>
      </c>
      <c r="S561" s="898">
        <f t="shared" si="85"/>
        <v>0</v>
      </c>
      <c r="T561" s="3190">
        <f>面积表!A556</f>
        <v>0</v>
      </c>
    </row>
    <row r="562" spans="1:20">
      <c r="A562" s="3169"/>
      <c r="B562" s="52"/>
      <c r="C562" s="3192">
        <f t="shared" si="86"/>
        <v>1</v>
      </c>
      <c r="D562" s="2559"/>
      <c r="E562" s="3192">
        <f t="shared" si="87"/>
        <v>0.02</v>
      </c>
      <c r="F562" s="631"/>
      <c r="G562" s="3192">
        <f t="shared" si="88"/>
        <v>0</v>
      </c>
      <c r="H562" s="631"/>
      <c r="I562" s="3192">
        <f t="shared" si="89"/>
        <v>1</v>
      </c>
      <c r="J562" s="631"/>
      <c r="K562" s="3192">
        <f t="shared" si="90"/>
        <v>1</v>
      </c>
      <c r="L562" s="631"/>
      <c r="M562" s="3192">
        <f t="shared" si="91"/>
        <v>1</v>
      </c>
      <c r="N562" s="631"/>
      <c r="O562" s="3192">
        <f t="shared" si="92"/>
        <v>1</v>
      </c>
      <c r="P562" s="631"/>
      <c r="Q562" s="3192">
        <f t="shared" si="93"/>
        <v>0</v>
      </c>
      <c r="R562" s="3192">
        <f t="shared" si="94"/>
        <v>0</v>
      </c>
      <c r="S562" s="898">
        <f t="shared" si="85"/>
        <v>0</v>
      </c>
      <c r="T562" s="3190">
        <f>面积表!A557</f>
        <v>0</v>
      </c>
    </row>
    <row r="563" spans="1:20">
      <c r="A563" s="3169"/>
      <c r="B563" s="52"/>
      <c r="C563" s="3192">
        <f t="shared" si="86"/>
        <v>1</v>
      </c>
      <c r="D563" s="2559"/>
      <c r="E563" s="3192">
        <f t="shared" si="87"/>
        <v>0.02</v>
      </c>
      <c r="F563" s="631"/>
      <c r="G563" s="3192">
        <f t="shared" si="88"/>
        <v>0</v>
      </c>
      <c r="H563" s="631"/>
      <c r="I563" s="3192">
        <f t="shared" si="89"/>
        <v>1</v>
      </c>
      <c r="J563" s="631"/>
      <c r="K563" s="3192">
        <f t="shared" si="90"/>
        <v>1</v>
      </c>
      <c r="L563" s="631"/>
      <c r="M563" s="3192">
        <f t="shared" si="91"/>
        <v>1</v>
      </c>
      <c r="N563" s="631"/>
      <c r="O563" s="3192">
        <f t="shared" si="92"/>
        <v>1</v>
      </c>
      <c r="P563" s="631"/>
      <c r="Q563" s="3192">
        <f t="shared" si="93"/>
        <v>0</v>
      </c>
      <c r="R563" s="3192">
        <f t="shared" si="94"/>
        <v>0</v>
      </c>
      <c r="S563" s="898">
        <f t="shared" si="85"/>
        <v>0</v>
      </c>
      <c r="T563" s="3190">
        <f>面积表!A558</f>
        <v>0</v>
      </c>
    </row>
    <row r="564" spans="1:20">
      <c r="A564" s="3169"/>
      <c r="B564" s="52"/>
      <c r="C564" s="3192">
        <f t="shared" si="86"/>
        <v>1</v>
      </c>
      <c r="D564" s="2559"/>
      <c r="E564" s="3192">
        <f t="shared" si="87"/>
        <v>0.02</v>
      </c>
      <c r="F564" s="631"/>
      <c r="G564" s="3192">
        <f t="shared" si="88"/>
        <v>0</v>
      </c>
      <c r="H564" s="631"/>
      <c r="I564" s="3192">
        <f t="shared" si="89"/>
        <v>1</v>
      </c>
      <c r="J564" s="631"/>
      <c r="K564" s="3192">
        <f t="shared" si="90"/>
        <v>1</v>
      </c>
      <c r="L564" s="631"/>
      <c r="M564" s="3192">
        <f t="shared" si="91"/>
        <v>1</v>
      </c>
      <c r="N564" s="631"/>
      <c r="O564" s="3192">
        <f t="shared" si="92"/>
        <v>1</v>
      </c>
      <c r="P564" s="631"/>
      <c r="Q564" s="3192">
        <f t="shared" si="93"/>
        <v>0</v>
      </c>
      <c r="R564" s="3192">
        <f t="shared" si="94"/>
        <v>0</v>
      </c>
      <c r="S564" s="898">
        <f t="shared" si="85"/>
        <v>0</v>
      </c>
      <c r="T564" s="3190">
        <f>面积表!A559</f>
        <v>0</v>
      </c>
    </row>
    <row r="565" spans="1:20">
      <c r="A565" s="3169"/>
      <c r="B565" s="52"/>
      <c r="C565" s="3192">
        <f t="shared" si="86"/>
        <v>1</v>
      </c>
      <c r="D565" s="2559"/>
      <c r="E565" s="3192">
        <f t="shared" si="87"/>
        <v>0.02</v>
      </c>
      <c r="F565" s="631"/>
      <c r="G565" s="3192">
        <f t="shared" si="88"/>
        <v>0</v>
      </c>
      <c r="H565" s="631"/>
      <c r="I565" s="3192">
        <f t="shared" si="89"/>
        <v>1</v>
      </c>
      <c r="J565" s="631"/>
      <c r="K565" s="3192">
        <f t="shared" si="90"/>
        <v>1</v>
      </c>
      <c r="L565" s="631"/>
      <c r="M565" s="3192">
        <f t="shared" si="91"/>
        <v>1</v>
      </c>
      <c r="N565" s="631"/>
      <c r="O565" s="3192">
        <f t="shared" si="92"/>
        <v>1</v>
      </c>
      <c r="P565" s="631"/>
      <c r="Q565" s="3192">
        <f t="shared" si="93"/>
        <v>0</v>
      </c>
      <c r="R565" s="3192">
        <f t="shared" si="94"/>
        <v>0</v>
      </c>
      <c r="S565" s="898">
        <f t="shared" si="85"/>
        <v>0</v>
      </c>
      <c r="T565" s="3190">
        <f>面积表!A560</f>
        <v>0</v>
      </c>
    </row>
    <row r="566" spans="1:20">
      <c r="A566" s="3169"/>
      <c r="B566" s="52"/>
      <c r="C566" s="3192">
        <f t="shared" si="86"/>
        <v>1</v>
      </c>
      <c r="D566" s="2559"/>
      <c r="E566" s="3192">
        <f t="shared" si="87"/>
        <v>0.02</v>
      </c>
      <c r="F566" s="631"/>
      <c r="G566" s="3192">
        <f t="shared" si="88"/>
        <v>0</v>
      </c>
      <c r="H566" s="631"/>
      <c r="I566" s="3192">
        <f t="shared" si="89"/>
        <v>1</v>
      </c>
      <c r="J566" s="631"/>
      <c r="K566" s="3192">
        <f t="shared" si="90"/>
        <v>1</v>
      </c>
      <c r="L566" s="631"/>
      <c r="M566" s="3192">
        <f t="shared" si="91"/>
        <v>1</v>
      </c>
      <c r="N566" s="631"/>
      <c r="O566" s="3192">
        <f t="shared" si="92"/>
        <v>1</v>
      </c>
      <c r="P566" s="631"/>
      <c r="Q566" s="3192">
        <f t="shared" si="93"/>
        <v>0</v>
      </c>
      <c r="R566" s="3192">
        <f t="shared" si="94"/>
        <v>0</v>
      </c>
      <c r="S566" s="898">
        <f t="shared" si="85"/>
        <v>0</v>
      </c>
      <c r="T566" s="3190">
        <f>面积表!A561</f>
        <v>0</v>
      </c>
    </row>
    <row r="567" spans="1:20">
      <c r="A567" s="3169"/>
      <c r="B567" s="52"/>
      <c r="C567" s="3192">
        <f t="shared" si="86"/>
        <v>1</v>
      </c>
      <c r="D567" s="2559"/>
      <c r="E567" s="3192">
        <f t="shared" si="87"/>
        <v>0.02</v>
      </c>
      <c r="F567" s="631"/>
      <c r="G567" s="3192">
        <f t="shared" si="88"/>
        <v>0</v>
      </c>
      <c r="H567" s="631"/>
      <c r="I567" s="3192">
        <f t="shared" si="89"/>
        <v>1</v>
      </c>
      <c r="J567" s="631"/>
      <c r="K567" s="3192">
        <f t="shared" si="90"/>
        <v>1</v>
      </c>
      <c r="L567" s="631"/>
      <c r="M567" s="3192">
        <f t="shared" si="91"/>
        <v>1</v>
      </c>
      <c r="N567" s="631"/>
      <c r="O567" s="3192">
        <f t="shared" si="92"/>
        <v>1</v>
      </c>
      <c r="P567" s="631"/>
      <c r="Q567" s="3192">
        <f t="shared" si="93"/>
        <v>0</v>
      </c>
      <c r="R567" s="3192">
        <f t="shared" si="94"/>
        <v>0</v>
      </c>
      <c r="S567" s="898">
        <f t="shared" si="85"/>
        <v>0</v>
      </c>
      <c r="T567" s="3190">
        <f>面积表!A562</f>
        <v>0</v>
      </c>
    </row>
    <row r="568" spans="1:20">
      <c r="A568" s="3169"/>
      <c r="B568" s="52"/>
      <c r="C568" s="3192">
        <f t="shared" si="86"/>
        <v>1</v>
      </c>
      <c r="D568" s="2559"/>
      <c r="E568" s="3192">
        <f t="shared" si="87"/>
        <v>0.02</v>
      </c>
      <c r="F568" s="631"/>
      <c r="G568" s="3192">
        <f t="shared" si="88"/>
        <v>0</v>
      </c>
      <c r="H568" s="631"/>
      <c r="I568" s="3192">
        <f t="shared" si="89"/>
        <v>1</v>
      </c>
      <c r="J568" s="631"/>
      <c r="K568" s="3192">
        <f t="shared" si="90"/>
        <v>1</v>
      </c>
      <c r="L568" s="631"/>
      <c r="M568" s="3192">
        <f t="shared" si="91"/>
        <v>1</v>
      </c>
      <c r="N568" s="631"/>
      <c r="O568" s="3192">
        <f t="shared" si="92"/>
        <v>1</v>
      </c>
      <c r="P568" s="631"/>
      <c r="Q568" s="3192">
        <f t="shared" si="93"/>
        <v>0</v>
      </c>
      <c r="R568" s="3192">
        <f t="shared" si="94"/>
        <v>0</v>
      </c>
      <c r="S568" s="898">
        <f t="shared" si="85"/>
        <v>0</v>
      </c>
      <c r="T568" s="3190">
        <f>面积表!A563</f>
        <v>0</v>
      </c>
    </row>
    <row r="569" spans="1:20">
      <c r="A569" s="3169"/>
      <c r="B569" s="52"/>
      <c r="C569" s="3192">
        <f t="shared" si="86"/>
        <v>1</v>
      </c>
      <c r="D569" s="2559"/>
      <c r="E569" s="3192">
        <f t="shared" si="87"/>
        <v>0.02</v>
      </c>
      <c r="F569" s="631"/>
      <c r="G569" s="3192">
        <f t="shared" si="88"/>
        <v>0</v>
      </c>
      <c r="H569" s="631"/>
      <c r="I569" s="3192">
        <f t="shared" si="89"/>
        <v>1</v>
      </c>
      <c r="J569" s="631"/>
      <c r="K569" s="3192">
        <f t="shared" si="90"/>
        <v>1</v>
      </c>
      <c r="L569" s="631"/>
      <c r="M569" s="3192">
        <f t="shared" si="91"/>
        <v>1</v>
      </c>
      <c r="N569" s="631"/>
      <c r="O569" s="3192">
        <f t="shared" si="92"/>
        <v>1</v>
      </c>
      <c r="P569" s="631"/>
      <c r="Q569" s="3192">
        <f t="shared" si="93"/>
        <v>0</v>
      </c>
      <c r="R569" s="3192">
        <f t="shared" si="94"/>
        <v>0</v>
      </c>
      <c r="S569" s="898">
        <f t="shared" si="85"/>
        <v>0</v>
      </c>
      <c r="T569" s="3190">
        <f>面积表!A564</f>
        <v>0</v>
      </c>
    </row>
    <row r="570" spans="1:20">
      <c r="A570" s="3169"/>
      <c r="B570" s="52"/>
      <c r="C570" s="3192">
        <f t="shared" si="86"/>
        <v>1</v>
      </c>
      <c r="D570" s="2559"/>
      <c r="E570" s="3192">
        <f t="shared" si="87"/>
        <v>0.02</v>
      </c>
      <c r="F570" s="631"/>
      <c r="G570" s="3192">
        <f t="shared" si="88"/>
        <v>0</v>
      </c>
      <c r="H570" s="631"/>
      <c r="I570" s="3192">
        <f t="shared" si="89"/>
        <v>1</v>
      </c>
      <c r="J570" s="631"/>
      <c r="K570" s="3192">
        <f t="shared" si="90"/>
        <v>1</v>
      </c>
      <c r="L570" s="631"/>
      <c r="M570" s="3192">
        <f t="shared" si="91"/>
        <v>1</v>
      </c>
      <c r="N570" s="631"/>
      <c r="O570" s="3192">
        <f t="shared" si="92"/>
        <v>1</v>
      </c>
      <c r="P570" s="631"/>
      <c r="Q570" s="3192">
        <f t="shared" si="93"/>
        <v>0</v>
      </c>
      <c r="R570" s="3192">
        <f t="shared" si="94"/>
        <v>0</v>
      </c>
      <c r="S570" s="898">
        <f t="shared" si="85"/>
        <v>0</v>
      </c>
      <c r="T570" s="3190">
        <f>面积表!A565</f>
        <v>0</v>
      </c>
    </row>
    <row r="571" spans="1:20">
      <c r="A571" s="3169"/>
      <c r="B571" s="52"/>
      <c r="C571" s="3192">
        <f t="shared" si="86"/>
        <v>1</v>
      </c>
      <c r="D571" s="2559"/>
      <c r="E571" s="3192">
        <f t="shared" si="87"/>
        <v>0.02</v>
      </c>
      <c r="F571" s="631"/>
      <c r="G571" s="3192">
        <f t="shared" si="88"/>
        <v>0</v>
      </c>
      <c r="H571" s="631"/>
      <c r="I571" s="3192">
        <f t="shared" si="89"/>
        <v>1</v>
      </c>
      <c r="J571" s="631"/>
      <c r="K571" s="3192">
        <f t="shared" si="90"/>
        <v>1</v>
      </c>
      <c r="L571" s="631"/>
      <c r="M571" s="3192">
        <f t="shared" si="91"/>
        <v>1</v>
      </c>
      <c r="N571" s="631"/>
      <c r="O571" s="3192">
        <f t="shared" si="92"/>
        <v>1</v>
      </c>
      <c r="P571" s="631"/>
      <c r="Q571" s="3192">
        <f t="shared" si="93"/>
        <v>0</v>
      </c>
      <c r="R571" s="3192">
        <f t="shared" si="94"/>
        <v>0</v>
      </c>
      <c r="S571" s="898">
        <f t="shared" si="85"/>
        <v>0</v>
      </c>
      <c r="T571" s="3190">
        <f>面积表!A566</f>
        <v>0</v>
      </c>
    </row>
    <row r="572" spans="1:20">
      <c r="A572" s="3169"/>
      <c r="B572" s="52"/>
      <c r="C572" s="3192">
        <f t="shared" si="86"/>
        <v>1</v>
      </c>
      <c r="D572" s="2559"/>
      <c r="E572" s="3192">
        <f t="shared" si="87"/>
        <v>0.02</v>
      </c>
      <c r="F572" s="631"/>
      <c r="G572" s="3192">
        <f t="shared" si="88"/>
        <v>0</v>
      </c>
      <c r="H572" s="631"/>
      <c r="I572" s="3192">
        <f t="shared" si="89"/>
        <v>1</v>
      </c>
      <c r="J572" s="631"/>
      <c r="K572" s="3192">
        <f t="shared" si="90"/>
        <v>1</v>
      </c>
      <c r="L572" s="631"/>
      <c r="M572" s="3192">
        <f t="shared" si="91"/>
        <v>1</v>
      </c>
      <c r="N572" s="631"/>
      <c r="O572" s="3192">
        <f t="shared" si="92"/>
        <v>1</v>
      </c>
      <c r="P572" s="631"/>
      <c r="Q572" s="3192">
        <f t="shared" si="93"/>
        <v>0</v>
      </c>
      <c r="R572" s="3192">
        <f t="shared" si="94"/>
        <v>0</v>
      </c>
      <c r="S572" s="898">
        <f t="shared" si="85"/>
        <v>0</v>
      </c>
      <c r="T572" s="3190">
        <f>面积表!A567</f>
        <v>0</v>
      </c>
    </row>
    <row r="573" spans="1:20">
      <c r="A573" s="3169"/>
      <c r="B573" s="52"/>
      <c r="C573" s="3192">
        <f t="shared" si="86"/>
        <v>1</v>
      </c>
      <c r="D573" s="2559"/>
      <c r="E573" s="3192">
        <f t="shared" si="87"/>
        <v>0.02</v>
      </c>
      <c r="F573" s="631"/>
      <c r="G573" s="3192">
        <f t="shared" si="88"/>
        <v>0</v>
      </c>
      <c r="H573" s="631"/>
      <c r="I573" s="3192">
        <f t="shared" si="89"/>
        <v>1</v>
      </c>
      <c r="J573" s="631"/>
      <c r="K573" s="3192">
        <f t="shared" si="90"/>
        <v>1</v>
      </c>
      <c r="L573" s="631"/>
      <c r="M573" s="3192">
        <f t="shared" si="91"/>
        <v>1</v>
      </c>
      <c r="N573" s="631"/>
      <c r="O573" s="3192">
        <f t="shared" si="92"/>
        <v>1</v>
      </c>
      <c r="P573" s="631"/>
      <c r="Q573" s="3192">
        <f t="shared" si="93"/>
        <v>0</v>
      </c>
      <c r="R573" s="3192">
        <f t="shared" si="94"/>
        <v>0</v>
      </c>
      <c r="S573" s="898">
        <f t="shared" si="85"/>
        <v>0</v>
      </c>
      <c r="T573" s="3190">
        <f>面积表!A568</f>
        <v>0</v>
      </c>
    </row>
    <row r="574" spans="1:20">
      <c r="A574" s="3169"/>
      <c r="B574" s="52"/>
      <c r="C574" s="3192">
        <f t="shared" si="86"/>
        <v>1</v>
      </c>
      <c r="D574" s="2559"/>
      <c r="E574" s="3192">
        <f t="shared" si="87"/>
        <v>0.02</v>
      </c>
      <c r="F574" s="631"/>
      <c r="G574" s="3192">
        <f t="shared" si="88"/>
        <v>0</v>
      </c>
      <c r="H574" s="631"/>
      <c r="I574" s="3192">
        <f t="shared" si="89"/>
        <v>1</v>
      </c>
      <c r="J574" s="631"/>
      <c r="K574" s="3192">
        <f t="shared" si="90"/>
        <v>1</v>
      </c>
      <c r="L574" s="631"/>
      <c r="M574" s="3192">
        <f t="shared" si="91"/>
        <v>1</v>
      </c>
      <c r="N574" s="631"/>
      <c r="O574" s="3192">
        <f t="shared" si="92"/>
        <v>1</v>
      </c>
      <c r="P574" s="631"/>
      <c r="Q574" s="3192">
        <f t="shared" si="93"/>
        <v>0</v>
      </c>
      <c r="R574" s="3192">
        <f t="shared" si="94"/>
        <v>0</v>
      </c>
      <c r="S574" s="898">
        <f t="shared" si="85"/>
        <v>0</v>
      </c>
      <c r="T574" s="3190">
        <f>面积表!A569</f>
        <v>0</v>
      </c>
    </row>
    <row r="575" spans="1:20">
      <c r="A575" s="3169"/>
      <c r="B575" s="52"/>
      <c r="C575" s="3192">
        <f t="shared" si="86"/>
        <v>1</v>
      </c>
      <c r="D575" s="2559"/>
      <c r="E575" s="3192">
        <f t="shared" si="87"/>
        <v>0.02</v>
      </c>
      <c r="F575" s="631"/>
      <c r="G575" s="3192">
        <f t="shared" si="88"/>
        <v>0</v>
      </c>
      <c r="H575" s="631"/>
      <c r="I575" s="3192">
        <f t="shared" si="89"/>
        <v>1</v>
      </c>
      <c r="J575" s="631"/>
      <c r="K575" s="3192">
        <f t="shared" si="90"/>
        <v>1</v>
      </c>
      <c r="L575" s="631"/>
      <c r="M575" s="3192">
        <f t="shared" si="91"/>
        <v>1</v>
      </c>
      <c r="N575" s="631"/>
      <c r="O575" s="3192">
        <f t="shared" si="92"/>
        <v>1</v>
      </c>
      <c r="P575" s="631"/>
      <c r="Q575" s="3192">
        <f t="shared" si="93"/>
        <v>0</v>
      </c>
      <c r="R575" s="3192">
        <f t="shared" si="94"/>
        <v>0</v>
      </c>
      <c r="S575" s="898">
        <f t="shared" si="85"/>
        <v>0</v>
      </c>
      <c r="T575" s="3190">
        <f>面积表!A570</f>
        <v>0</v>
      </c>
    </row>
    <row r="576" spans="1:20">
      <c r="A576" s="3169"/>
      <c r="B576" s="52"/>
      <c r="C576" s="3192">
        <f t="shared" si="86"/>
        <v>1</v>
      </c>
      <c r="D576" s="2559"/>
      <c r="E576" s="3192">
        <f t="shared" si="87"/>
        <v>0.02</v>
      </c>
      <c r="F576" s="631"/>
      <c r="G576" s="3192">
        <f t="shared" si="88"/>
        <v>0</v>
      </c>
      <c r="H576" s="631"/>
      <c r="I576" s="3192">
        <f t="shared" si="89"/>
        <v>1</v>
      </c>
      <c r="J576" s="631"/>
      <c r="K576" s="3192">
        <f t="shared" si="90"/>
        <v>1</v>
      </c>
      <c r="L576" s="631"/>
      <c r="M576" s="3192">
        <f t="shared" si="91"/>
        <v>1</v>
      </c>
      <c r="N576" s="631"/>
      <c r="O576" s="3192">
        <f t="shared" si="92"/>
        <v>1</v>
      </c>
      <c r="P576" s="631"/>
      <c r="Q576" s="3192">
        <f t="shared" si="93"/>
        <v>0</v>
      </c>
      <c r="R576" s="3192">
        <f t="shared" si="94"/>
        <v>0</v>
      </c>
      <c r="S576" s="898">
        <f t="shared" si="85"/>
        <v>0</v>
      </c>
      <c r="T576" s="3190">
        <f>面积表!A571</f>
        <v>0</v>
      </c>
    </row>
    <row r="577" spans="1:20">
      <c r="A577" s="3169"/>
      <c r="B577" s="52"/>
      <c r="C577" s="3192">
        <f t="shared" si="86"/>
        <v>1</v>
      </c>
      <c r="D577" s="2559"/>
      <c r="E577" s="3192">
        <f t="shared" si="87"/>
        <v>0.02</v>
      </c>
      <c r="F577" s="631"/>
      <c r="G577" s="3192">
        <f t="shared" si="88"/>
        <v>0</v>
      </c>
      <c r="H577" s="631"/>
      <c r="I577" s="3192">
        <f t="shared" si="89"/>
        <v>1</v>
      </c>
      <c r="J577" s="631"/>
      <c r="K577" s="3192">
        <f t="shared" si="90"/>
        <v>1</v>
      </c>
      <c r="L577" s="631"/>
      <c r="M577" s="3192">
        <f t="shared" si="91"/>
        <v>1</v>
      </c>
      <c r="N577" s="631"/>
      <c r="O577" s="3192">
        <f t="shared" si="92"/>
        <v>1</v>
      </c>
      <c r="P577" s="631"/>
      <c r="Q577" s="3192">
        <f t="shared" si="93"/>
        <v>0</v>
      </c>
      <c r="R577" s="3192">
        <f t="shared" si="94"/>
        <v>0</v>
      </c>
      <c r="S577" s="898">
        <f t="shared" si="85"/>
        <v>0</v>
      </c>
      <c r="T577" s="3190">
        <f>面积表!A572</f>
        <v>0</v>
      </c>
    </row>
    <row r="578" spans="1:20">
      <c r="A578" s="3169"/>
      <c r="B578" s="52"/>
      <c r="C578" s="3192">
        <f t="shared" si="86"/>
        <v>1</v>
      </c>
      <c r="D578" s="2559"/>
      <c r="E578" s="3192">
        <f t="shared" si="87"/>
        <v>0.02</v>
      </c>
      <c r="F578" s="631"/>
      <c r="G578" s="3192">
        <f t="shared" si="88"/>
        <v>0</v>
      </c>
      <c r="H578" s="631"/>
      <c r="I578" s="3192">
        <f t="shared" si="89"/>
        <v>1</v>
      </c>
      <c r="J578" s="631"/>
      <c r="K578" s="3192">
        <f t="shared" si="90"/>
        <v>1</v>
      </c>
      <c r="L578" s="631"/>
      <c r="M578" s="3192">
        <f t="shared" si="91"/>
        <v>1</v>
      </c>
      <c r="N578" s="631"/>
      <c r="O578" s="3192">
        <f t="shared" si="92"/>
        <v>1</v>
      </c>
      <c r="P578" s="631"/>
      <c r="Q578" s="3192">
        <f t="shared" si="93"/>
        <v>0</v>
      </c>
      <c r="R578" s="3192">
        <f t="shared" si="94"/>
        <v>0</v>
      </c>
      <c r="S578" s="898">
        <f t="shared" si="85"/>
        <v>0</v>
      </c>
      <c r="T578" s="3190">
        <f>面积表!A573</f>
        <v>0</v>
      </c>
    </row>
    <row r="579" spans="1:20">
      <c r="A579" s="3169"/>
      <c r="B579" s="52"/>
      <c r="C579" s="3192">
        <f t="shared" si="86"/>
        <v>1</v>
      </c>
      <c r="D579" s="2559"/>
      <c r="E579" s="3192">
        <f t="shared" si="87"/>
        <v>0.02</v>
      </c>
      <c r="F579" s="631"/>
      <c r="G579" s="3192">
        <f t="shared" si="88"/>
        <v>0</v>
      </c>
      <c r="H579" s="631"/>
      <c r="I579" s="3192">
        <f t="shared" si="89"/>
        <v>1</v>
      </c>
      <c r="J579" s="631"/>
      <c r="K579" s="3192">
        <f t="shared" si="90"/>
        <v>1</v>
      </c>
      <c r="L579" s="631"/>
      <c r="M579" s="3192">
        <f t="shared" si="91"/>
        <v>1</v>
      </c>
      <c r="N579" s="631"/>
      <c r="O579" s="3192">
        <f t="shared" si="92"/>
        <v>1</v>
      </c>
      <c r="P579" s="631"/>
      <c r="Q579" s="3192">
        <f t="shared" si="93"/>
        <v>0</v>
      </c>
      <c r="R579" s="3192">
        <f t="shared" si="94"/>
        <v>0</v>
      </c>
      <c r="S579" s="898">
        <f t="shared" si="85"/>
        <v>0</v>
      </c>
      <c r="T579" s="3190">
        <f>面积表!A574</f>
        <v>0</v>
      </c>
    </row>
    <row r="580" spans="1:20">
      <c r="A580" s="3169"/>
      <c r="B580" s="52"/>
      <c r="C580" s="3192">
        <f t="shared" si="86"/>
        <v>1</v>
      </c>
      <c r="D580" s="2559"/>
      <c r="E580" s="3192">
        <f t="shared" si="87"/>
        <v>0.02</v>
      </c>
      <c r="F580" s="631"/>
      <c r="G580" s="3192">
        <f t="shared" si="88"/>
        <v>0</v>
      </c>
      <c r="H580" s="631"/>
      <c r="I580" s="3192">
        <f t="shared" si="89"/>
        <v>1</v>
      </c>
      <c r="J580" s="631"/>
      <c r="K580" s="3192">
        <f t="shared" si="90"/>
        <v>1</v>
      </c>
      <c r="L580" s="631"/>
      <c r="M580" s="3192">
        <f t="shared" si="91"/>
        <v>1</v>
      </c>
      <c r="N580" s="631"/>
      <c r="O580" s="3192">
        <f t="shared" si="92"/>
        <v>1</v>
      </c>
      <c r="P580" s="631"/>
      <c r="Q580" s="3192">
        <f t="shared" si="93"/>
        <v>0</v>
      </c>
      <c r="R580" s="3192">
        <f t="shared" si="94"/>
        <v>0</v>
      </c>
      <c r="S580" s="898">
        <f t="shared" si="85"/>
        <v>0</v>
      </c>
      <c r="T580" s="3190">
        <f>面积表!A575</f>
        <v>0</v>
      </c>
    </row>
    <row r="581" spans="1:20">
      <c r="A581" s="3169"/>
      <c r="B581" s="52"/>
      <c r="C581" s="3192">
        <f t="shared" si="86"/>
        <v>1</v>
      </c>
      <c r="D581" s="2559"/>
      <c r="E581" s="3192">
        <f t="shared" si="87"/>
        <v>0.02</v>
      </c>
      <c r="F581" s="631"/>
      <c r="G581" s="3192">
        <f t="shared" si="88"/>
        <v>0</v>
      </c>
      <c r="H581" s="631"/>
      <c r="I581" s="3192">
        <f t="shared" si="89"/>
        <v>1</v>
      </c>
      <c r="J581" s="631"/>
      <c r="K581" s="3192">
        <f t="shared" si="90"/>
        <v>1</v>
      </c>
      <c r="L581" s="631"/>
      <c r="M581" s="3192">
        <f t="shared" si="91"/>
        <v>1</v>
      </c>
      <c r="N581" s="631"/>
      <c r="O581" s="3192">
        <f t="shared" si="92"/>
        <v>1</v>
      </c>
      <c r="P581" s="631"/>
      <c r="Q581" s="3192">
        <f t="shared" si="93"/>
        <v>0</v>
      </c>
      <c r="R581" s="3192">
        <f t="shared" si="94"/>
        <v>0</v>
      </c>
      <c r="S581" s="898">
        <f t="shared" si="85"/>
        <v>0</v>
      </c>
      <c r="T581" s="3190">
        <f>面积表!A576</f>
        <v>0</v>
      </c>
    </row>
    <row r="582" spans="1:20">
      <c r="A582" s="3169"/>
      <c r="B582" s="52"/>
      <c r="C582" s="3192">
        <f t="shared" si="86"/>
        <v>1</v>
      </c>
      <c r="D582" s="2559"/>
      <c r="E582" s="3192">
        <f t="shared" si="87"/>
        <v>0.02</v>
      </c>
      <c r="F582" s="631"/>
      <c r="G582" s="3192">
        <f t="shared" si="88"/>
        <v>0</v>
      </c>
      <c r="H582" s="631"/>
      <c r="I582" s="3192">
        <f t="shared" si="89"/>
        <v>1</v>
      </c>
      <c r="J582" s="631"/>
      <c r="K582" s="3192">
        <f t="shared" si="90"/>
        <v>1</v>
      </c>
      <c r="L582" s="631"/>
      <c r="M582" s="3192">
        <f t="shared" si="91"/>
        <v>1</v>
      </c>
      <c r="N582" s="631"/>
      <c r="O582" s="3192">
        <f t="shared" si="92"/>
        <v>1</v>
      </c>
      <c r="P582" s="631"/>
      <c r="Q582" s="3192">
        <f t="shared" si="93"/>
        <v>0</v>
      </c>
      <c r="R582" s="3192">
        <f t="shared" si="94"/>
        <v>0</v>
      </c>
      <c r="S582" s="898">
        <f t="shared" si="85"/>
        <v>0</v>
      </c>
      <c r="T582" s="3190">
        <f>面积表!A577</f>
        <v>0</v>
      </c>
    </row>
    <row r="583" spans="1:20">
      <c r="A583" s="3169"/>
      <c r="B583" s="52"/>
      <c r="C583" s="3192">
        <f t="shared" si="86"/>
        <v>1</v>
      </c>
      <c r="D583" s="2559"/>
      <c r="E583" s="3192">
        <f t="shared" si="87"/>
        <v>0.02</v>
      </c>
      <c r="F583" s="631"/>
      <c r="G583" s="3192">
        <f t="shared" si="88"/>
        <v>0</v>
      </c>
      <c r="H583" s="631"/>
      <c r="I583" s="3192">
        <f t="shared" si="89"/>
        <v>1</v>
      </c>
      <c r="J583" s="631"/>
      <c r="K583" s="3192">
        <f t="shared" si="90"/>
        <v>1</v>
      </c>
      <c r="L583" s="631"/>
      <c r="M583" s="3192">
        <f t="shared" si="91"/>
        <v>1</v>
      </c>
      <c r="N583" s="631"/>
      <c r="O583" s="3192">
        <f t="shared" si="92"/>
        <v>1</v>
      </c>
      <c r="P583" s="631"/>
      <c r="Q583" s="3192">
        <f t="shared" si="93"/>
        <v>0</v>
      </c>
      <c r="R583" s="3192">
        <f t="shared" si="94"/>
        <v>0</v>
      </c>
      <c r="S583" s="898">
        <f t="shared" si="85"/>
        <v>0</v>
      </c>
      <c r="T583" s="3190">
        <f>面积表!A578</f>
        <v>0</v>
      </c>
    </row>
    <row r="584" spans="1:20">
      <c r="A584" s="3169"/>
      <c r="B584" s="52"/>
      <c r="C584" s="3192">
        <f t="shared" si="86"/>
        <v>1</v>
      </c>
      <c r="D584" s="2559"/>
      <c r="E584" s="3192">
        <f t="shared" si="87"/>
        <v>0.02</v>
      </c>
      <c r="F584" s="631"/>
      <c r="G584" s="3192">
        <f t="shared" si="88"/>
        <v>0</v>
      </c>
      <c r="H584" s="631"/>
      <c r="I584" s="3192">
        <f t="shared" si="89"/>
        <v>1</v>
      </c>
      <c r="J584" s="631"/>
      <c r="K584" s="3192">
        <f t="shared" si="90"/>
        <v>1</v>
      </c>
      <c r="L584" s="631"/>
      <c r="M584" s="3192">
        <f t="shared" si="91"/>
        <v>1</v>
      </c>
      <c r="N584" s="631"/>
      <c r="O584" s="3192">
        <f t="shared" si="92"/>
        <v>1</v>
      </c>
      <c r="P584" s="631"/>
      <c r="Q584" s="3192">
        <f t="shared" si="93"/>
        <v>0</v>
      </c>
      <c r="R584" s="3192">
        <f t="shared" si="94"/>
        <v>0</v>
      </c>
      <c r="S584" s="898">
        <f t="shared" si="85"/>
        <v>0</v>
      </c>
      <c r="T584" s="3190">
        <f>面积表!A579</f>
        <v>0</v>
      </c>
    </row>
    <row r="585" spans="1:20">
      <c r="A585" s="3169"/>
      <c r="B585" s="52"/>
      <c r="C585" s="3192">
        <f t="shared" si="86"/>
        <v>1</v>
      </c>
      <c r="D585" s="2559"/>
      <c r="E585" s="3192">
        <f t="shared" si="87"/>
        <v>0.02</v>
      </c>
      <c r="F585" s="631"/>
      <c r="G585" s="3192">
        <f t="shared" si="88"/>
        <v>0</v>
      </c>
      <c r="H585" s="631"/>
      <c r="I585" s="3192">
        <f t="shared" si="89"/>
        <v>1</v>
      </c>
      <c r="J585" s="631"/>
      <c r="K585" s="3192">
        <f t="shared" si="90"/>
        <v>1</v>
      </c>
      <c r="L585" s="631"/>
      <c r="M585" s="3192">
        <f t="shared" si="91"/>
        <v>1</v>
      </c>
      <c r="N585" s="631"/>
      <c r="O585" s="3192">
        <f t="shared" si="92"/>
        <v>1</v>
      </c>
      <c r="P585" s="631"/>
      <c r="Q585" s="3192">
        <f t="shared" si="93"/>
        <v>0</v>
      </c>
      <c r="R585" s="3192">
        <f t="shared" si="94"/>
        <v>0</v>
      </c>
      <c r="S585" s="898">
        <f t="shared" si="85"/>
        <v>0</v>
      </c>
      <c r="T585" s="3190">
        <f>面积表!A580</f>
        <v>0</v>
      </c>
    </row>
    <row r="586" spans="1:20">
      <c r="A586" s="3169"/>
      <c r="B586" s="52"/>
      <c r="C586" s="3192">
        <f t="shared" si="86"/>
        <v>1</v>
      </c>
      <c r="D586" s="2559"/>
      <c r="E586" s="3192">
        <f t="shared" si="87"/>
        <v>0.02</v>
      </c>
      <c r="F586" s="631"/>
      <c r="G586" s="3192">
        <f t="shared" si="88"/>
        <v>0</v>
      </c>
      <c r="H586" s="631"/>
      <c r="I586" s="3192">
        <f t="shared" si="89"/>
        <v>1</v>
      </c>
      <c r="J586" s="631"/>
      <c r="K586" s="3192">
        <f t="shared" si="90"/>
        <v>1</v>
      </c>
      <c r="L586" s="631"/>
      <c r="M586" s="3192">
        <f t="shared" si="91"/>
        <v>1</v>
      </c>
      <c r="N586" s="631"/>
      <c r="O586" s="3192">
        <f t="shared" si="92"/>
        <v>1</v>
      </c>
      <c r="P586" s="631"/>
      <c r="Q586" s="3192">
        <f t="shared" si="93"/>
        <v>0</v>
      </c>
      <c r="R586" s="3192">
        <f t="shared" si="94"/>
        <v>0</v>
      </c>
      <c r="S586" s="898">
        <f t="shared" si="85"/>
        <v>0</v>
      </c>
      <c r="T586" s="3190">
        <f>面积表!A581</f>
        <v>0</v>
      </c>
    </row>
    <row r="587" spans="1:20">
      <c r="A587" s="3169"/>
      <c r="B587" s="52"/>
      <c r="C587" s="3192">
        <f t="shared" si="86"/>
        <v>1</v>
      </c>
      <c r="D587" s="2559"/>
      <c r="E587" s="3192">
        <f t="shared" si="87"/>
        <v>0.02</v>
      </c>
      <c r="F587" s="631"/>
      <c r="G587" s="3192">
        <f t="shared" si="88"/>
        <v>0</v>
      </c>
      <c r="H587" s="631"/>
      <c r="I587" s="3192">
        <f t="shared" si="89"/>
        <v>1</v>
      </c>
      <c r="J587" s="631"/>
      <c r="K587" s="3192">
        <f t="shared" si="90"/>
        <v>1</v>
      </c>
      <c r="L587" s="631"/>
      <c r="M587" s="3192">
        <f t="shared" si="91"/>
        <v>1</v>
      </c>
      <c r="N587" s="631"/>
      <c r="O587" s="3192">
        <f t="shared" si="92"/>
        <v>1</v>
      </c>
      <c r="P587" s="631"/>
      <c r="Q587" s="3192">
        <f t="shared" si="93"/>
        <v>0</v>
      </c>
      <c r="R587" s="3192">
        <f t="shared" si="94"/>
        <v>0</v>
      </c>
      <c r="S587" s="898">
        <f t="shared" si="85"/>
        <v>0</v>
      </c>
      <c r="T587" s="3190">
        <f>面积表!A582</f>
        <v>0</v>
      </c>
    </row>
    <row r="588" spans="1:20">
      <c r="A588" s="3169"/>
      <c r="B588" s="52"/>
      <c r="C588" s="3192">
        <f t="shared" si="86"/>
        <v>1</v>
      </c>
      <c r="D588" s="2559"/>
      <c r="E588" s="3192">
        <f t="shared" si="87"/>
        <v>0.02</v>
      </c>
      <c r="F588" s="631"/>
      <c r="G588" s="3192">
        <f t="shared" si="88"/>
        <v>0</v>
      </c>
      <c r="H588" s="631"/>
      <c r="I588" s="3192">
        <f t="shared" si="89"/>
        <v>1</v>
      </c>
      <c r="J588" s="631"/>
      <c r="K588" s="3192">
        <f t="shared" si="90"/>
        <v>1</v>
      </c>
      <c r="L588" s="631"/>
      <c r="M588" s="3192">
        <f t="shared" si="91"/>
        <v>1</v>
      </c>
      <c r="N588" s="631"/>
      <c r="O588" s="3192">
        <f t="shared" si="92"/>
        <v>1</v>
      </c>
      <c r="P588" s="631"/>
      <c r="Q588" s="3192">
        <f t="shared" si="93"/>
        <v>0</v>
      </c>
      <c r="R588" s="3192">
        <f t="shared" si="94"/>
        <v>0</v>
      </c>
      <c r="S588" s="898">
        <f t="shared" si="85"/>
        <v>0</v>
      </c>
      <c r="T588" s="3190">
        <f>面积表!A583</f>
        <v>0</v>
      </c>
    </row>
    <row r="589" spans="1:20">
      <c r="A589" s="3169"/>
      <c r="B589" s="52"/>
      <c r="C589" s="3192">
        <f t="shared" si="86"/>
        <v>1</v>
      </c>
      <c r="D589" s="2559"/>
      <c r="E589" s="3192">
        <f t="shared" si="87"/>
        <v>0.02</v>
      </c>
      <c r="F589" s="631"/>
      <c r="G589" s="3192">
        <f t="shared" si="88"/>
        <v>0</v>
      </c>
      <c r="H589" s="631"/>
      <c r="I589" s="3192">
        <f t="shared" si="89"/>
        <v>1</v>
      </c>
      <c r="J589" s="631"/>
      <c r="K589" s="3192">
        <f t="shared" si="90"/>
        <v>1</v>
      </c>
      <c r="L589" s="631"/>
      <c r="M589" s="3192">
        <f t="shared" si="91"/>
        <v>1</v>
      </c>
      <c r="N589" s="631"/>
      <c r="O589" s="3192">
        <f t="shared" si="92"/>
        <v>1</v>
      </c>
      <c r="P589" s="631"/>
      <c r="Q589" s="3192">
        <f t="shared" si="93"/>
        <v>0</v>
      </c>
      <c r="R589" s="3192">
        <f t="shared" si="94"/>
        <v>0</v>
      </c>
      <c r="S589" s="898">
        <f t="shared" si="85"/>
        <v>0</v>
      </c>
      <c r="T589" s="3190">
        <f>面积表!A584</f>
        <v>0</v>
      </c>
    </row>
    <row r="590" spans="1:20">
      <c r="A590" s="3169"/>
      <c r="B590" s="52"/>
      <c r="C590" s="3192">
        <f t="shared" si="86"/>
        <v>1</v>
      </c>
      <c r="D590" s="2559"/>
      <c r="E590" s="3192">
        <f t="shared" si="87"/>
        <v>0.02</v>
      </c>
      <c r="F590" s="631"/>
      <c r="G590" s="3192">
        <f t="shared" si="88"/>
        <v>0</v>
      </c>
      <c r="H590" s="631"/>
      <c r="I590" s="3192">
        <f t="shared" si="89"/>
        <v>1</v>
      </c>
      <c r="J590" s="631"/>
      <c r="K590" s="3192">
        <f t="shared" si="90"/>
        <v>1</v>
      </c>
      <c r="L590" s="631"/>
      <c r="M590" s="3192">
        <f t="shared" si="91"/>
        <v>1</v>
      </c>
      <c r="N590" s="631"/>
      <c r="O590" s="3192">
        <f t="shared" si="92"/>
        <v>1</v>
      </c>
      <c r="P590" s="631"/>
      <c r="Q590" s="3192">
        <f t="shared" si="93"/>
        <v>0</v>
      </c>
      <c r="R590" s="3192">
        <f t="shared" si="94"/>
        <v>0</v>
      </c>
      <c r="S590" s="898">
        <f t="shared" si="85"/>
        <v>0</v>
      </c>
      <c r="T590" s="3190">
        <f>面积表!A585</f>
        <v>0</v>
      </c>
    </row>
    <row r="591" spans="1:20">
      <c r="A591" s="3169"/>
      <c r="B591" s="52"/>
      <c r="C591" s="3192">
        <f t="shared" si="86"/>
        <v>1</v>
      </c>
      <c r="D591" s="2559"/>
      <c r="E591" s="3192">
        <f t="shared" si="87"/>
        <v>0.02</v>
      </c>
      <c r="F591" s="631"/>
      <c r="G591" s="3192">
        <f t="shared" si="88"/>
        <v>0</v>
      </c>
      <c r="H591" s="631"/>
      <c r="I591" s="3192">
        <f t="shared" si="89"/>
        <v>1</v>
      </c>
      <c r="J591" s="631"/>
      <c r="K591" s="3192">
        <f t="shared" si="90"/>
        <v>1</v>
      </c>
      <c r="L591" s="631"/>
      <c r="M591" s="3192">
        <f t="shared" si="91"/>
        <v>1</v>
      </c>
      <c r="N591" s="631"/>
      <c r="O591" s="3192">
        <f t="shared" si="92"/>
        <v>1</v>
      </c>
      <c r="P591" s="631"/>
      <c r="Q591" s="3192">
        <f t="shared" si="93"/>
        <v>0</v>
      </c>
      <c r="R591" s="3192">
        <f t="shared" si="94"/>
        <v>0</v>
      </c>
      <c r="S591" s="898">
        <f t="shared" si="85"/>
        <v>0</v>
      </c>
      <c r="T591" s="3190">
        <f>面积表!A586</f>
        <v>0</v>
      </c>
    </row>
    <row r="592" spans="1:20">
      <c r="A592" s="3169"/>
      <c r="B592" s="52"/>
      <c r="C592" s="3192">
        <f t="shared" si="86"/>
        <v>1</v>
      </c>
      <c r="D592" s="2559"/>
      <c r="E592" s="3192">
        <f t="shared" si="87"/>
        <v>0.02</v>
      </c>
      <c r="F592" s="631"/>
      <c r="G592" s="3192">
        <f t="shared" si="88"/>
        <v>0</v>
      </c>
      <c r="H592" s="631"/>
      <c r="I592" s="3192">
        <f t="shared" si="89"/>
        <v>1</v>
      </c>
      <c r="J592" s="631"/>
      <c r="K592" s="3192">
        <f t="shared" si="90"/>
        <v>1</v>
      </c>
      <c r="L592" s="631"/>
      <c r="M592" s="3192">
        <f t="shared" si="91"/>
        <v>1</v>
      </c>
      <c r="N592" s="631"/>
      <c r="O592" s="3192">
        <f t="shared" si="92"/>
        <v>1</v>
      </c>
      <c r="P592" s="631"/>
      <c r="Q592" s="3192">
        <f t="shared" si="93"/>
        <v>0</v>
      </c>
      <c r="R592" s="3192">
        <f t="shared" si="94"/>
        <v>0</v>
      </c>
      <c r="S592" s="898">
        <f t="shared" si="85"/>
        <v>0</v>
      </c>
      <c r="T592" s="3190">
        <f>面积表!A587</f>
        <v>0</v>
      </c>
    </row>
    <row r="593" spans="1:20">
      <c r="A593" s="3169"/>
      <c r="B593" s="52"/>
      <c r="C593" s="3192">
        <f t="shared" si="86"/>
        <v>1</v>
      </c>
      <c r="D593" s="2559"/>
      <c r="E593" s="3192">
        <f t="shared" si="87"/>
        <v>0.02</v>
      </c>
      <c r="F593" s="631"/>
      <c r="G593" s="3192">
        <f t="shared" si="88"/>
        <v>0</v>
      </c>
      <c r="H593" s="631"/>
      <c r="I593" s="3192">
        <f t="shared" si="89"/>
        <v>1</v>
      </c>
      <c r="J593" s="631"/>
      <c r="K593" s="3192">
        <f t="shared" si="90"/>
        <v>1</v>
      </c>
      <c r="L593" s="631"/>
      <c r="M593" s="3192">
        <f t="shared" si="91"/>
        <v>1</v>
      </c>
      <c r="N593" s="631"/>
      <c r="O593" s="3192">
        <f t="shared" si="92"/>
        <v>1</v>
      </c>
      <c r="P593" s="631"/>
      <c r="Q593" s="3192">
        <f t="shared" si="93"/>
        <v>0</v>
      </c>
      <c r="R593" s="3192">
        <f t="shared" si="94"/>
        <v>0</v>
      </c>
      <c r="S593" s="898">
        <f t="shared" si="85"/>
        <v>0</v>
      </c>
      <c r="T593" s="3190">
        <f>面积表!A588</f>
        <v>0</v>
      </c>
    </row>
    <row r="594" spans="1:20">
      <c r="A594" s="3169"/>
      <c r="B594" s="52"/>
      <c r="C594" s="3192">
        <f t="shared" si="86"/>
        <v>1</v>
      </c>
      <c r="D594" s="2559"/>
      <c r="E594" s="3192">
        <f t="shared" si="87"/>
        <v>0.02</v>
      </c>
      <c r="F594" s="631"/>
      <c r="G594" s="3192">
        <f t="shared" si="88"/>
        <v>0</v>
      </c>
      <c r="H594" s="631"/>
      <c r="I594" s="3192">
        <f t="shared" si="89"/>
        <v>1</v>
      </c>
      <c r="J594" s="631"/>
      <c r="K594" s="3192">
        <f t="shared" si="90"/>
        <v>1</v>
      </c>
      <c r="L594" s="631"/>
      <c r="M594" s="3192">
        <f t="shared" si="91"/>
        <v>1</v>
      </c>
      <c r="N594" s="631"/>
      <c r="O594" s="3192">
        <f t="shared" si="92"/>
        <v>1</v>
      </c>
      <c r="P594" s="631"/>
      <c r="Q594" s="3192">
        <f t="shared" si="93"/>
        <v>0</v>
      </c>
      <c r="R594" s="3192">
        <f t="shared" si="94"/>
        <v>0</v>
      </c>
      <c r="S594" s="898">
        <f t="shared" si="85"/>
        <v>0</v>
      </c>
      <c r="T594" s="3190">
        <f>面积表!A589</f>
        <v>0</v>
      </c>
    </row>
    <row r="595" spans="1:20">
      <c r="A595" s="3169"/>
      <c r="B595" s="52"/>
      <c r="C595" s="3192">
        <f t="shared" si="86"/>
        <v>1</v>
      </c>
      <c r="D595" s="2559"/>
      <c r="E595" s="3192">
        <f t="shared" si="87"/>
        <v>0.02</v>
      </c>
      <c r="F595" s="631"/>
      <c r="G595" s="3192">
        <f t="shared" si="88"/>
        <v>0</v>
      </c>
      <c r="H595" s="631"/>
      <c r="I595" s="3192">
        <f t="shared" si="89"/>
        <v>1</v>
      </c>
      <c r="J595" s="631"/>
      <c r="K595" s="3192">
        <f t="shared" si="90"/>
        <v>1</v>
      </c>
      <c r="L595" s="631"/>
      <c r="M595" s="3192">
        <f t="shared" si="91"/>
        <v>1</v>
      </c>
      <c r="N595" s="631"/>
      <c r="O595" s="3192">
        <f t="shared" si="92"/>
        <v>1</v>
      </c>
      <c r="P595" s="631"/>
      <c r="Q595" s="3192">
        <f t="shared" si="93"/>
        <v>0</v>
      </c>
      <c r="R595" s="3192">
        <f t="shared" si="94"/>
        <v>0</v>
      </c>
      <c r="S595" s="898">
        <f t="shared" si="85"/>
        <v>0</v>
      </c>
      <c r="T595" s="3190">
        <f>面积表!A590</f>
        <v>0</v>
      </c>
    </row>
    <row r="596" spans="1:20">
      <c r="A596" s="3169"/>
      <c r="B596" s="52"/>
      <c r="C596" s="3192">
        <f t="shared" si="86"/>
        <v>1</v>
      </c>
      <c r="D596" s="2559"/>
      <c r="E596" s="3192">
        <f t="shared" si="87"/>
        <v>0.02</v>
      </c>
      <c r="F596" s="631"/>
      <c r="G596" s="3192">
        <f t="shared" si="88"/>
        <v>0</v>
      </c>
      <c r="H596" s="631"/>
      <c r="I596" s="3192">
        <f t="shared" si="89"/>
        <v>1</v>
      </c>
      <c r="J596" s="631"/>
      <c r="K596" s="3192">
        <f t="shared" si="90"/>
        <v>1</v>
      </c>
      <c r="L596" s="631"/>
      <c r="M596" s="3192">
        <f t="shared" si="91"/>
        <v>1</v>
      </c>
      <c r="N596" s="631"/>
      <c r="O596" s="3192">
        <f t="shared" si="92"/>
        <v>1</v>
      </c>
      <c r="P596" s="631"/>
      <c r="Q596" s="3192">
        <f t="shared" si="93"/>
        <v>0</v>
      </c>
      <c r="R596" s="3192">
        <f t="shared" si="94"/>
        <v>0</v>
      </c>
      <c r="S596" s="898">
        <f t="shared" si="85"/>
        <v>0</v>
      </c>
      <c r="T596" s="3190">
        <f>面积表!A591</f>
        <v>0</v>
      </c>
    </row>
    <row r="597" spans="1:20">
      <c r="A597" s="3169"/>
      <c r="B597" s="52"/>
      <c r="C597" s="3192">
        <f t="shared" si="86"/>
        <v>1</v>
      </c>
      <c r="D597" s="2559"/>
      <c r="E597" s="3192">
        <f t="shared" si="87"/>
        <v>0.02</v>
      </c>
      <c r="F597" s="631"/>
      <c r="G597" s="3192">
        <f t="shared" si="88"/>
        <v>0</v>
      </c>
      <c r="H597" s="631"/>
      <c r="I597" s="3192">
        <f t="shared" si="89"/>
        <v>1</v>
      </c>
      <c r="J597" s="631"/>
      <c r="K597" s="3192">
        <f t="shared" si="90"/>
        <v>1</v>
      </c>
      <c r="L597" s="631"/>
      <c r="M597" s="3192">
        <f t="shared" si="91"/>
        <v>1</v>
      </c>
      <c r="N597" s="631"/>
      <c r="O597" s="3192">
        <f t="shared" si="92"/>
        <v>1</v>
      </c>
      <c r="P597" s="631"/>
      <c r="Q597" s="3192">
        <f t="shared" si="93"/>
        <v>0</v>
      </c>
      <c r="R597" s="3192">
        <f t="shared" si="94"/>
        <v>0</v>
      </c>
      <c r="S597" s="898">
        <f t="shared" si="85"/>
        <v>0</v>
      </c>
      <c r="T597" s="3190">
        <f>面积表!A592</f>
        <v>0</v>
      </c>
    </row>
    <row r="598" spans="1:20">
      <c r="A598" s="3169"/>
      <c r="B598" s="52"/>
      <c r="C598" s="3192">
        <f t="shared" si="86"/>
        <v>1</v>
      </c>
      <c r="D598" s="2559"/>
      <c r="E598" s="3192">
        <f t="shared" si="87"/>
        <v>0.02</v>
      </c>
      <c r="F598" s="631"/>
      <c r="G598" s="3192">
        <f t="shared" si="88"/>
        <v>0</v>
      </c>
      <c r="H598" s="631"/>
      <c r="I598" s="3192">
        <f t="shared" si="89"/>
        <v>1</v>
      </c>
      <c r="J598" s="631"/>
      <c r="K598" s="3192">
        <f t="shared" si="90"/>
        <v>1</v>
      </c>
      <c r="L598" s="631"/>
      <c r="M598" s="3192">
        <f t="shared" si="91"/>
        <v>1</v>
      </c>
      <c r="N598" s="631"/>
      <c r="O598" s="3192">
        <f t="shared" si="92"/>
        <v>1</v>
      </c>
      <c r="P598" s="631"/>
      <c r="Q598" s="3192">
        <f t="shared" si="93"/>
        <v>0</v>
      </c>
      <c r="R598" s="3192">
        <f t="shared" si="94"/>
        <v>0</v>
      </c>
      <c r="S598" s="898">
        <f t="shared" si="85"/>
        <v>0</v>
      </c>
      <c r="T598" s="3190">
        <f>面积表!A593</f>
        <v>0</v>
      </c>
    </row>
    <row r="599" spans="1:20">
      <c r="A599" s="3169"/>
      <c r="B599" s="52"/>
      <c r="C599" s="3192">
        <f t="shared" si="86"/>
        <v>1</v>
      </c>
      <c r="D599" s="2559"/>
      <c r="E599" s="3192">
        <f t="shared" si="87"/>
        <v>0.02</v>
      </c>
      <c r="F599" s="631"/>
      <c r="G599" s="3192">
        <f t="shared" si="88"/>
        <v>0</v>
      </c>
      <c r="H599" s="631"/>
      <c r="I599" s="3192">
        <f t="shared" si="89"/>
        <v>1</v>
      </c>
      <c r="J599" s="631"/>
      <c r="K599" s="3192">
        <f t="shared" si="90"/>
        <v>1</v>
      </c>
      <c r="L599" s="631"/>
      <c r="M599" s="3192">
        <f t="shared" si="91"/>
        <v>1</v>
      </c>
      <c r="N599" s="631"/>
      <c r="O599" s="3192">
        <f t="shared" si="92"/>
        <v>1</v>
      </c>
      <c r="P599" s="631"/>
      <c r="Q599" s="3192">
        <f t="shared" si="93"/>
        <v>0</v>
      </c>
      <c r="R599" s="3192">
        <f t="shared" si="94"/>
        <v>0</v>
      </c>
      <c r="S599" s="898">
        <f t="shared" si="85"/>
        <v>0</v>
      </c>
      <c r="T599" s="3190">
        <f>面积表!A594</f>
        <v>0</v>
      </c>
    </row>
    <row r="600" spans="1:20">
      <c r="A600" s="3169"/>
      <c r="B600" s="52"/>
      <c r="C600" s="3192">
        <f t="shared" si="86"/>
        <v>1</v>
      </c>
      <c r="D600" s="2559"/>
      <c r="E600" s="3192">
        <f t="shared" si="87"/>
        <v>0.02</v>
      </c>
      <c r="F600" s="631"/>
      <c r="G600" s="3192">
        <f t="shared" si="88"/>
        <v>0</v>
      </c>
      <c r="H600" s="631"/>
      <c r="I600" s="3192">
        <f t="shared" si="89"/>
        <v>1</v>
      </c>
      <c r="J600" s="631"/>
      <c r="K600" s="3192">
        <f t="shared" si="90"/>
        <v>1</v>
      </c>
      <c r="L600" s="631"/>
      <c r="M600" s="3192">
        <f t="shared" si="91"/>
        <v>1</v>
      </c>
      <c r="N600" s="631"/>
      <c r="O600" s="3192">
        <f t="shared" si="92"/>
        <v>1</v>
      </c>
      <c r="P600" s="631"/>
      <c r="Q600" s="3192">
        <f t="shared" si="93"/>
        <v>0</v>
      </c>
      <c r="R600" s="3192">
        <f t="shared" si="94"/>
        <v>0</v>
      </c>
      <c r="S600" s="898">
        <f t="shared" ref="S600:S663" si="95">ROUND(R600*B600/10000,0)</f>
        <v>0</v>
      </c>
      <c r="T600" s="3190">
        <f>面积表!A595</f>
        <v>0</v>
      </c>
    </row>
    <row r="601" spans="1:20">
      <c r="A601" s="3169"/>
      <c r="B601" s="52"/>
      <c r="C601" s="3192">
        <f t="shared" si="86"/>
        <v>1</v>
      </c>
      <c r="D601" s="2559"/>
      <c r="E601" s="3192">
        <f t="shared" si="87"/>
        <v>0.02</v>
      </c>
      <c r="F601" s="631"/>
      <c r="G601" s="3192">
        <f t="shared" si="88"/>
        <v>0</v>
      </c>
      <c r="H601" s="631"/>
      <c r="I601" s="3192">
        <f t="shared" si="89"/>
        <v>1</v>
      </c>
      <c r="J601" s="631"/>
      <c r="K601" s="3192">
        <f t="shared" si="90"/>
        <v>1</v>
      </c>
      <c r="L601" s="631"/>
      <c r="M601" s="3192">
        <f t="shared" si="91"/>
        <v>1</v>
      </c>
      <c r="N601" s="631"/>
      <c r="O601" s="3192">
        <f t="shared" si="92"/>
        <v>1</v>
      </c>
      <c r="P601" s="631"/>
      <c r="Q601" s="3192">
        <f t="shared" si="93"/>
        <v>0</v>
      </c>
      <c r="R601" s="3192">
        <f t="shared" si="94"/>
        <v>0</v>
      </c>
      <c r="S601" s="898">
        <f t="shared" si="95"/>
        <v>0</v>
      </c>
      <c r="T601" s="3190">
        <f>面积表!A596</f>
        <v>0</v>
      </c>
    </row>
    <row r="602" spans="1:20">
      <c r="A602" s="3169"/>
      <c r="B602" s="52"/>
      <c r="C602" s="3192">
        <f t="shared" ref="C602:C665" si="96">IF(B602="",1,(LOOKUP(B602,$3:$3,$4:$4)-LOOKUP($B$24,$3:$3,$4:$4)+100)/100)</f>
        <v>1</v>
      </c>
      <c r="D602" s="2559"/>
      <c r="E602" s="3192">
        <f t="shared" ref="E602:E665" si="97">(SUMIF($5:$5,D602,$6:$6)-SUMIF($5:$5,$D$24,$6:$6)+100)/100</f>
        <v>0.02</v>
      </c>
      <c r="F602" s="631"/>
      <c r="G602" s="3192">
        <f t="shared" ref="G602:G665" si="98">(SUMIF($7:$7,F602,$8:$8)-SUMIF($7:$7,$F$24,$8:$8)+100)/100</f>
        <v>0</v>
      </c>
      <c r="H602" s="631"/>
      <c r="I602" s="3192">
        <f t="shared" ref="I602:I665" si="99">(SUMIF($9:$9,H602,$10:$10)-SUMIF($9:$9,$H$24,$10:$10)+100)/100</f>
        <v>1</v>
      </c>
      <c r="J602" s="631"/>
      <c r="K602" s="3192">
        <f t="shared" ref="K602:K665" si="100">(SUMIF($11:$11,J602,$12:$12)-SUMIF($11:$11,$J$24,$12:$12)+100)/100</f>
        <v>1</v>
      </c>
      <c r="L602" s="631"/>
      <c r="M602" s="3192">
        <f t="shared" ref="M602:M665" si="101">(SUMIF($13:$13,L602,$14:$14)-SUMIF($13:$13,$L$24,$14:$14)+100)/100</f>
        <v>1</v>
      </c>
      <c r="N602" s="631"/>
      <c r="O602" s="3192">
        <f t="shared" ref="O602:O665" si="102">(SUMIF($15:$15,N602,$16:$16)-SUMIF($15:$15,$N$24,$16:$16)+100)/100</f>
        <v>1</v>
      </c>
      <c r="P602" s="631"/>
      <c r="Q602" s="3192">
        <f t="shared" ref="Q602:Q665" si="103">(SUMIF($17:$17,P602,$18:$18)-SUMIF($17:$17,$P$24,$18:$18)+100)/100</f>
        <v>0</v>
      </c>
      <c r="R602" s="3192">
        <f t="shared" ref="R602:R665" si="104">IF(B602="",0,ROUND($R$24*C602*E602*G602*I602*K602*M602*O602*Q602,0))</f>
        <v>0</v>
      </c>
      <c r="S602" s="898">
        <f t="shared" si="95"/>
        <v>0</v>
      </c>
      <c r="T602" s="3190">
        <f>面积表!A597</f>
        <v>0</v>
      </c>
    </row>
    <row r="603" spans="1:20">
      <c r="A603" s="3169"/>
      <c r="B603" s="52"/>
      <c r="C603" s="3192">
        <f t="shared" si="96"/>
        <v>1</v>
      </c>
      <c r="D603" s="2559"/>
      <c r="E603" s="3192">
        <f t="shared" si="97"/>
        <v>0.02</v>
      </c>
      <c r="F603" s="631"/>
      <c r="G603" s="3192">
        <f t="shared" si="98"/>
        <v>0</v>
      </c>
      <c r="H603" s="631"/>
      <c r="I603" s="3192">
        <f t="shared" si="99"/>
        <v>1</v>
      </c>
      <c r="J603" s="631"/>
      <c r="K603" s="3192">
        <f t="shared" si="100"/>
        <v>1</v>
      </c>
      <c r="L603" s="631"/>
      <c r="M603" s="3192">
        <f t="shared" si="101"/>
        <v>1</v>
      </c>
      <c r="N603" s="631"/>
      <c r="O603" s="3192">
        <f t="shared" si="102"/>
        <v>1</v>
      </c>
      <c r="P603" s="631"/>
      <c r="Q603" s="3192">
        <f t="shared" si="103"/>
        <v>0</v>
      </c>
      <c r="R603" s="3192">
        <f t="shared" si="104"/>
        <v>0</v>
      </c>
      <c r="S603" s="898">
        <f t="shared" si="95"/>
        <v>0</v>
      </c>
      <c r="T603" s="3190">
        <f>面积表!A598</f>
        <v>0</v>
      </c>
    </row>
    <row r="604" spans="1:20">
      <c r="A604" s="3169"/>
      <c r="B604" s="52"/>
      <c r="C604" s="3192">
        <f t="shared" si="96"/>
        <v>1</v>
      </c>
      <c r="D604" s="2559"/>
      <c r="E604" s="3192">
        <f t="shared" si="97"/>
        <v>0.02</v>
      </c>
      <c r="F604" s="631"/>
      <c r="G604" s="3192">
        <f t="shared" si="98"/>
        <v>0</v>
      </c>
      <c r="H604" s="631"/>
      <c r="I604" s="3192">
        <f t="shared" si="99"/>
        <v>1</v>
      </c>
      <c r="J604" s="631"/>
      <c r="K604" s="3192">
        <f t="shared" si="100"/>
        <v>1</v>
      </c>
      <c r="L604" s="631"/>
      <c r="M604" s="3192">
        <f t="shared" si="101"/>
        <v>1</v>
      </c>
      <c r="N604" s="631"/>
      <c r="O604" s="3192">
        <f t="shared" si="102"/>
        <v>1</v>
      </c>
      <c r="P604" s="631"/>
      <c r="Q604" s="3192">
        <f t="shared" si="103"/>
        <v>0</v>
      </c>
      <c r="R604" s="3192">
        <f t="shared" si="104"/>
        <v>0</v>
      </c>
      <c r="S604" s="898">
        <f t="shared" si="95"/>
        <v>0</v>
      </c>
      <c r="T604" s="3190">
        <f>面积表!A599</f>
        <v>0</v>
      </c>
    </row>
    <row r="605" spans="1:20">
      <c r="A605" s="3169"/>
      <c r="B605" s="52"/>
      <c r="C605" s="3192">
        <f t="shared" si="96"/>
        <v>1</v>
      </c>
      <c r="D605" s="2559"/>
      <c r="E605" s="3192">
        <f t="shared" si="97"/>
        <v>0.02</v>
      </c>
      <c r="F605" s="631"/>
      <c r="G605" s="3192">
        <f t="shared" si="98"/>
        <v>0</v>
      </c>
      <c r="H605" s="631"/>
      <c r="I605" s="3192">
        <f t="shared" si="99"/>
        <v>1</v>
      </c>
      <c r="J605" s="631"/>
      <c r="K605" s="3192">
        <f t="shared" si="100"/>
        <v>1</v>
      </c>
      <c r="L605" s="631"/>
      <c r="M605" s="3192">
        <f t="shared" si="101"/>
        <v>1</v>
      </c>
      <c r="N605" s="631"/>
      <c r="O605" s="3192">
        <f t="shared" si="102"/>
        <v>1</v>
      </c>
      <c r="P605" s="631"/>
      <c r="Q605" s="3192">
        <f t="shared" si="103"/>
        <v>0</v>
      </c>
      <c r="R605" s="3192">
        <f t="shared" si="104"/>
        <v>0</v>
      </c>
      <c r="S605" s="898">
        <f t="shared" si="95"/>
        <v>0</v>
      </c>
      <c r="T605" s="3190">
        <f>面积表!A600</f>
        <v>0</v>
      </c>
    </row>
    <row r="606" spans="1:20">
      <c r="A606" s="3169"/>
      <c r="B606" s="52"/>
      <c r="C606" s="3192">
        <f t="shared" si="96"/>
        <v>1</v>
      </c>
      <c r="D606" s="2559"/>
      <c r="E606" s="3192">
        <f t="shared" si="97"/>
        <v>0.02</v>
      </c>
      <c r="F606" s="631"/>
      <c r="G606" s="3192">
        <f t="shared" si="98"/>
        <v>0</v>
      </c>
      <c r="H606" s="631"/>
      <c r="I606" s="3192">
        <f t="shared" si="99"/>
        <v>1</v>
      </c>
      <c r="J606" s="631"/>
      <c r="K606" s="3192">
        <f t="shared" si="100"/>
        <v>1</v>
      </c>
      <c r="L606" s="631"/>
      <c r="M606" s="3192">
        <f t="shared" si="101"/>
        <v>1</v>
      </c>
      <c r="N606" s="631"/>
      <c r="O606" s="3192">
        <f t="shared" si="102"/>
        <v>1</v>
      </c>
      <c r="P606" s="631"/>
      <c r="Q606" s="3192">
        <f t="shared" si="103"/>
        <v>0</v>
      </c>
      <c r="R606" s="3192">
        <f t="shared" si="104"/>
        <v>0</v>
      </c>
      <c r="S606" s="898">
        <f t="shared" si="95"/>
        <v>0</v>
      </c>
      <c r="T606" s="3190">
        <f>面积表!A601</f>
        <v>0</v>
      </c>
    </row>
    <row r="607" spans="1:20">
      <c r="A607" s="3169"/>
      <c r="B607" s="52"/>
      <c r="C607" s="3192">
        <f t="shared" si="96"/>
        <v>1</v>
      </c>
      <c r="D607" s="2559"/>
      <c r="E607" s="3192">
        <f t="shared" si="97"/>
        <v>0.02</v>
      </c>
      <c r="F607" s="631"/>
      <c r="G607" s="3192">
        <f t="shared" si="98"/>
        <v>0</v>
      </c>
      <c r="H607" s="631"/>
      <c r="I607" s="3192">
        <f t="shared" si="99"/>
        <v>1</v>
      </c>
      <c r="J607" s="631"/>
      <c r="K607" s="3192">
        <f t="shared" si="100"/>
        <v>1</v>
      </c>
      <c r="L607" s="631"/>
      <c r="M607" s="3192">
        <f t="shared" si="101"/>
        <v>1</v>
      </c>
      <c r="N607" s="631"/>
      <c r="O607" s="3192">
        <f t="shared" si="102"/>
        <v>1</v>
      </c>
      <c r="P607" s="631"/>
      <c r="Q607" s="3192">
        <f t="shared" si="103"/>
        <v>0</v>
      </c>
      <c r="R607" s="3192">
        <f t="shared" si="104"/>
        <v>0</v>
      </c>
      <c r="S607" s="898">
        <f t="shared" si="95"/>
        <v>0</v>
      </c>
      <c r="T607" s="3190">
        <f>面积表!A602</f>
        <v>0</v>
      </c>
    </row>
    <row r="608" spans="1:20">
      <c r="A608" s="3169"/>
      <c r="B608" s="52"/>
      <c r="C608" s="3192">
        <f t="shared" si="96"/>
        <v>1</v>
      </c>
      <c r="D608" s="2559"/>
      <c r="E608" s="3192">
        <f t="shared" si="97"/>
        <v>0.02</v>
      </c>
      <c r="F608" s="631"/>
      <c r="G608" s="3192">
        <f t="shared" si="98"/>
        <v>0</v>
      </c>
      <c r="H608" s="631"/>
      <c r="I608" s="3192">
        <f t="shared" si="99"/>
        <v>1</v>
      </c>
      <c r="J608" s="631"/>
      <c r="K608" s="3192">
        <f t="shared" si="100"/>
        <v>1</v>
      </c>
      <c r="L608" s="631"/>
      <c r="M608" s="3192">
        <f t="shared" si="101"/>
        <v>1</v>
      </c>
      <c r="N608" s="631"/>
      <c r="O608" s="3192">
        <f t="shared" si="102"/>
        <v>1</v>
      </c>
      <c r="P608" s="631"/>
      <c r="Q608" s="3192">
        <f t="shared" si="103"/>
        <v>0</v>
      </c>
      <c r="R608" s="3192">
        <f t="shared" si="104"/>
        <v>0</v>
      </c>
      <c r="S608" s="898">
        <f t="shared" si="95"/>
        <v>0</v>
      </c>
      <c r="T608" s="3190">
        <f>面积表!A603</f>
        <v>0</v>
      </c>
    </row>
    <row r="609" spans="1:20">
      <c r="A609" s="3169"/>
      <c r="B609" s="52"/>
      <c r="C609" s="3192">
        <f t="shared" si="96"/>
        <v>1</v>
      </c>
      <c r="D609" s="2559"/>
      <c r="E609" s="3192">
        <f t="shared" si="97"/>
        <v>0.02</v>
      </c>
      <c r="F609" s="631"/>
      <c r="G609" s="3192">
        <f t="shared" si="98"/>
        <v>0</v>
      </c>
      <c r="H609" s="631"/>
      <c r="I609" s="3192">
        <f t="shared" si="99"/>
        <v>1</v>
      </c>
      <c r="J609" s="631"/>
      <c r="K609" s="3192">
        <f t="shared" si="100"/>
        <v>1</v>
      </c>
      <c r="L609" s="631"/>
      <c r="M609" s="3192">
        <f t="shared" si="101"/>
        <v>1</v>
      </c>
      <c r="N609" s="631"/>
      <c r="O609" s="3192">
        <f t="shared" si="102"/>
        <v>1</v>
      </c>
      <c r="P609" s="631"/>
      <c r="Q609" s="3192">
        <f t="shared" si="103"/>
        <v>0</v>
      </c>
      <c r="R609" s="3192">
        <f t="shared" si="104"/>
        <v>0</v>
      </c>
      <c r="S609" s="898">
        <f t="shared" si="95"/>
        <v>0</v>
      </c>
      <c r="T609" s="3190">
        <f>面积表!A604</f>
        <v>0</v>
      </c>
    </row>
    <row r="610" spans="1:20">
      <c r="A610" s="3169"/>
      <c r="B610" s="52"/>
      <c r="C610" s="3192">
        <f t="shared" si="96"/>
        <v>1</v>
      </c>
      <c r="D610" s="2559"/>
      <c r="E610" s="3192">
        <f t="shared" si="97"/>
        <v>0.02</v>
      </c>
      <c r="F610" s="631"/>
      <c r="G610" s="3192">
        <f t="shared" si="98"/>
        <v>0</v>
      </c>
      <c r="H610" s="631"/>
      <c r="I610" s="3192">
        <f t="shared" si="99"/>
        <v>1</v>
      </c>
      <c r="J610" s="631"/>
      <c r="K610" s="3192">
        <f t="shared" si="100"/>
        <v>1</v>
      </c>
      <c r="L610" s="631"/>
      <c r="M610" s="3192">
        <f t="shared" si="101"/>
        <v>1</v>
      </c>
      <c r="N610" s="631"/>
      <c r="O610" s="3192">
        <f t="shared" si="102"/>
        <v>1</v>
      </c>
      <c r="P610" s="631"/>
      <c r="Q610" s="3192">
        <f t="shared" si="103"/>
        <v>0</v>
      </c>
      <c r="R610" s="3192">
        <f t="shared" si="104"/>
        <v>0</v>
      </c>
      <c r="S610" s="898">
        <f t="shared" si="95"/>
        <v>0</v>
      </c>
      <c r="T610" s="3190">
        <f>面积表!A605</f>
        <v>0</v>
      </c>
    </row>
    <row r="611" spans="1:20">
      <c r="A611" s="3169"/>
      <c r="B611" s="52"/>
      <c r="C611" s="3192">
        <f t="shared" si="96"/>
        <v>1</v>
      </c>
      <c r="D611" s="2559"/>
      <c r="E611" s="3192">
        <f t="shared" si="97"/>
        <v>0.02</v>
      </c>
      <c r="F611" s="631"/>
      <c r="G611" s="3192">
        <f t="shared" si="98"/>
        <v>0</v>
      </c>
      <c r="H611" s="631"/>
      <c r="I611" s="3192">
        <f t="shared" si="99"/>
        <v>1</v>
      </c>
      <c r="J611" s="631"/>
      <c r="K611" s="3192">
        <f t="shared" si="100"/>
        <v>1</v>
      </c>
      <c r="L611" s="631"/>
      <c r="M611" s="3192">
        <f t="shared" si="101"/>
        <v>1</v>
      </c>
      <c r="N611" s="631"/>
      <c r="O611" s="3192">
        <f t="shared" si="102"/>
        <v>1</v>
      </c>
      <c r="P611" s="631"/>
      <c r="Q611" s="3192">
        <f t="shared" si="103"/>
        <v>0</v>
      </c>
      <c r="R611" s="3192">
        <f t="shared" si="104"/>
        <v>0</v>
      </c>
      <c r="S611" s="898">
        <f t="shared" si="95"/>
        <v>0</v>
      </c>
      <c r="T611" s="3190">
        <f>面积表!A606</f>
        <v>0</v>
      </c>
    </row>
    <row r="612" spans="1:20">
      <c r="A612" s="3169"/>
      <c r="B612" s="52"/>
      <c r="C612" s="3192">
        <f t="shared" si="96"/>
        <v>1</v>
      </c>
      <c r="D612" s="2559"/>
      <c r="E612" s="3192">
        <f t="shared" si="97"/>
        <v>0.02</v>
      </c>
      <c r="F612" s="631"/>
      <c r="G612" s="3192">
        <f t="shared" si="98"/>
        <v>0</v>
      </c>
      <c r="H612" s="631"/>
      <c r="I612" s="3192">
        <f t="shared" si="99"/>
        <v>1</v>
      </c>
      <c r="J612" s="631"/>
      <c r="K612" s="3192">
        <f t="shared" si="100"/>
        <v>1</v>
      </c>
      <c r="L612" s="631"/>
      <c r="M612" s="3192">
        <f t="shared" si="101"/>
        <v>1</v>
      </c>
      <c r="N612" s="631"/>
      <c r="O612" s="3192">
        <f t="shared" si="102"/>
        <v>1</v>
      </c>
      <c r="P612" s="631"/>
      <c r="Q612" s="3192">
        <f t="shared" si="103"/>
        <v>0</v>
      </c>
      <c r="R612" s="3192">
        <f t="shared" si="104"/>
        <v>0</v>
      </c>
      <c r="S612" s="898">
        <f t="shared" si="95"/>
        <v>0</v>
      </c>
      <c r="T612" s="3190">
        <f>面积表!A607</f>
        <v>0</v>
      </c>
    </row>
    <row r="613" spans="1:20">
      <c r="A613" s="3169"/>
      <c r="B613" s="52"/>
      <c r="C613" s="3192">
        <f t="shared" si="96"/>
        <v>1</v>
      </c>
      <c r="D613" s="2559"/>
      <c r="E613" s="3192">
        <f t="shared" si="97"/>
        <v>0.02</v>
      </c>
      <c r="F613" s="631"/>
      <c r="G613" s="3192">
        <f t="shared" si="98"/>
        <v>0</v>
      </c>
      <c r="H613" s="631"/>
      <c r="I613" s="3192">
        <f t="shared" si="99"/>
        <v>1</v>
      </c>
      <c r="J613" s="631"/>
      <c r="K613" s="3192">
        <f t="shared" si="100"/>
        <v>1</v>
      </c>
      <c r="L613" s="631"/>
      <c r="M613" s="3192">
        <f t="shared" si="101"/>
        <v>1</v>
      </c>
      <c r="N613" s="631"/>
      <c r="O613" s="3192">
        <f t="shared" si="102"/>
        <v>1</v>
      </c>
      <c r="P613" s="631"/>
      <c r="Q613" s="3192">
        <f t="shared" si="103"/>
        <v>0</v>
      </c>
      <c r="R613" s="3192">
        <f t="shared" si="104"/>
        <v>0</v>
      </c>
      <c r="S613" s="898">
        <f t="shared" si="95"/>
        <v>0</v>
      </c>
      <c r="T613" s="3190">
        <f>面积表!A608</f>
        <v>0</v>
      </c>
    </row>
    <row r="614" spans="1:20">
      <c r="A614" s="3169"/>
      <c r="B614" s="52"/>
      <c r="C614" s="3192">
        <f t="shared" si="96"/>
        <v>1</v>
      </c>
      <c r="D614" s="2559"/>
      <c r="E614" s="3192">
        <f t="shared" si="97"/>
        <v>0.02</v>
      </c>
      <c r="F614" s="631"/>
      <c r="G614" s="3192">
        <f t="shared" si="98"/>
        <v>0</v>
      </c>
      <c r="H614" s="631"/>
      <c r="I614" s="3192">
        <f t="shared" si="99"/>
        <v>1</v>
      </c>
      <c r="J614" s="631"/>
      <c r="K614" s="3192">
        <f t="shared" si="100"/>
        <v>1</v>
      </c>
      <c r="L614" s="631"/>
      <c r="M614" s="3192">
        <f t="shared" si="101"/>
        <v>1</v>
      </c>
      <c r="N614" s="631"/>
      <c r="O614" s="3192">
        <f t="shared" si="102"/>
        <v>1</v>
      </c>
      <c r="P614" s="631"/>
      <c r="Q614" s="3192">
        <f t="shared" si="103"/>
        <v>0</v>
      </c>
      <c r="R614" s="3192">
        <f t="shared" si="104"/>
        <v>0</v>
      </c>
      <c r="S614" s="898">
        <f t="shared" si="95"/>
        <v>0</v>
      </c>
      <c r="T614" s="3190">
        <f>面积表!A609</f>
        <v>0</v>
      </c>
    </row>
    <row r="615" spans="1:20">
      <c r="A615" s="3169"/>
      <c r="B615" s="52"/>
      <c r="C615" s="3192">
        <f t="shared" si="96"/>
        <v>1</v>
      </c>
      <c r="D615" s="2559"/>
      <c r="E615" s="3192">
        <f t="shared" si="97"/>
        <v>0.02</v>
      </c>
      <c r="F615" s="631"/>
      <c r="G615" s="3192">
        <f t="shared" si="98"/>
        <v>0</v>
      </c>
      <c r="H615" s="631"/>
      <c r="I615" s="3192">
        <f t="shared" si="99"/>
        <v>1</v>
      </c>
      <c r="J615" s="631"/>
      <c r="K615" s="3192">
        <f t="shared" si="100"/>
        <v>1</v>
      </c>
      <c r="L615" s="631"/>
      <c r="M615" s="3192">
        <f t="shared" si="101"/>
        <v>1</v>
      </c>
      <c r="N615" s="631"/>
      <c r="O615" s="3192">
        <f t="shared" si="102"/>
        <v>1</v>
      </c>
      <c r="P615" s="631"/>
      <c r="Q615" s="3192">
        <f t="shared" si="103"/>
        <v>0</v>
      </c>
      <c r="R615" s="3192">
        <f t="shared" si="104"/>
        <v>0</v>
      </c>
      <c r="S615" s="898">
        <f t="shared" si="95"/>
        <v>0</v>
      </c>
      <c r="T615" s="3190">
        <f>面积表!A610</f>
        <v>0</v>
      </c>
    </row>
    <row r="616" spans="1:20">
      <c r="A616" s="3169"/>
      <c r="B616" s="52"/>
      <c r="C616" s="3192">
        <f t="shared" si="96"/>
        <v>1</v>
      </c>
      <c r="D616" s="2559"/>
      <c r="E616" s="3192">
        <f t="shared" si="97"/>
        <v>0.02</v>
      </c>
      <c r="F616" s="631"/>
      <c r="G616" s="3192">
        <f t="shared" si="98"/>
        <v>0</v>
      </c>
      <c r="H616" s="631"/>
      <c r="I616" s="3192">
        <f t="shared" si="99"/>
        <v>1</v>
      </c>
      <c r="J616" s="631"/>
      <c r="K616" s="3192">
        <f t="shared" si="100"/>
        <v>1</v>
      </c>
      <c r="L616" s="631"/>
      <c r="M616" s="3192">
        <f t="shared" si="101"/>
        <v>1</v>
      </c>
      <c r="N616" s="631"/>
      <c r="O616" s="3192">
        <f t="shared" si="102"/>
        <v>1</v>
      </c>
      <c r="P616" s="631"/>
      <c r="Q616" s="3192">
        <f t="shared" si="103"/>
        <v>0</v>
      </c>
      <c r="R616" s="3192">
        <f t="shared" si="104"/>
        <v>0</v>
      </c>
      <c r="S616" s="898">
        <f t="shared" si="95"/>
        <v>0</v>
      </c>
      <c r="T616" s="3190">
        <f>面积表!A611</f>
        <v>0</v>
      </c>
    </row>
    <row r="617" spans="1:20">
      <c r="A617" s="3169"/>
      <c r="B617" s="52"/>
      <c r="C617" s="3192">
        <f t="shared" si="96"/>
        <v>1</v>
      </c>
      <c r="D617" s="2559"/>
      <c r="E617" s="3192">
        <f t="shared" si="97"/>
        <v>0.02</v>
      </c>
      <c r="F617" s="631"/>
      <c r="G617" s="3192">
        <f t="shared" si="98"/>
        <v>0</v>
      </c>
      <c r="H617" s="631"/>
      <c r="I617" s="3192">
        <f t="shared" si="99"/>
        <v>1</v>
      </c>
      <c r="J617" s="631"/>
      <c r="K617" s="3192">
        <f t="shared" si="100"/>
        <v>1</v>
      </c>
      <c r="L617" s="631"/>
      <c r="M617" s="3192">
        <f t="shared" si="101"/>
        <v>1</v>
      </c>
      <c r="N617" s="631"/>
      <c r="O617" s="3192">
        <f t="shared" si="102"/>
        <v>1</v>
      </c>
      <c r="P617" s="631"/>
      <c r="Q617" s="3192">
        <f t="shared" si="103"/>
        <v>0</v>
      </c>
      <c r="R617" s="3192">
        <f t="shared" si="104"/>
        <v>0</v>
      </c>
      <c r="S617" s="898">
        <f t="shared" si="95"/>
        <v>0</v>
      </c>
      <c r="T617" s="3190">
        <f>面积表!A612</f>
        <v>0</v>
      </c>
    </row>
    <row r="618" spans="1:20">
      <c r="A618" s="3169"/>
      <c r="B618" s="52"/>
      <c r="C618" s="3192">
        <f t="shared" si="96"/>
        <v>1</v>
      </c>
      <c r="D618" s="2559"/>
      <c r="E618" s="3192">
        <f t="shared" si="97"/>
        <v>0.02</v>
      </c>
      <c r="F618" s="631"/>
      <c r="G618" s="3192">
        <f t="shared" si="98"/>
        <v>0</v>
      </c>
      <c r="H618" s="631"/>
      <c r="I618" s="3192">
        <f t="shared" si="99"/>
        <v>1</v>
      </c>
      <c r="J618" s="631"/>
      <c r="K618" s="3192">
        <f t="shared" si="100"/>
        <v>1</v>
      </c>
      <c r="L618" s="631"/>
      <c r="M618" s="3192">
        <f t="shared" si="101"/>
        <v>1</v>
      </c>
      <c r="N618" s="631"/>
      <c r="O618" s="3192">
        <f t="shared" si="102"/>
        <v>1</v>
      </c>
      <c r="P618" s="631"/>
      <c r="Q618" s="3192">
        <f t="shared" si="103"/>
        <v>0</v>
      </c>
      <c r="R618" s="3192">
        <f t="shared" si="104"/>
        <v>0</v>
      </c>
      <c r="S618" s="898">
        <f t="shared" si="95"/>
        <v>0</v>
      </c>
      <c r="T618" s="3190">
        <f>面积表!A613</f>
        <v>0</v>
      </c>
    </row>
    <row r="619" spans="1:20">
      <c r="A619" s="3169"/>
      <c r="B619" s="52"/>
      <c r="C619" s="3192">
        <f t="shared" si="96"/>
        <v>1</v>
      </c>
      <c r="D619" s="2559"/>
      <c r="E619" s="3192">
        <f t="shared" si="97"/>
        <v>0.02</v>
      </c>
      <c r="F619" s="631"/>
      <c r="G619" s="3192">
        <f t="shared" si="98"/>
        <v>0</v>
      </c>
      <c r="H619" s="631"/>
      <c r="I619" s="3192">
        <f t="shared" si="99"/>
        <v>1</v>
      </c>
      <c r="J619" s="631"/>
      <c r="K619" s="3192">
        <f t="shared" si="100"/>
        <v>1</v>
      </c>
      <c r="L619" s="631"/>
      <c r="M619" s="3192">
        <f t="shared" si="101"/>
        <v>1</v>
      </c>
      <c r="N619" s="631"/>
      <c r="O619" s="3192">
        <f t="shared" si="102"/>
        <v>1</v>
      </c>
      <c r="P619" s="3194"/>
      <c r="Q619" s="3192">
        <f t="shared" si="103"/>
        <v>0</v>
      </c>
      <c r="R619" s="3192">
        <f t="shared" si="104"/>
        <v>0</v>
      </c>
      <c r="S619" s="898">
        <f t="shared" si="95"/>
        <v>0</v>
      </c>
      <c r="T619" s="3190">
        <f>面积表!A614</f>
        <v>0</v>
      </c>
    </row>
    <row r="620" spans="1:20">
      <c r="A620" s="3169"/>
      <c r="B620" s="52"/>
      <c r="C620" s="3192">
        <f t="shared" si="96"/>
        <v>1</v>
      </c>
      <c r="D620" s="2559"/>
      <c r="E620" s="3192">
        <f t="shared" si="97"/>
        <v>0.02</v>
      </c>
      <c r="F620" s="631"/>
      <c r="G620" s="3192">
        <f t="shared" si="98"/>
        <v>0</v>
      </c>
      <c r="H620" s="631"/>
      <c r="I620" s="3192">
        <f t="shared" si="99"/>
        <v>1</v>
      </c>
      <c r="J620" s="631"/>
      <c r="K620" s="3192">
        <f t="shared" si="100"/>
        <v>1</v>
      </c>
      <c r="L620" s="631"/>
      <c r="M620" s="3192">
        <f t="shared" si="101"/>
        <v>1</v>
      </c>
      <c r="N620" s="631"/>
      <c r="O620" s="3192">
        <f t="shared" si="102"/>
        <v>1</v>
      </c>
      <c r="P620" s="3194"/>
      <c r="Q620" s="3192">
        <f t="shared" si="103"/>
        <v>0</v>
      </c>
      <c r="R620" s="3192">
        <f t="shared" si="104"/>
        <v>0</v>
      </c>
      <c r="S620" s="898">
        <f t="shared" si="95"/>
        <v>0</v>
      </c>
      <c r="T620" s="3190">
        <f>面积表!A615</f>
        <v>0</v>
      </c>
    </row>
    <row r="621" spans="1:20">
      <c r="A621" s="3169"/>
      <c r="B621" s="52"/>
      <c r="C621" s="3192">
        <f t="shared" si="96"/>
        <v>1</v>
      </c>
      <c r="D621" s="2559"/>
      <c r="E621" s="3192">
        <f t="shared" si="97"/>
        <v>0.02</v>
      </c>
      <c r="F621" s="631"/>
      <c r="G621" s="3192">
        <f t="shared" si="98"/>
        <v>0</v>
      </c>
      <c r="H621" s="631"/>
      <c r="I621" s="3192">
        <f t="shared" si="99"/>
        <v>1</v>
      </c>
      <c r="J621" s="631"/>
      <c r="K621" s="3192">
        <f t="shared" si="100"/>
        <v>1</v>
      </c>
      <c r="L621" s="631"/>
      <c r="M621" s="3192">
        <f t="shared" si="101"/>
        <v>1</v>
      </c>
      <c r="N621" s="631"/>
      <c r="O621" s="3192">
        <f t="shared" si="102"/>
        <v>1</v>
      </c>
      <c r="P621" s="3194"/>
      <c r="Q621" s="3192">
        <f t="shared" si="103"/>
        <v>0</v>
      </c>
      <c r="R621" s="3192">
        <f t="shared" si="104"/>
        <v>0</v>
      </c>
      <c r="S621" s="898">
        <f t="shared" si="95"/>
        <v>0</v>
      </c>
      <c r="T621" s="3190">
        <f>面积表!A616</f>
        <v>0</v>
      </c>
    </row>
    <row r="622" spans="1:20">
      <c r="A622" s="3169"/>
      <c r="B622" s="52"/>
      <c r="C622" s="3192">
        <f t="shared" si="96"/>
        <v>1</v>
      </c>
      <c r="D622" s="2559"/>
      <c r="E622" s="3192">
        <f t="shared" si="97"/>
        <v>0.02</v>
      </c>
      <c r="F622" s="631"/>
      <c r="G622" s="3192">
        <f t="shared" si="98"/>
        <v>0</v>
      </c>
      <c r="H622" s="631"/>
      <c r="I622" s="3192">
        <f t="shared" si="99"/>
        <v>1</v>
      </c>
      <c r="J622" s="631"/>
      <c r="K622" s="3192">
        <f t="shared" si="100"/>
        <v>1</v>
      </c>
      <c r="L622" s="631"/>
      <c r="M622" s="3192">
        <f t="shared" si="101"/>
        <v>1</v>
      </c>
      <c r="N622" s="631"/>
      <c r="O622" s="3192">
        <f t="shared" si="102"/>
        <v>1</v>
      </c>
      <c r="P622" s="3194"/>
      <c r="Q622" s="3192">
        <f t="shared" si="103"/>
        <v>0</v>
      </c>
      <c r="R622" s="3192">
        <f t="shared" si="104"/>
        <v>0</v>
      </c>
      <c r="S622" s="898">
        <f t="shared" si="95"/>
        <v>0</v>
      </c>
      <c r="T622" s="3190">
        <f>面积表!A617</f>
        <v>0</v>
      </c>
    </row>
    <row r="623" spans="1:20">
      <c r="A623" s="3169"/>
      <c r="B623" s="52"/>
      <c r="C623" s="3192">
        <f t="shared" si="96"/>
        <v>1</v>
      </c>
      <c r="D623" s="2559"/>
      <c r="E623" s="3192">
        <f t="shared" si="97"/>
        <v>0.02</v>
      </c>
      <c r="F623" s="631"/>
      <c r="G623" s="3192">
        <f t="shared" si="98"/>
        <v>0</v>
      </c>
      <c r="H623" s="631"/>
      <c r="I623" s="3192">
        <f t="shared" si="99"/>
        <v>1</v>
      </c>
      <c r="J623" s="631"/>
      <c r="K623" s="3192">
        <f t="shared" si="100"/>
        <v>1</v>
      </c>
      <c r="L623" s="631"/>
      <c r="M623" s="3192">
        <f t="shared" si="101"/>
        <v>1</v>
      </c>
      <c r="N623" s="631"/>
      <c r="O623" s="3192">
        <f t="shared" si="102"/>
        <v>1</v>
      </c>
      <c r="P623" s="3194"/>
      <c r="Q623" s="3192">
        <f t="shared" si="103"/>
        <v>0</v>
      </c>
      <c r="R623" s="3192">
        <f t="shared" si="104"/>
        <v>0</v>
      </c>
      <c r="S623" s="898">
        <f t="shared" si="95"/>
        <v>0</v>
      </c>
      <c r="T623" s="3190">
        <f>面积表!A618</f>
        <v>0</v>
      </c>
    </row>
    <row r="624" spans="1:20">
      <c r="A624" s="3169"/>
      <c r="B624" s="52"/>
      <c r="C624" s="3192">
        <f t="shared" si="96"/>
        <v>1</v>
      </c>
      <c r="D624" s="2559"/>
      <c r="E624" s="3192">
        <f t="shared" si="97"/>
        <v>0.02</v>
      </c>
      <c r="F624" s="631"/>
      <c r="G624" s="3192">
        <f t="shared" si="98"/>
        <v>0</v>
      </c>
      <c r="H624" s="631"/>
      <c r="I624" s="3192">
        <f t="shared" si="99"/>
        <v>1</v>
      </c>
      <c r="J624" s="631"/>
      <c r="K624" s="3192">
        <f t="shared" si="100"/>
        <v>1</v>
      </c>
      <c r="L624" s="631"/>
      <c r="M624" s="3192">
        <f t="shared" si="101"/>
        <v>1</v>
      </c>
      <c r="N624" s="631"/>
      <c r="O624" s="3192">
        <f t="shared" si="102"/>
        <v>1</v>
      </c>
      <c r="P624" s="3194"/>
      <c r="Q624" s="3192">
        <f t="shared" si="103"/>
        <v>0</v>
      </c>
      <c r="R624" s="3192">
        <f t="shared" si="104"/>
        <v>0</v>
      </c>
      <c r="S624" s="898">
        <f t="shared" si="95"/>
        <v>0</v>
      </c>
      <c r="T624" s="3190">
        <f>面积表!A619</f>
        <v>0</v>
      </c>
    </row>
    <row r="625" spans="1:20">
      <c r="A625" s="3169"/>
      <c r="B625" s="52"/>
      <c r="C625" s="3192">
        <f t="shared" si="96"/>
        <v>1</v>
      </c>
      <c r="D625" s="2559"/>
      <c r="E625" s="3192">
        <f t="shared" si="97"/>
        <v>0.02</v>
      </c>
      <c r="F625" s="631"/>
      <c r="G625" s="3192">
        <f t="shared" si="98"/>
        <v>0</v>
      </c>
      <c r="H625" s="631"/>
      <c r="I625" s="3192">
        <f t="shared" si="99"/>
        <v>1</v>
      </c>
      <c r="J625" s="631"/>
      <c r="K625" s="3192">
        <f t="shared" si="100"/>
        <v>1</v>
      </c>
      <c r="L625" s="631"/>
      <c r="M625" s="3192">
        <f t="shared" si="101"/>
        <v>1</v>
      </c>
      <c r="N625" s="631"/>
      <c r="O625" s="3192">
        <f t="shared" si="102"/>
        <v>1</v>
      </c>
      <c r="P625" s="3194"/>
      <c r="Q625" s="3192">
        <f t="shared" si="103"/>
        <v>0</v>
      </c>
      <c r="R625" s="3192">
        <f t="shared" si="104"/>
        <v>0</v>
      </c>
      <c r="S625" s="898">
        <f t="shared" si="95"/>
        <v>0</v>
      </c>
      <c r="T625" s="3190">
        <f>面积表!A620</f>
        <v>0</v>
      </c>
    </row>
    <row r="626" spans="1:20">
      <c r="A626" s="3169"/>
      <c r="B626" s="52"/>
      <c r="C626" s="3192">
        <f t="shared" si="96"/>
        <v>1</v>
      </c>
      <c r="D626" s="2559"/>
      <c r="E626" s="3192">
        <f t="shared" si="97"/>
        <v>0.02</v>
      </c>
      <c r="F626" s="631"/>
      <c r="G626" s="3192">
        <f t="shared" si="98"/>
        <v>0</v>
      </c>
      <c r="H626" s="631"/>
      <c r="I626" s="3192">
        <f t="shared" si="99"/>
        <v>1</v>
      </c>
      <c r="J626" s="631"/>
      <c r="K626" s="3192">
        <f t="shared" si="100"/>
        <v>1</v>
      </c>
      <c r="L626" s="631"/>
      <c r="M626" s="3192">
        <f t="shared" si="101"/>
        <v>1</v>
      </c>
      <c r="N626" s="631"/>
      <c r="O626" s="3192">
        <f t="shared" si="102"/>
        <v>1</v>
      </c>
      <c r="P626" s="3194"/>
      <c r="Q626" s="3192">
        <f t="shared" si="103"/>
        <v>0</v>
      </c>
      <c r="R626" s="3192">
        <f t="shared" si="104"/>
        <v>0</v>
      </c>
      <c r="S626" s="898">
        <f t="shared" si="95"/>
        <v>0</v>
      </c>
      <c r="T626" s="3190">
        <f>面积表!A621</f>
        <v>0</v>
      </c>
    </row>
    <row r="627" spans="1:20">
      <c r="A627" s="3169"/>
      <c r="B627" s="52"/>
      <c r="C627" s="3192">
        <f t="shared" si="96"/>
        <v>1</v>
      </c>
      <c r="D627" s="2559"/>
      <c r="E627" s="3192">
        <f t="shared" si="97"/>
        <v>0.02</v>
      </c>
      <c r="F627" s="631"/>
      <c r="G627" s="3192">
        <f t="shared" si="98"/>
        <v>0</v>
      </c>
      <c r="H627" s="631"/>
      <c r="I627" s="3192">
        <f t="shared" si="99"/>
        <v>1</v>
      </c>
      <c r="J627" s="631"/>
      <c r="K627" s="3192">
        <f t="shared" si="100"/>
        <v>1</v>
      </c>
      <c r="L627" s="631"/>
      <c r="M627" s="3192">
        <f t="shared" si="101"/>
        <v>1</v>
      </c>
      <c r="N627" s="631"/>
      <c r="O627" s="3192">
        <f t="shared" si="102"/>
        <v>1</v>
      </c>
      <c r="P627" s="3194"/>
      <c r="Q627" s="3192">
        <f t="shared" si="103"/>
        <v>0</v>
      </c>
      <c r="R627" s="3192">
        <f t="shared" si="104"/>
        <v>0</v>
      </c>
      <c r="S627" s="898">
        <f t="shared" si="95"/>
        <v>0</v>
      </c>
      <c r="T627" s="3190">
        <f>面积表!A622</f>
        <v>0</v>
      </c>
    </row>
    <row r="628" spans="1:20">
      <c r="A628" s="3169"/>
      <c r="B628" s="52"/>
      <c r="C628" s="3192">
        <f t="shared" si="96"/>
        <v>1</v>
      </c>
      <c r="D628" s="2559"/>
      <c r="E628" s="3192">
        <f t="shared" si="97"/>
        <v>0.02</v>
      </c>
      <c r="F628" s="631"/>
      <c r="G628" s="3192">
        <f t="shared" si="98"/>
        <v>0</v>
      </c>
      <c r="H628" s="631"/>
      <c r="I628" s="3192">
        <f t="shared" si="99"/>
        <v>1</v>
      </c>
      <c r="J628" s="631"/>
      <c r="K628" s="3192">
        <f t="shared" si="100"/>
        <v>1</v>
      </c>
      <c r="L628" s="631"/>
      <c r="M628" s="3192">
        <f t="shared" si="101"/>
        <v>1</v>
      </c>
      <c r="N628" s="631"/>
      <c r="O628" s="3192">
        <f t="shared" si="102"/>
        <v>1</v>
      </c>
      <c r="P628" s="3194"/>
      <c r="Q628" s="3192">
        <f t="shared" si="103"/>
        <v>0</v>
      </c>
      <c r="R628" s="3192">
        <f t="shared" si="104"/>
        <v>0</v>
      </c>
      <c r="S628" s="898">
        <f t="shared" si="95"/>
        <v>0</v>
      </c>
      <c r="T628" s="3190">
        <f>面积表!A623</f>
        <v>0</v>
      </c>
    </row>
    <row r="629" spans="1:20">
      <c r="A629" s="3169"/>
      <c r="B629" s="52"/>
      <c r="C629" s="3192">
        <f t="shared" si="96"/>
        <v>1</v>
      </c>
      <c r="D629" s="2559"/>
      <c r="E629" s="3192">
        <f t="shared" si="97"/>
        <v>0.02</v>
      </c>
      <c r="F629" s="631"/>
      <c r="G629" s="3192">
        <f t="shared" si="98"/>
        <v>0</v>
      </c>
      <c r="H629" s="631"/>
      <c r="I629" s="3192">
        <f t="shared" si="99"/>
        <v>1</v>
      </c>
      <c r="J629" s="631"/>
      <c r="K629" s="3192">
        <f t="shared" si="100"/>
        <v>1</v>
      </c>
      <c r="L629" s="631"/>
      <c r="M629" s="3192">
        <f t="shared" si="101"/>
        <v>1</v>
      </c>
      <c r="N629" s="631"/>
      <c r="O629" s="3192">
        <f t="shared" si="102"/>
        <v>1</v>
      </c>
      <c r="P629" s="3194"/>
      <c r="Q629" s="3192">
        <f t="shared" si="103"/>
        <v>0</v>
      </c>
      <c r="R629" s="3192">
        <f t="shared" si="104"/>
        <v>0</v>
      </c>
      <c r="S629" s="898">
        <f t="shared" si="95"/>
        <v>0</v>
      </c>
      <c r="T629" s="3190">
        <f>面积表!A624</f>
        <v>0</v>
      </c>
    </row>
    <row r="630" spans="1:20">
      <c r="A630" s="3169"/>
      <c r="B630" s="52"/>
      <c r="C630" s="3192">
        <f t="shared" si="96"/>
        <v>1</v>
      </c>
      <c r="D630" s="2559"/>
      <c r="E630" s="3192">
        <f t="shared" si="97"/>
        <v>0.02</v>
      </c>
      <c r="F630" s="631"/>
      <c r="G630" s="3192">
        <f t="shared" si="98"/>
        <v>0</v>
      </c>
      <c r="H630" s="631"/>
      <c r="I630" s="3192">
        <f t="shared" si="99"/>
        <v>1</v>
      </c>
      <c r="J630" s="631"/>
      <c r="K630" s="3192">
        <f t="shared" si="100"/>
        <v>1</v>
      </c>
      <c r="L630" s="631"/>
      <c r="M630" s="3192">
        <f t="shared" si="101"/>
        <v>1</v>
      </c>
      <c r="N630" s="631"/>
      <c r="O630" s="3192">
        <f t="shared" si="102"/>
        <v>1</v>
      </c>
      <c r="P630" s="3194"/>
      <c r="Q630" s="3192">
        <f t="shared" si="103"/>
        <v>0</v>
      </c>
      <c r="R630" s="3192">
        <f t="shared" si="104"/>
        <v>0</v>
      </c>
      <c r="S630" s="898">
        <f t="shared" si="95"/>
        <v>0</v>
      </c>
      <c r="T630" s="3190">
        <f>面积表!A625</f>
        <v>0</v>
      </c>
    </row>
    <row r="631" spans="1:20">
      <c r="A631" s="3169"/>
      <c r="B631" s="52"/>
      <c r="C631" s="3192">
        <f t="shared" si="96"/>
        <v>1</v>
      </c>
      <c r="D631" s="2559"/>
      <c r="E631" s="3192">
        <f t="shared" si="97"/>
        <v>0.02</v>
      </c>
      <c r="F631" s="631"/>
      <c r="G631" s="3192">
        <f t="shared" si="98"/>
        <v>0</v>
      </c>
      <c r="H631" s="631"/>
      <c r="I631" s="3192">
        <f t="shared" si="99"/>
        <v>1</v>
      </c>
      <c r="J631" s="631"/>
      <c r="K631" s="3192">
        <f t="shared" si="100"/>
        <v>1</v>
      </c>
      <c r="L631" s="631"/>
      <c r="M631" s="3192">
        <f t="shared" si="101"/>
        <v>1</v>
      </c>
      <c r="N631" s="631"/>
      <c r="O631" s="3192">
        <f t="shared" si="102"/>
        <v>1</v>
      </c>
      <c r="P631" s="3194"/>
      <c r="Q631" s="3192">
        <f t="shared" si="103"/>
        <v>0</v>
      </c>
      <c r="R631" s="3192">
        <f t="shared" si="104"/>
        <v>0</v>
      </c>
      <c r="S631" s="898">
        <f t="shared" si="95"/>
        <v>0</v>
      </c>
      <c r="T631" s="3190">
        <f>面积表!A626</f>
        <v>0</v>
      </c>
    </row>
    <row r="632" spans="1:20">
      <c r="A632" s="3169"/>
      <c r="B632" s="52"/>
      <c r="C632" s="3192">
        <f t="shared" si="96"/>
        <v>1</v>
      </c>
      <c r="D632" s="2559"/>
      <c r="E632" s="3192">
        <f t="shared" si="97"/>
        <v>0.02</v>
      </c>
      <c r="F632" s="631"/>
      <c r="G632" s="3192">
        <f t="shared" si="98"/>
        <v>0</v>
      </c>
      <c r="H632" s="631"/>
      <c r="I632" s="3192">
        <f t="shared" si="99"/>
        <v>1</v>
      </c>
      <c r="J632" s="631"/>
      <c r="K632" s="3192">
        <f t="shared" si="100"/>
        <v>1</v>
      </c>
      <c r="L632" s="631"/>
      <c r="M632" s="3192">
        <f t="shared" si="101"/>
        <v>1</v>
      </c>
      <c r="N632" s="631"/>
      <c r="O632" s="3192">
        <f t="shared" si="102"/>
        <v>1</v>
      </c>
      <c r="P632" s="3194"/>
      <c r="Q632" s="3192">
        <f t="shared" si="103"/>
        <v>0</v>
      </c>
      <c r="R632" s="3192">
        <f t="shared" si="104"/>
        <v>0</v>
      </c>
      <c r="S632" s="898">
        <f t="shared" si="95"/>
        <v>0</v>
      </c>
      <c r="T632" s="3190">
        <f>面积表!A627</f>
        <v>0</v>
      </c>
    </row>
    <row r="633" spans="1:20">
      <c r="A633" s="3169"/>
      <c r="B633" s="52"/>
      <c r="C633" s="3192">
        <f t="shared" si="96"/>
        <v>1</v>
      </c>
      <c r="D633" s="2559"/>
      <c r="E633" s="3192">
        <f t="shared" si="97"/>
        <v>0.02</v>
      </c>
      <c r="F633" s="631"/>
      <c r="G633" s="3192">
        <f t="shared" si="98"/>
        <v>0</v>
      </c>
      <c r="H633" s="631"/>
      <c r="I633" s="3192">
        <f t="shared" si="99"/>
        <v>1</v>
      </c>
      <c r="J633" s="631"/>
      <c r="K633" s="3192">
        <f t="shared" si="100"/>
        <v>1</v>
      </c>
      <c r="L633" s="631"/>
      <c r="M633" s="3192">
        <f t="shared" si="101"/>
        <v>1</v>
      </c>
      <c r="N633" s="631"/>
      <c r="O633" s="3192">
        <f t="shared" si="102"/>
        <v>1</v>
      </c>
      <c r="P633" s="3194"/>
      <c r="Q633" s="3192">
        <f t="shared" si="103"/>
        <v>0</v>
      </c>
      <c r="R633" s="3192">
        <f t="shared" si="104"/>
        <v>0</v>
      </c>
      <c r="S633" s="898">
        <f t="shared" si="95"/>
        <v>0</v>
      </c>
      <c r="T633" s="3190">
        <f>面积表!A628</f>
        <v>0</v>
      </c>
    </row>
    <row r="634" spans="1:20">
      <c r="A634" s="3169"/>
      <c r="B634" s="52"/>
      <c r="C634" s="3192">
        <f t="shared" si="96"/>
        <v>1</v>
      </c>
      <c r="D634" s="2559"/>
      <c r="E634" s="3192">
        <f t="shared" si="97"/>
        <v>0.02</v>
      </c>
      <c r="F634" s="631"/>
      <c r="G634" s="3192">
        <f t="shared" si="98"/>
        <v>0</v>
      </c>
      <c r="H634" s="631"/>
      <c r="I634" s="3192">
        <f t="shared" si="99"/>
        <v>1</v>
      </c>
      <c r="J634" s="631"/>
      <c r="K634" s="3192">
        <f t="shared" si="100"/>
        <v>1</v>
      </c>
      <c r="L634" s="631"/>
      <c r="M634" s="3192">
        <f t="shared" si="101"/>
        <v>1</v>
      </c>
      <c r="N634" s="631"/>
      <c r="O634" s="3192">
        <f t="shared" si="102"/>
        <v>1</v>
      </c>
      <c r="P634" s="3194"/>
      <c r="Q634" s="3192">
        <f t="shared" si="103"/>
        <v>0</v>
      </c>
      <c r="R634" s="3192">
        <f t="shared" si="104"/>
        <v>0</v>
      </c>
      <c r="S634" s="898">
        <f t="shared" si="95"/>
        <v>0</v>
      </c>
      <c r="T634" s="3190">
        <f>面积表!A629</f>
        <v>0</v>
      </c>
    </row>
    <row r="635" spans="1:20">
      <c r="A635" s="3169"/>
      <c r="B635" s="52"/>
      <c r="C635" s="3192">
        <f t="shared" si="96"/>
        <v>1</v>
      </c>
      <c r="D635" s="2559"/>
      <c r="E635" s="3192">
        <f t="shared" si="97"/>
        <v>0.02</v>
      </c>
      <c r="F635" s="631"/>
      <c r="G635" s="3192">
        <f t="shared" si="98"/>
        <v>0</v>
      </c>
      <c r="H635" s="631"/>
      <c r="I635" s="3192">
        <f t="shared" si="99"/>
        <v>1</v>
      </c>
      <c r="J635" s="631"/>
      <c r="K635" s="3192">
        <f t="shared" si="100"/>
        <v>1</v>
      </c>
      <c r="L635" s="631"/>
      <c r="M635" s="3192">
        <f t="shared" si="101"/>
        <v>1</v>
      </c>
      <c r="N635" s="631"/>
      <c r="O635" s="3192">
        <f t="shared" si="102"/>
        <v>1</v>
      </c>
      <c r="P635" s="3194"/>
      <c r="Q635" s="3192">
        <f t="shared" si="103"/>
        <v>0</v>
      </c>
      <c r="R635" s="3192">
        <f t="shared" si="104"/>
        <v>0</v>
      </c>
      <c r="S635" s="898">
        <f t="shared" si="95"/>
        <v>0</v>
      </c>
      <c r="T635" s="3190">
        <f>面积表!A630</f>
        <v>0</v>
      </c>
    </row>
    <row r="636" spans="1:20">
      <c r="A636" s="3169"/>
      <c r="B636" s="52"/>
      <c r="C636" s="3192">
        <f t="shared" si="96"/>
        <v>1</v>
      </c>
      <c r="D636" s="2559"/>
      <c r="E636" s="3192">
        <f t="shared" si="97"/>
        <v>0.02</v>
      </c>
      <c r="F636" s="631"/>
      <c r="G636" s="3192">
        <f t="shared" si="98"/>
        <v>0</v>
      </c>
      <c r="H636" s="631"/>
      <c r="I636" s="3192">
        <f t="shared" si="99"/>
        <v>1</v>
      </c>
      <c r="J636" s="631"/>
      <c r="K636" s="3192">
        <f t="shared" si="100"/>
        <v>1</v>
      </c>
      <c r="L636" s="631"/>
      <c r="M636" s="3192">
        <f t="shared" si="101"/>
        <v>1</v>
      </c>
      <c r="N636" s="631"/>
      <c r="O636" s="3192">
        <f t="shared" si="102"/>
        <v>1</v>
      </c>
      <c r="P636" s="3194"/>
      <c r="Q636" s="3192">
        <f t="shared" si="103"/>
        <v>0</v>
      </c>
      <c r="R636" s="3192">
        <f t="shared" si="104"/>
        <v>0</v>
      </c>
      <c r="S636" s="898">
        <f t="shared" si="95"/>
        <v>0</v>
      </c>
      <c r="T636" s="3190">
        <f>面积表!A631</f>
        <v>0</v>
      </c>
    </row>
    <row r="637" spans="1:20">
      <c r="A637" s="3169"/>
      <c r="B637" s="52"/>
      <c r="C637" s="3192">
        <f t="shared" si="96"/>
        <v>1</v>
      </c>
      <c r="D637" s="2559"/>
      <c r="E637" s="3192">
        <f t="shared" si="97"/>
        <v>0.02</v>
      </c>
      <c r="F637" s="631"/>
      <c r="G637" s="3192">
        <f t="shared" si="98"/>
        <v>0</v>
      </c>
      <c r="H637" s="631"/>
      <c r="I637" s="3192">
        <f t="shared" si="99"/>
        <v>1</v>
      </c>
      <c r="J637" s="631"/>
      <c r="K637" s="3192">
        <f t="shared" si="100"/>
        <v>1</v>
      </c>
      <c r="L637" s="631"/>
      <c r="M637" s="3192">
        <f t="shared" si="101"/>
        <v>1</v>
      </c>
      <c r="N637" s="631"/>
      <c r="O637" s="3192">
        <f t="shared" si="102"/>
        <v>1</v>
      </c>
      <c r="P637" s="3194"/>
      <c r="Q637" s="3192">
        <f t="shared" si="103"/>
        <v>0</v>
      </c>
      <c r="R637" s="3192">
        <f t="shared" si="104"/>
        <v>0</v>
      </c>
      <c r="S637" s="898">
        <f t="shared" si="95"/>
        <v>0</v>
      </c>
      <c r="T637" s="3190">
        <f>面积表!A632</f>
        <v>0</v>
      </c>
    </row>
    <row r="638" spans="1:20">
      <c r="A638" s="3169"/>
      <c r="B638" s="52"/>
      <c r="C638" s="3192">
        <f t="shared" si="96"/>
        <v>1</v>
      </c>
      <c r="D638" s="2559"/>
      <c r="E638" s="3192">
        <f t="shared" si="97"/>
        <v>0.02</v>
      </c>
      <c r="F638" s="631"/>
      <c r="G638" s="3192">
        <f t="shared" si="98"/>
        <v>0</v>
      </c>
      <c r="H638" s="631"/>
      <c r="I638" s="3192">
        <f t="shared" si="99"/>
        <v>1</v>
      </c>
      <c r="J638" s="631"/>
      <c r="K638" s="3192">
        <f t="shared" si="100"/>
        <v>1</v>
      </c>
      <c r="L638" s="631"/>
      <c r="M638" s="3192">
        <f t="shared" si="101"/>
        <v>1</v>
      </c>
      <c r="N638" s="631"/>
      <c r="O638" s="3192">
        <f t="shared" si="102"/>
        <v>1</v>
      </c>
      <c r="P638" s="3194"/>
      <c r="Q638" s="3192">
        <f t="shared" si="103"/>
        <v>0</v>
      </c>
      <c r="R638" s="3192">
        <f t="shared" si="104"/>
        <v>0</v>
      </c>
      <c r="S638" s="898">
        <f t="shared" si="95"/>
        <v>0</v>
      </c>
      <c r="T638" s="3190">
        <f>面积表!A633</f>
        <v>0</v>
      </c>
    </row>
    <row r="639" spans="1:20">
      <c r="A639" s="3169"/>
      <c r="B639" s="52"/>
      <c r="C639" s="3192">
        <f t="shared" si="96"/>
        <v>1</v>
      </c>
      <c r="D639" s="2559"/>
      <c r="E639" s="3192">
        <f t="shared" si="97"/>
        <v>0.02</v>
      </c>
      <c r="F639" s="631"/>
      <c r="G639" s="3192">
        <f t="shared" si="98"/>
        <v>0</v>
      </c>
      <c r="H639" s="631"/>
      <c r="I639" s="3192">
        <f t="shared" si="99"/>
        <v>1</v>
      </c>
      <c r="J639" s="631"/>
      <c r="K639" s="3192">
        <f t="shared" si="100"/>
        <v>1</v>
      </c>
      <c r="L639" s="631"/>
      <c r="M639" s="3192">
        <f t="shared" si="101"/>
        <v>1</v>
      </c>
      <c r="N639" s="631"/>
      <c r="O639" s="3192">
        <f t="shared" si="102"/>
        <v>1</v>
      </c>
      <c r="P639" s="3194"/>
      <c r="Q639" s="3192">
        <f t="shared" si="103"/>
        <v>0</v>
      </c>
      <c r="R639" s="3192">
        <f t="shared" si="104"/>
        <v>0</v>
      </c>
      <c r="S639" s="898">
        <f t="shared" si="95"/>
        <v>0</v>
      </c>
      <c r="T639" s="3190">
        <f>面积表!A634</f>
        <v>0</v>
      </c>
    </row>
    <row r="640" spans="1:20">
      <c r="A640" s="3169"/>
      <c r="B640" s="52"/>
      <c r="C640" s="3192">
        <f t="shared" si="96"/>
        <v>1</v>
      </c>
      <c r="D640" s="2559"/>
      <c r="E640" s="3192">
        <f t="shared" si="97"/>
        <v>0.02</v>
      </c>
      <c r="F640" s="631"/>
      <c r="G640" s="3192">
        <f t="shared" si="98"/>
        <v>0</v>
      </c>
      <c r="H640" s="631"/>
      <c r="I640" s="3192">
        <f t="shared" si="99"/>
        <v>1</v>
      </c>
      <c r="J640" s="631"/>
      <c r="K640" s="3192">
        <f t="shared" si="100"/>
        <v>1</v>
      </c>
      <c r="L640" s="631"/>
      <c r="M640" s="3192">
        <f t="shared" si="101"/>
        <v>1</v>
      </c>
      <c r="N640" s="631"/>
      <c r="O640" s="3192">
        <f t="shared" si="102"/>
        <v>1</v>
      </c>
      <c r="P640" s="3194"/>
      <c r="Q640" s="3192">
        <f t="shared" si="103"/>
        <v>0</v>
      </c>
      <c r="R640" s="3192">
        <f t="shared" si="104"/>
        <v>0</v>
      </c>
      <c r="S640" s="898">
        <f t="shared" si="95"/>
        <v>0</v>
      </c>
      <c r="T640" s="3190">
        <f>面积表!A635</f>
        <v>0</v>
      </c>
    </row>
    <row r="641" spans="1:20">
      <c r="A641" s="3169"/>
      <c r="B641" s="52"/>
      <c r="C641" s="3192">
        <f t="shared" si="96"/>
        <v>1</v>
      </c>
      <c r="D641" s="2559"/>
      <c r="E641" s="3192">
        <f t="shared" si="97"/>
        <v>0.02</v>
      </c>
      <c r="F641" s="631"/>
      <c r="G641" s="3192">
        <f t="shared" si="98"/>
        <v>0</v>
      </c>
      <c r="H641" s="631"/>
      <c r="I641" s="3192">
        <f t="shared" si="99"/>
        <v>1</v>
      </c>
      <c r="J641" s="631"/>
      <c r="K641" s="3192">
        <f t="shared" si="100"/>
        <v>1</v>
      </c>
      <c r="L641" s="631"/>
      <c r="M641" s="3192">
        <f t="shared" si="101"/>
        <v>1</v>
      </c>
      <c r="N641" s="631"/>
      <c r="O641" s="3192">
        <f t="shared" si="102"/>
        <v>1</v>
      </c>
      <c r="P641" s="3194"/>
      <c r="Q641" s="3192">
        <f t="shared" si="103"/>
        <v>0</v>
      </c>
      <c r="R641" s="3192">
        <f t="shared" si="104"/>
        <v>0</v>
      </c>
      <c r="S641" s="898">
        <f t="shared" si="95"/>
        <v>0</v>
      </c>
      <c r="T641" s="3190">
        <f>面积表!A636</f>
        <v>0</v>
      </c>
    </row>
    <row r="642" spans="1:20">
      <c r="A642" s="3169"/>
      <c r="B642" s="52"/>
      <c r="C642" s="3192">
        <f t="shared" si="96"/>
        <v>1</v>
      </c>
      <c r="D642" s="2559"/>
      <c r="E642" s="3192">
        <f t="shared" si="97"/>
        <v>0.02</v>
      </c>
      <c r="F642" s="631"/>
      <c r="G642" s="3192">
        <f t="shared" si="98"/>
        <v>0</v>
      </c>
      <c r="H642" s="631"/>
      <c r="I642" s="3192">
        <f t="shared" si="99"/>
        <v>1</v>
      </c>
      <c r="J642" s="631"/>
      <c r="K642" s="3192">
        <f t="shared" si="100"/>
        <v>1</v>
      </c>
      <c r="L642" s="631"/>
      <c r="M642" s="3192">
        <f t="shared" si="101"/>
        <v>1</v>
      </c>
      <c r="N642" s="631"/>
      <c r="O642" s="3192">
        <f t="shared" si="102"/>
        <v>1</v>
      </c>
      <c r="P642" s="3194"/>
      <c r="Q642" s="3192">
        <f t="shared" si="103"/>
        <v>0</v>
      </c>
      <c r="R642" s="3192">
        <f t="shared" si="104"/>
        <v>0</v>
      </c>
      <c r="S642" s="898">
        <f t="shared" si="95"/>
        <v>0</v>
      </c>
      <c r="T642" s="3190">
        <f>面积表!A637</f>
        <v>0</v>
      </c>
    </row>
    <row r="643" spans="1:20">
      <c r="A643" s="3169"/>
      <c r="B643" s="52"/>
      <c r="C643" s="3192">
        <f t="shared" si="96"/>
        <v>1</v>
      </c>
      <c r="D643" s="2559"/>
      <c r="E643" s="3192">
        <f t="shared" si="97"/>
        <v>0.02</v>
      </c>
      <c r="F643" s="631"/>
      <c r="G643" s="3192">
        <f t="shared" si="98"/>
        <v>0</v>
      </c>
      <c r="H643" s="631"/>
      <c r="I643" s="3192">
        <f t="shared" si="99"/>
        <v>1</v>
      </c>
      <c r="J643" s="631"/>
      <c r="K643" s="3192">
        <f t="shared" si="100"/>
        <v>1</v>
      </c>
      <c r="L643" s="631"/>
      <c r="M643" s="3192">
        <f t="shared" si="101"/>
        <v>1</v>
      </c>
      <c r="N643" s="631"/>
      <c r="O643" s="3192">
        <f t="shared" si="102"/>
        <v>1</v>
      </c>
      <c r="P643" s="3194"/>
      <c r="Q643" s="3192">
        <f t="shared" si="103"/>
        <v>0</v>
      </c>
      <c r="R643" s="3192">
        <f t="shared" si="104"/>
        <v>0</v>
      </c>
      <c r="S643" s="898">
        <f t="shared" si="95"/>
        <v>0</v>
      </c>
      <c r="T643" s="3190">
        <f>面积表!A638</f>
        <v>0</v>
      </c>
    </row>
    <row r="644" spans="1:20">
      <c r="A644" s="3169"/>
      <c r="B644" s="52"/>
      <c r="C644" s="3192">
        <f t="shared" si="96"/>
        <v>1</v>
      </c>
      <c r="D644" s="2559"/>
      <c r="E644" s="3192">
        <f t="shared" si="97"/>
        <v>0.02</v>
      </c>
      <c r="F644" s="631"/>
      <c r="G644" s="3192">
        <f t="shared" si="98"/>
        <v>0</v>
      </c>
      <c r="H644" s="631"/>
      <c r="I644" s="3192">
        <f t="shared" si="99"/>
        <v>1</v>
      </c>
      <c r="J644" s="631"/>
      <c r="K644" s="3192">
        <f t="shared" si="100"/>
        <v>1</v>
      </c>
      <c r="L644" s="631"/>
      <c r="M644" s="3192">
        <f t="shared" si="101"/>
        <v>1</v>
      </c>
      <c r="N644" s="631"/>
      <c r="O644" s="3192">
        <f t="shared" si="102"/>
        <v>1</v>
      </c>
      <c r="P644" s="3194"/>
      <c r="Q644" s="3192">
        <f t="shared" si="103"/>
        <v>0</v>
      </c>
      <c r="R644" s="3192">
        <f t="shared" si="104"/>
        <v>0</v>
      </c>
      <c r="S644" s="898">
        <f t="shared" si="95"/>
        <v>0</v>
      </c>
      <c r="T644" s="3190">
        <f>面积表!A639</f>
        <v>0</v>
      </c>
    </row>
    <row r="645" spans="1:20">
      <c r="A645" s="3169"/>
      <c r="B645" s="52"/>
      <c r="C645" s="3192">
        <f t="shared" si="96"/>
        <v>1</v>
      </c>
      <c r="D645" s="2559"/>
      <c r="E645" s="3192">
        <f t="shared" si="97"/>
        <v>0.02</v>
      </c>
      <c r="F645" s="631"/>
      <c r="G645" s="3192">
        <f t="shared" si="98"/>
        <v>0</v>
      </c>
      <c r="H645" s="631"/>
      <c r="I645" s="3192">
        <f t="shared" si="99"/>
        <v>1</v>
      </c>
      <c r="J645" s="631"/>
      <c r="K645" s="3192">
        <f t="shared" si="100"/>
        <v>1</v>
      </c>
      <c r="L645" s="631"/>
      <c r="M645" s="3192">
        <f t="shared" si="101"/>
        <v>1</v>
      </c>
      <c r="N645" s="631"/>
      <c r="O645" s="3192">
        <f t="shared" si="102"/>
        <v>1</v>
      </c>
      <c r="P645" s="3194"/>
      <c r="Q645" s="3192">
        <f t="shared" si="103"/>
        <v>0</v>
      </c>
      <c r="R645" s="3192">
        <f t="shared" si="104"/>
        <v>0</v>
      </c>
      <c r="S645" s="898">
        <f t="shared" si="95"/>
        <v>0</v>
      </c>
      <c r="T645" s="3190">
        <f>面积表!A640</f>
        <v>0</v>
      </c>
    </row>
    <row r="646" spans="1:20">
      <c r="A646" s="3169"/>
      <c r="B646" s="52"/>
      <c r="C646" s="3192">
        <f t="shared" si="96"/>
        <v>1</v>
      </c>
      <c r="D646" s="2559"/>
      <c r="E646" s="3192">
        <f t="shared" si="97"/>
        <v>0.02</v>
      </c>
      <c r="F646" s="631"/>
      <c r="G646" s="3192">
        <f t="shared" si="98"/>
        <v>0</v>
      </c>
      <c r="H646" s="631"/>
      <c r="I646" s="3192">
        <f t="shared" si="99"/>
        <v>1</v>
      </c>
      <c r="J646" s="631"/>
      <c r="K646" s="3192">
        <f t="shared" si="100"/>
        <v>1</v>
      </c>
      <c r="L646" s="631"/>
      <c r="M646" s="3192">
        <f t="shared" si="101"/>
        <v>1</v>
      </c>
      <c r="N646" s="631"/>
      <c r="O646" s="3192">
        <f t="shared" si="102"/>
        <v>1</v>
      </c>
      <c r="P646" s="3194"/>
      <c r="Q646" s="3192">
        <f t="shared" si="103"/>
        <v>0</v>
      </c>
      <c r="R646" s="3192">
        <f t="shared" si="104"/>
        <v>0</v>
      </c>
      <c r="S646" s="898">
        <f t="shared" si="95"/>
        <v>0</v>
      </c>
      <c r="T646" s="3190">
        <f>面积表!A641</f>
        <v>0</v>
      </c>
    </row>
    <row r="647" spans="1:20">
      <c r="A647" s="3169"/>
      <c r="B647" s="52"/>
      <c r="C647" s="3192">
        <f t="shared" si="96"/>
        <v>1</v>
      </c>
      <c r="D647" s="2559"/>
      <c r="E647" s="3192">
        <f t="shared" si="97"/>
        <v>0.02</v>
      </c>
      <c r="F647" s="631"/>
      <c r="G647" s="3192">
        <f t="shared" si="98"/>
        <v>0</v>
      </c>
      <c r="H647" s="631"/>
      <c r="I647" s="3192">
        <f t="shared" si="99"/>
        <v>1</v>
      </c>
      <c r="J647" s="631"/>
      <c r="K647" s="3192">
        <f t="shared" si="100"/>
        <v>1</v>
      </c>
      <c r="L647" s="631"/>
      <c r="M647" s="3192">
        <f t="shared" si="101"/>
        <v>1</v>
      </c>
      <c r="N647" s="631"/>
      <c r="O647" s="3192">
        <f t="shared" si="102"/>
        <v>1</v>
      </c>
      <c r="P647" s="3194"/>
      <c r="Q647" s="3192">
        <f t="shared" si="103"/>
        <v>0</v>
      </c>
      <c r="R647" s="3192">
        <f t="shared" si="104"/>
        <v>0</v>
      </c>
      <c r="S647" s="898">
        <f t="shared" si="95"/>
        <v>0</v>
      </c>
      <c r="T647" s="3190">
        <f>面积表!A642</f>
        <v>0</v>
      </c>
    </row>
    <row r="648" spans="1:20">
      <c r="A648" s="3169"/>
      <c r="B648" s="52"/>
      <c r="C648" s="3192">
        <f t="shared" si="96"/>
        <v>1</v>
      </c>
      <c r="D648" s="2559"/>
      <c r="E648" s="3192">
        <f t="shared" si="97"/>
        <v>0.02</v>
      </c>
      <c r="F648" s="631"/>
      <c r="G648" s="3192">
        <f t="shared" si="98"/>
        <v>0</v>
      </c>
      <c r="H648" s="631"/>
      <c r="I648" s="3192">
        <f t="shared" si="99"/>
        <v>1</v>
      </c>
      <c r="J648" s="631"/>
      <c r="K648" s="3192">
        <f t="shared" si="100"/>
        <v>1</v>
      </c>
      <c r="L648" s="631"/>
      <c r="M648" s="3192">
        <f t="shared" si="101"/>
        <v>1</v>
      </c>
      <c r="N648" s="631"/>
      <c r="O648" s="3192">
        <f t="shared" si="102"/>
        <v>1</v>
      </c>
      <c r="P648" s="3194"/>
      <c r="Q648" s="3192">
        <f t="shared" si="103"/>
        <v>0</v>
      </c>
      <c r="R648" s="3192">
        <f t="shared" si="104"/>
        <v>0</v>
      </c>
      <c r="S648" s="898">
        <f t="shared" si="95"/>
        <v>0</v>
      </c>
      <c r="T648" s="3190">
        <f>面积表!A643</f>
        <v>0</v>
      </c>
    </row>
    <row r="649" spans="1:20">
      <c r="A649" s="3169"/>
      <c r="B649" s="52"/>
      <c r="C649" s="3192">
        <f t="shared" si="96"/>
        <v>1</v>
      </c>
      <c r="D649" s="2559"/>
      <c r="E649" s="3192">
        <f t="shared" si="97"/>
        <v>0.02</v>
      </c>
      <c r="F649" s="631"/>
      <c r="G649" s="3192">
        <f t="shared" si="98"/>
        <v>0</v>
      </c>
      <c r="H649" s="631"/>
      <c r="I649" s="3192">
        <f t="shared" si="99"/>
        <v>1</v>
      </c>
      <c r="J649" s="631"/>
      <c r="K649" s="3192">
        <f t="shared" si="100"/>
        <v>1</v>
      </c>
      <c r="L649" s="631"/>
      <c r="M649" s="3192">
        <f t="shared" si="101"/>
        <v>1</v>
      </c>
      <c r="N649" s="631"/>
      <c r="O649" s="3192">
        <f t="shared" si="102"/>
        <v>1</v>
      </c>
      <c r="P649" s="3194"/>
      <c r="Q649" s="3192">
        <f t="shared" si="103"/>
        <v>0</v>
      </c>
      <c r="R649" s="3192">
        <f t="shared" si="104"/>
        <v>0</v>
      </c>
      <c r="S649" s="898">
        <f t="shared" si="95"/>
        <v>0</v>
      </c>
      <c r="T649" s="3190">
        <f>面积表!A644</f>
        <v>0</v>
      </c>
    </row>
    <row r="650" spans="1:20">
      <c r="A650" s="3169"/>
      <c r="B650" s="52"/>
      <c r="C650" s="3192">
        <f t="shared" si="96"/>
        <v>1</v>
      </c>
      <c r="D650" s="2559"/>
      <c r="E650" s="3192">
        <f t="shared" si="97"/>
        <v>0.02</v>
      </c>
      <c r="F650" s="631"/>
      <c r="G650" s="3192">
        <f t="shared" si="98"/>
        <v>0</v>
      </c>
      <c r="H650" s="631"/>
      <c r="I650" s="3192">
        <f t="shared" si="99"/>
        <v>1</v>
      </c>
      <c r="J650" s="631"/>
      <c r="K650" s="3192">
        <f t="shared" si="100"/>
        <v>1</v>
      </c>
      <c r="L650" s="631"/>
      <c r="M650" s="3192">
        <f t="shared" si="101"/>
        <v>1</v>
      </c>
      <c r="N650" s="631"/>
      <c r="O650" s="3192">
        <f t="shared" si="102"/>
        <v>1</v>
      </c>
      <c r="P650" s="3194"/>
      <c r="Q650" s="3192">
        <f t="shared" si="103"/>
        <v>0</v>
      </c>
      <c r="R650" s="3192">
        <f t="shared" si="104"/>
        <v>0</v>
      </c>
      <c r="S650" s="898">
        <f t="shared" si="95"/>
        <v>0</v>
      </c>
      <c r="T650" s="3190">
        <f>面积表!A645</f>
        <v>0</v>
      </c>
    </row>
    <row r="651" spans="1:20">
      <c r="A651" s="3169"/>
      <c r="B651" s="52"/>
      <c r="C651" s="3192">
        <f t="shared" si="96"/>
        <v>1</v>
      </c>
      <c r="D651" s="2559"/>
      <c r="E651" s="3192">
        <f t="shared" si="97"/>
        <v>0.02</v>
      </c>
      <c r="F651" s="631"/>
      <c r="G651" s="3192">
        <f t="shared" si="98"/>
        <v>0</v>
      </c>
      <c r="H651" s="631"/>
      <c r="I651" s="3192">
        <f t="shared" si="99"/>
        <v>1</v>
      </c>
      <c r="J651" s="631"/>
      <c r="K651" s="3192">
        <f t="shared" si="100"/>
        <v>1</v>
      </c>
      <c r="L651" s="631"/>
      <c r="M651" s="3192">
        <f t="shared" si="101"/>
        <v>1</v>
      </c>
      <c r="N651" s="631"/>
      <c r="O651" s="3192">
        <f t="shared" si="102"/>
        <v>1</v>
      </c>
      <c r="P651" s="3194"/>
      <c r="Q651" s="3192">
        <f t="shared" si="103"/>
        <v>0</v>
      </c>
      <c r="R651" s="3192">
        <f t="shared" si="104"/>
        <v>0</v>
      </c>
      <c r="S651" s="898">
        <f t="shared" si="95"/>
        <v>0</v>
      </c>
      <c r="T651" s="3190">
        <f>面积表!A646</f>
        <v>0</v>
      </c>
    </row>
    <row r="652" spans="1:20">
      <c r="A652" s="3169"/>
      <c r="B652" s="52"/>
      <c r="C652" s="3192">
        <f t="shared" si="96"/>
        <v>1</v>
      </c>
      <c r="D652" s="2559"/>
      <c r="E652" s="3192">
        <f t="shared" si="97"/>
        <v>0.02</v>
      </c>
      <c r="F652" s="631"/>
      <c r="G652" s="3192">
        <f t="shared" si="98"/>
        <v>0</v>
      </c>
      <c r="H652" s="631"/>
      <c r="I652" s="3192">
        <f t="shared" si="99"/>
        <v>1</v>
      </c>
      <c r="J652" s="631"/>
      <c r="K652" s="3192">
        <f t="shared" si="100"/>
        <v>1</v>
      </c>
      <c r="L652" s="631"/>
      <c r="M652" s="3192">
        <f t="shared" si="101"/>
        <v>1</v>
      </c>
      <c r="N652" s="631"/>
      <c r="O652" s="3192">
        <f t="shared" si="102"/>
        <v>1</v>
      </c>
      <c r="P652" s="3194"/>
      <c r="Q652" s="3192">
        <f t="shared" si="103"/>
        <v>0</v>
      </c>
      <c r="R652" s="3192">
        <f t="shared" si="104"/>
        <v>0</v>
      </c>
      <c r="S652" s="898">
        <f t="shared" si="95"/>
        <v>0</v>
      </c>
      <c r="T652" s="3190">
        <f>面积表!A647</f>
        <v>0</v>
      </c>
    </row>
    <row r="653" spans="1:20">
      <c r="A653" s="3169"/>
      <c r="B653" s="52"/>
      <c r="C653" s="3192">
        <f t="shared" si="96"/>
        <v>1</v>
      </c>
      <c r="D653" s="2559"/>
      <c r="E653" s="3192">
        <f t="shared" si="97"/>
        <v>0.02</v>
      </c>
      <c r="F653" s="631"/>
      <c r="G653" s="3192">
        <f t="shared" si="98"/>
        <v>0</v>
      </c>
      <c r="H653" s="631"/>
      <c r="I653" s="3192">
        <f t="shared" si="99"/>
        <v>1</v>
      </c>
      <c r="J653" s="631"/>
      <c r="K653" s="3192">
        <f t="shared" si="100"/>
        <v>1</v>
      </c>
      <c r="L653" s="631"/>
      <c r="M653" s="3192">
        <f t="shared" si="101"/>
        <v>1</v>
      </c>
      <c r="N653" s="631"/>
      <c r="O653" s="3192">
        <f t="shared" si="102"/>
        <v>1</v>
      </c>
      <c r="P653" s="3194"/>
      <c r="Q653" s="3192">
        <f t="shared" si="103"/>
        <v>0</v>
      </c>
      <c r="R653" s="3192">
        <f t="shared" si="104"/>
        <v>0</v>
      </c>
      <c r="S653" s="898">
        <f t="shared" si="95"/>
        <v>0</v>
      </c>
      <c r="T653" s="3190">
        <f>面积表!A648</f>
        <v>0</v>
      </c>
    </row>
    <row r="654" spans="1:20">
      <c r="A654" s="3169"/>
      <c r="B654" s="52"/>
      <c r="C654" s="3192">
        <f t="shared" si="96"/>
        <v>1</v>
      </c>
      <c r="D654" s="2559"/>
      <c r="E654" s="3192">
        <f t="shared" si="97"/>
        <v>0.02</v>
      </c>
      <c r="F654" s="631"/>
      <c r="G654" s="3192">
        <f t="shared" si="98"/>
        <v>0</v>
      </c>
      <c r="H654" s="631"/>
      <c r="I654" s="3192">
        <f t="shared" si="99"/>
        <v>1</v>
      </c>
      <c r="J654" s="631"/>
      <c r="K654" s="3192">
        <f t="shared" si="100"/>
        <v>1</v>
      </c>
      <c r="L654" s="631"/>
      <c r="M654" s="3192">
        <f t="shared" si="101"/>
        <v>1</v>
      </c>
      <c r="N654" s="631"/>
      <c r="O654" s="3192">
        <f t="shared" si="102"/>
        <v>1</v>
      </c>
      <c r="P654" s="3194"/>
      <c r="Q654" s="3192">
        <f t="shared" si="103"/>
        <v>0</v>
      </c>
      <c r="R654" s="3192">
        <f t="shared" si="104"/>
        <v>0</v>
      </c>
      <c r="S654" s="898">
        <f t="shared" si="95"/>
        <v>0</v>
      </c>
      <c r="T654" s="3190">
        <f>面积表!A649</f>
        <v>0</v>
      </c>
    </row>
    <row r="655" spans="1:20">
      <c r="A655" s="3169"/>
      <c r="B655" s="52"/>
      <c r="C655" s="3192">
        <f t="shared" si="96"/>
        <v>1</v>
      </c>
      <c r="D655" s="2559"/>
      <c r="E655" s="3192">
        <f t="shared" si="97"/>
        <v>0.02</v>
      </c>
      <c r="F655" s="631"/>
      <c r="G655" s="3192">
        <f t="shared" si="98"/>
        <v>0</v>
      </c>
      <c r="H655" s="631"/>
      <c r="I655" s="3192">
        <f t="shared" si="99"/>
        <v>1</v>
      </c>
      <c r="J655" s="631"/>
      <c r="K655" s="3192">
        <f t="shared" si="100"/>
        <v>1</v>
      </c>
      <c r="L655" s="631"/>
      <c r="M655" s="3192">
        <f t="shared" si="101"/>
        <v>1</v>
      </c>
      <c r="N655" s="631"/>
      <c r="O655" s="3192">
        <f t="shared" si="102"/>
        <v>1</v>
      </c>
      <c r="P655" s="3194"/>
      <c r="Q655" s="3192">
        <f t="shared" si="103"/>
        <v>0</v>
      </c>
      <c r="R655" s="3192">
        <f t="shared" si="104"/>
        <v>0</v>
      </c>
      <c r="S655" s="898">
        <f t="shared" si="95"/>
        <v>0</v>
      </c>
      <c r="T655" s="3190">
        <f>面积表!A650</f>
        <v>0</v>
      </c>
    </row>
    <row r="656" spans="1:20">
      <c r="A656" s="3169"/>
      <c r="B656" s="52"/>
      <c r="C656" s="3192">
        <f t="shared" si="96"/>
        <v>1</v>
      </c>
      <c r="D656" s="2559"/>
      <c r="E656" s="3192">
        <f t="shared" si="97"/>
        <v>0.02</v>
      </c>
      <c r="F656" s="631"/>
      <c r="G656" s="3192">
        <f t="shared" si="98"/>
        <v>0</v>
      </c>
      <c r="H656" s="631"/>
      <c r="I656" s="3192">
        <f t="shared" si="99"/>
        <v>1</v>
      </c>
      <c r="J656" s="631"/>
      <c r="K656" s="3192">
        <f t="shared" si="100"/>
        <v>1</v>
      </c>
      <c r="L656" s="631"/>
      <c r="M656" s="3192">
        <f t="shared" si="101"/>
        <v>1</v>
      </c>
      <c r="N656" s="631"/>
      <c r="O656" s="3192">
        <f t="shared" si="102"/>
        <v>1</v>
      </c>
      <c r="P656" s="3194"/>
      <c r="Q656" s="3192">
        <f t="shared" si="103"/>
        <v>0</v>
      </c>
      <c r="R656" s="3192">
        <f t="shared" si="104"/>
        <v>0</v>
      </c>
      <c r="S656" s="898">
        <f t="shared" si="95"/>
        <v>0</v>
      </c>
      <c r="T656" s="3190">
        <f>面积表!A651</f>
        <v>0</v>
      </c>
    </row>
    <row r="657" spans="1:20">
      <c r="A657" s="3169"/>
      <c r="B657" s="52"/>
      <c r="C657" s="3192">
        <f t="shared" si="96"/>
        <v>1</v>
      </c>
      <c r="D657" s="2559"/>
      <c r="E657" s="3192">
        <f t="shared" si="97"/>
        <v>0.02</v>
      </c>
      <c r="F657" s="631"/>
      <c r="G657" s="3192">
        <f t="shared" si="98"/>
        <v>0</v>
      </c>
      <c r="H657" s="631"/>
      <c r="I657" s="3192">
        <f t="shared" si="99"/>
        <v>1</v>
      </c>
      <c r="J657" s="631"/>
      <c r="K657" s="3192">
        <f t="shared" si="100"/>
        <v>1</v>
      </c>
      <c r="L657" s="631"/>
      <c r="M657" s="3192">
        <f t="shared" si="101"/>
        <v>1</v>
      </c>
      <c r="N657" s="631"/>
      <c r="O657" s="3192">
        <f t="shared" si="102"/>
        <v>1</v>
      </c>
      <c r="P657" s="3194"/>
      <c r="Q657" s="3192">
        <f t="shared" si="103"/>
        <v>0</v>
      </c>
      <c r="R657" s="3192">
        <f t="shared" si="104"/>
        <v>0</v>
      </c>
      <c r="S657" s="898">
        <f t="shared" si="95"/>
        <v>0</v>
      </c>
      <c r="T657" s="3190">
        <f>面积表!A652</f>
        <v>0</v>
      </c>
    </row>
    <row r="658" spans="1:20">
      <c r="A658" s="3169"/>
      <c r="B658" s="52"/>
      <c r="C658" s="3192">
        <f t="shared" si="96"/>
        <v>1</v>
      </c>
      <c r="D658" s="2559"/>
      <c r="E658" s="3192">
        <f t="shared" si="97"/>
        <v>0.02</v>
      </c>
      <c r="F658" s="631"/>
      <c r="G658" s="3192">
        <f t="shared" si="98"/>
        <v>0</v>
      </c>
      <c r="H658" s="631"/>
      <c r="I658" s="3192">
        <f t="shared" si="99"/>
        <v>1</v>
      </c>
      <c r="J658" s="631"/>
      <c r="K658" s="3192">
        <f t="shared" si="100"/>
        <v>1</v>
      </c>
      <c r="L658" s="631"/>
      <c r="M658" s="3192">
        <f t="shared" si="101"/>
        <v>1</v>
      </c>
      <c r="N658" s="631"/>
      <c r="O658" s="3192">
        <f t="shared" si="102"/>
        <v>1</v>
      </c>
      <c r="P658" s="3194"/>
      <c r="Q658" s="3192">
        <f t="shared" si="103"/>
        <v>0</v>
      </c>
      <c r="R658" s="3192">
        <f t="shared" si="104"/>
        <v>0</v>
      </c>
      <c r="S658" s="898">
        <f t="shared" si="95"/>
        <v>0</v>
      </c>
      <c r="T658" s="3190">
        <f>面积表!A653</f>
        <v>0</v>
      </c>
    </row>
    <row r="659" spans="1:20">
      <c r="A659" s="3169"/>
      <c r="B659" s="52"/>
      <c r="C659" s="3192">
        <f t="shared" si="96"/>
        <v>1</v>
      </c>
      <c r="D659" s="2559"/>
      <c r="E659" s="3192">
        <f t="shared" si="97"/>
        <v>0.02</v>
      </c>
      <c r="F659" s="631"/>
      <c r="G659" s="3192">
        <f t="shared" si="98"/>
        <v>0</v>
      </c>
      <c r="H659" s="631"/>
      <c r="I659" s="3192">
        <f t="shared" si="99"/>
        <v>1</v>
      </c>
      <c r="J659" s="631"/>
      <c r="K659" s="3192">
        <f t="shared" si="100"/>
        <v>1</v>
      </c>
      <c r="L659" s="631"/>
      <c r="M659" s="3192">
        <f t="shared" si="101"/>
        <v>1</v>
      </c>
      <c r="N659" s="631"/>
      <c r="O659" s="3192">
        <f t="shared" si="102"/>
        <v>1</v>
      </c>
      <c r="P659" s="3194"/>
      <c r="Q659" s="3192">
        <f t="shared" si="103"/>
        <v>0</v>
      </c>
      <c r="R659" s="3192">
        <f t="shared" si="104"/>
        <v>0</v>
      </c>
      <c r="S659" s="898">
        <f t="shared" si="95"/>
        <v>0</v>
      </c>
      <c r="T659" s="3190">
        <f>面积表!A654</f>
        <v>0</v>
      </c>
    </row>
    <row r="660" spans="1:20">
      <c r="A660" s="3169"/>
      <c r="B660" s="52"/>
      <c r="C660" s="3192">
        <f t="shared" si="96"/>
        <v>1</v>
      </c>
      <c r="D660" s="2559"/>
      <c r="E660" s="3192">
        <f t="shared" si="97"/>
        <v>0.02</v>
      </c>
      <c r="F660" s="631"/>
      <c r="G660" s="3192">
        <f t="shared" si="98"/>
        <v>0</v>
      </c>
      <c r="H660" s="631"/>
      <c r="I660" s="3192">
        <f t="shared" si="99"/>
        <v>1</v>
      </c>
      <c r="J660" s="631"/>
      <c r="K660" s="3192">
        <f t="shared" si="100"/>
        <v>1</v>
      </c>
      <c r="L660" s="631"/>
      <c r="M660" s="3192">
        <f t="shared" si="101"/>
        <v>1</v>
      </c>
      <c r="N660" s="631"/>
      <c r="O660" s="3192">
        <f t="shared" si="102"/>
        <v>1</v>
      </c>
      <c r="P660" s="3194"/>
      <c r="Q660" s="3192">
        <f t="shared" si="103"/>
        <v>0</v>
      </c>
      <c r="R660" s="3192">
        <f t="shared" si="104"/>
        <v>0</v>
      </c>
      <c r="S660" s="898">
        <f t="shared" si="95"/>
        <v>0</v>
      </c>
      <c r="T660" s="3190">
        <f>面积表!A655</f>
        <v>0</v>
      </c>
    </row>
    <row r="661" spans="1:20">
      <c r="A661" s="3169"/>
      <c r="B661" s="52"/>
      <c r="C661" s="3192">
        <f t="shared" si="96"/>
        <v>1</v>
      </c>
      <c r="D661" s="2559"/>
      <c r="E661" s="3192">
        <f t="shared" si="97"/>
        <v>0.02</v>
      </c>
      <c r="F661" s="631"/>
      <c r="G661" s="3192">
        <f t="shared" si="98"/>
        <v>0</v>
      </c>
      <c r="H661" s="631"/>
      <c r="I661" s="3192">
        <f t="shared" si="99"/>
        <v>1</v>
      </c>
      <c r="J661" s="631"/>
      <c r="K661" s="3192">
        <f t="shared" si="100"/>
        <v>1</v>
      </c>
      <c r="L661" s="631"/>
      <c r="M661" s="3192">
        <f t="shared" si="101"/>
        <v>1</v>
      </c>
      <c r="N661" s="631"/>
      <c r="O661" s="3192">
        <f t="shared" si="102"/>
        <v>1</v>
      </c>
      <c r="P661" s="3194"/>
      <c r="Q661" s="3192">
        <f t="shared" si="103"/>
        <v>0</v>
      </c>
      <c r="R661" s="3192">
        <f t="shared" si="104"/>
        <v>0</v>
      </c>
      <c r="S661" s="898">
        <f t="shared" si="95"/>
        <v>0</v>
      </c>
      <c r="T661" s="3190">
        <f>面积表!A656</f>
        <v>0</v>
      </c>
    </row>
    <row r="662" spans="1:20">
      <c r="A662" s="3169"/>
      <c r="B662" s="52"/>
      <c r="C662" s="3192">
        <f t="shared" si="96"/>
        <v>1</v>
      </c>
      <c r="D662" s="2559"/>
      <c r="E662" s="3192">
        <f t="shared" si="97"/>
        <v>0.02</v>
      </c>
      <c r="F662" s="631"/>
      <c r="G662" s="3192">
        <f t="shared" si="98"/>
        <v>0</v>
      </c>
      <c r="H662" s="631"/>
      <c r="I662" s="3192">
        <f t="shared" si="99"/>
        <v>1</v>
      </c>
      <c r="J662" s="631"/>
      <c r="K662" s="3192">
        <f t="shared" si="100"/>
        <v>1</v>
      </c>
      <c r="L662" s="631"/>
      <c r="M662" s="3192">
        <f t="shared" si="101"/>
        <v>1</v>
      </c>
      <c r="N662" s="631"/>
      <c r="O662" s="3192">
        <f t="shared" si="102"/>
        <v>1</v>
      </c>
      <c r="P662" s="3194"/>
      <c r="Q662" s="3192">
        <f t="shared" si="103"/>
        <v>0</v>
      </c>
      <c r="R662" s="3192">
        <f t="shared" si="104"/>
        <v>0</v>
      </c>
      <c r="S662" s="898">
        <f t="shared" si="95"/>
        <v>0</v>
      </c>
      <c r="T662" s="3190">
        <f>面积表!A657</f>
        <v>0</v>
      </c>
    </row>
    <row r="663" spans="1:20">
      <c r="A663" s="3169"/>
      <c r="B663" s="52"/>
      <c r="C663" s="3192">
        <f t="shared" si="96"/>
        <v>1</v>
      </c>
      <c r="D663" s="2559"/>
      <c r="E663" s="3192">
        <f t="shared" si="97"/>
        <v>0.02</v>
      </c>
      <c r="F663" s="631"/>
      <c r="G663" s="3192">
        <f t="shared" si="98"/>
        <v>0</v>
      </c>
      <c r="H663" s="631"/>
      <c r="I663" s="3192">
        <f t="shared" si="99"/>
        <v>1</v>
      </c>
      <c r="J663" s="631"/>
      <c r="K663" s="3192">
        <f t="shared" si="100"/>
        <v>1</v>
      </c>
      <c r="L663" s="631"/>
      <c r="M663" s="3192">
        <f t="shared" si="101"/>
        <v>1</v>
      </c>
      <c r="N663" s="631"/>
      <c r="O663" s="3192">
        <f t="shared" si="102"/>
        <v>1</v>
      </c>
      <c r="P663" s="3194"/>
      <c r="Q663" s="3192">
        <f t="shared" si="103"/>
        <v>0</v>
      </c>
      <c r="R663" s="3192">
        <f t="shared" si="104"/>
        <v>0</v>
      </c>
      <c r="S663" s="898">
        <f t="shared" si="95"/>
        <v>0</v>
      </c>
      <c r="T663" s="3190">
        <f>面积表!A658</f>
        <v>0</v>
      </c>
    </row>
    <row r="664" spans="1:20">
      <c r="A664" s="3169"/>
      <c r="B664" s="52"/>
      <c r="C664" s="3192">
        <f t="shared" si="96"/>
        <v>1</v>
      </c>
      <c r="D664" s="2559"/>
      <c r="E664" s="3192">
        <f t="shared" si="97"/>
        <v>0.02</v>
      </c>
      <c r="F664" s="631"/>
      <c r="G664" s="3192">
        <f t="shared" si="98"/>
        <v>0</v>
      </c>
      <c r="H664" s="631"/>
      <c r="I664" s="3192">
        <f t="shared" si="99"/>
        <v>1</v>
      </c>
      <c r="J664" s="631"/>
      <c r="K664" s="3192">
        <f t="shared" si="100"/>
        <v>1</v>
      </c>
      <c r="L664" s="631"/>
      <c r="M664" s="3192">
        <f t="shared" si="101"/>
        <v>1</v>
      </c>
      <c r="N664" s="631"/>
      <c r="O664" s="3192">
        <f t="shared" si="102"/>
        <v>1</v>
      </c>
      <c r="P664" s="3194"/>
      <c r="Q664" s="3192">
        <f t="shared" si="103"/>
        <v>0</v>
      </c>
      <c r="R664" s="3192">
        <f t="shared" si="104"/>
        <v>0</v>
      </c>
      <c r="S664" s="898">
        <f t="shared" ref="S664:S727" si="105">ROUND(R664*B664/10000,0)</f>
        <v>0</v>
      </c>
      <c r="T664" s="3190">
        <f>面积表!A659</f>
        <v>0</v>
      </c>
    </row>
    <row r="665" spans="1:20">
      <c r="A665" s="3169"/>
      <c r="B665" s="52"/>
      <c r="C665" s="3192">
        <f t="shared" si="96"/>
        <v>1</v>
      </c>
      <c r="D665" s="2559"/>
      <c r="E665" s="3192">
        <f t="shared" si="97"/>
        <v>0.02</v>
      </c>
      <c r="F665" s="631"/>
      <c r="G665" s="3192">
        <f t="shared" si="98"/>
        <v>0</v>
      </c>
      <c r="H665" s="631"/>
      <c r="I665" s="3192">
        <f t="shared" si="99"/>
        <v>1</v>
      </c>
      <c r="J665" s="631"/>
      <c r="K665" s="3192">
        <f t="shared" si="100"/>
        <v>1</v>
      </c>
      <c r="L665" s="631"/>
      <c r="M665" s="3192">
        <f t="shared" si="101"/>
        <v>1</v>
      </c>
      <c r="N665" s="631"/>
      <c r="O665" s="3192">
        <f t="shared" si="102"/>
        <v>1</v>
      </c>
      <c r="P665" s="3194"/>
      <c r="Q665" s="3192">
        <f t="shared" si="103"/>
        <v>0</v>
      </c>
      <c r="R665" s="3192">
        <f t="shared" si="104"/>
        <v>0</v>
      </c>
      <c r="S665" s="898">
        <f t="shared" si="105"/>
        <v>0</v>
      </c>
      <c r="T665" s="3190">
        <f>面积表!A660</f>
        <v>0</v>
      </c>
    </row>
    <row r="666" spans="1:20">
      <c r="A666" s="3169"/>
      <c r="B666" s="52"/>
      <c r="C666" s="3192">
        <f t="shared" ref="C666:C729" si="106">IF(B666="",1,(LOOKUP(B666,$3:$3,$4:$4)-LOOKUP($B$24,$3:$3,$4:$4)+100)/100)</f>
        <v>1</v>
      </c>
      <c r="D666" s="2559"/>
      <c r="E666" s="3192">
        <f t="shared" ref="E666:E729" si="107">(SUMIF($5:$5,D666,$6:$6)-SUMIF($5:$5,$D$24,$6:$6)+100)/100</f>
        <v>0.02</v>
      </c>
      <c r="F666" s="631"/>
      <c r="G666" s="3192">
        <f t="shared" ref="G666:G729" si="108">(SUMIF($7:$7,F666,$8:$8)-SUMIF($7:$7,$F$24,$8:$8)+100)/100</f>
        <v>0</v>
      </c>
      <c r="H666" s="631"/>
      <c r="I666" s="3192">
        <f t="shared" ref="I666:I729" si="109">(SUMIF($9:$9,H666,$10:$10)-SUMIF($9:$9,$H$24,$10:$10)+100)/100</f>
        <v>1</v>
      </c>
      <c r="J666" s="631"/>
      <c r="K666" s="3192">
        <f t="shared" ref="K666:K729" si="110">(SUMIF($11:$11,J666,$12:$12)-SUMIF($11:$11,$J$24,$12:$12)+100)/100</f>
        <v>1</v>
      </c>
      <c r="L666" s="631"/>
      <c r="M666" s="3192">
        <f t="shared" ref="M666:M729" si="111">(SUMIF($13:$13,L666,$14:$14)-SUMIF($13:$13,$L$24,$14:$14)+100)/100</f>
        <v>1</v>
      </c>
      <c r="N666" s="631"/>
      <c r="O666" s="3192">
        <f t="shared" ref="O666:O729" si="112">(SUMIF($15:$15,N666,$16:$16)-SUMIF($15:$15,$N$24,$16:$16)+100)/100</f>
        <v>1</v>
      </c>
      <c r="P666" s="3194"/>
      <c r="Q666" s="3192">
        <f t="shared" ref="Q666:Q729" si="113">(SUMIF($17:$17,P666,$18:$18)-SUMIF($17:$17,$P$24,$18:$18)+100)/100</f>
        <v>0</v>
      </c>
      <c r="R666" s="3192">
        <f t="shared" ref="R666:R729" si="114">IF(B666="",0,ROUND($R$24*C666*E666*G666*I666*K666*M666*O666*Q666,0))</f>
        <v>0</v>
      </c>
      <c r="S666" s="898">
        <f t="shared" si="105"/>
        <v>0</v>
      </c>
      <c r="T666" s="3190">
        <f>面积表!A661</f>
        <v>0</v>
      </c>
    </row>
    <row r="667" spans="1:20">
      <c r="A667" s="3169"/>
      <c r="B667" s="52"/>
      <c r="C667" s="3192">
        <f t="shared" si="106"/>
        <v>1</v>
      </c>
      <c r="D667" s="2559"/>
      <c r="E667" s="3192">
        <f t="shared" si="107"/>
        <v>0.02</v>
      </c>
      <c r="F667" s="631"/>
      <c r="G667" s="3192">
        <f t="shared" si="108"/>
        <v>0</v>
      </c>
      <c r="H667" s="631"/>
      <c r="I667" s="3192">
        <f t="shared" si="109"/>
        <v>1</v>
      </c>
      <c r="J667" s="631"/>
      <c r="K667" s="3192">
        <f t="shared" si="110"/>
        <v>1</v>
      </c>
      <c r="L667" s="631"/>
      <c r="M667" s="3192">
        <f t="shared" si="111"/>
        <v>1</v>
      </c>
      <c r="N667" s="631"/>
      <c r="O667" s="3192">
        <f t="shared" si="112"/>
        <v>1</v>
      </c>
      <c r="P667" s="3194"/>
      <c r="Q667" s="3192">
        <f t="shared" si="113"/>
        <v>0</v>
      </c>
      <c r="R667" s="3192">
        <f t="shared" si="114"/>
        <v>0</v>
      </c>
      <c r="S667" s="898">
        <f t="shared" si="105"/>
        <v>0</v>
      </c>
      <c r="T667" s="3190">
        <f>面积表!A662</f>
        <v>0</v>
      </c>
    </row>
    <row r="668" spans="1:20">
      <c r="A668" s="3169"/>
      <c r="B668" s="52"/>
      <c r="C668" s="3192">
        <f t="shared" si="106"/>
        <v>1</v>
      </c>
      <c r="D668" s="2559"/>
      <c r="E668" s="3192">
        <f t="shared" si="107"/>
        <v>0.02</v>
      </c>
      <c r="F668" s="631"/>
      <c r="G668" s="3192">
        <f t="shared" si="108"/>
        <v>0</v>
      </c>
      <c r="H668" s="631"/>
      <c r="I668" s="3192">
        <f t="shared" si="109"/>
        <v>1</v>
      </c>
      <c r="J668" s="631"/>
      <c r="K668" s="3192">
        <f t="shared" si="110"/>
        <v>1</v>
      </c>
      <c r="L668" s="631"/>
      <c r="M668" s="3192">
        <f t="shared" si="111"/>
        <v>1</v>
      </c>
      <c r="N668" s="631"/>
      <c r="O668" s="3192">
        <f t="shared" si="112"/>
        <v>1</v>
      </c>
      <c r="P668" s="3194"/>
      <c r="Q668" s="3192">
        <f t="shared" si="113"/>
        <v>0</v>
      </c>
      <c r="R668" s="3192">
        <f t="shared" si="114"/>
        <v>0</v>
      </c>
      <c r="S668" s="898">
        <f t="shared" si="105"/>
        <v>0</v>
      </c>
      <c r="T668" s="3190">
        <f>面积表!A663</f>
        <v>0</v>
      </c>
    </row>
    <row r="669" spans="1:20">
      <c r="A669" s="3169"/>
      <c r="B669" s="52"/>
      <c r="C669" s="3192">
        <f t="shared" si="106"/>
        <v>1</v>
      </c>
      <c r="D669" s="2559"/>
      <c r="E669" s="3192">
        <f t="shared" si="107"/>
        <v>0.02</v>
      </c>
      <c r="F669" s="631"/>
      <c r="G669" s="3192">
        <f t="shared" si="108"/>
        <v>0</v>
      </c>
      <c r="H669" s="631"/>
      <c r="I669" s="3192">
        <f t="shared" si="109"/>
        <v>1</v>
      </c>
      <c r="J669" s="631"/>
      <c r="K669" s="3192">
        <f t="shared" si="110"/>
        <v>1</v>
      </c>
      <c r="L669" s="631"/>
      <c r="M669" s="3192">
        <f t="shared" si="111"/>
        <v>1</v>
      </c>
      <c r="N669" s="631"/>
      <c r="O669" s="3192">
        <f t="shared" si="112"/>
        <v>1</v>
      </c>
      <c r="P669" s="3194"/>
      <c r="Q669" s="3192">
        <f t="shared" si="113"/>
        <v>0</v>
      </c>
      <c r="R669" s="3192">
        <f t="shared" si="114"/>
        <v>0</v>
      </c>
      <c r="S669" s="898">
        <f t="shared" si="105"/>
        <v>0</v>
      </c>
      <c r="T669" s="3190">
        <f>面积表!A664</f>
        <v>0</v>
      </c>
    </row>
    <row r="670" spans="1:20">
      <c r="A670" s="3169"/>
      <c r="B670" s="52"/>
      <c r="C670" s="3192">
        <f t="shared" si="106"/>
        <v>1</v>
      </c>
      <c r="D670" s="2559"/>
      <c r="E670" s="3192">
        <f t="shared" si="107"/>
        <v>0.02</v>
      </c>
      <c r="F670" s="631"/>
      <c r="G670" s="3192">
        <f t="shared" si="108"/>
        <v>0</v>
      </c>
      <c r="H670" s="631"/>
      <c r="I670" s="3192">
        <f t="shared" si="109"/>
        <v>1</v>
      </c>
      <c r="J670" s="631"/>
      <c r="K670" s="3192">
        <f t="shared" si="110"/>
        <v>1</v>
      </c>
      <c r="L670" s="631"/>
      <c r="M670" s="3192">
        <f t="shared" si="111"/>
        <v>1</v>
      </c>
      <c r="N670" s="631"/>
      <c r="O670" s="3192">
        <f t="shared" si="112"/>
        <v>1</v>
      </c>
      <c r="P670" s="3194"/>
      <c r="Q670" s="3192">
        <f t="shared" si="113"/>
        <v>0</v>
      </c>
      <c r="R670" s="3192">
        <f t="shared" si="114"/>
        <v>0</v>
      </c>
      <c r="S670" s="898">
        <f t="shared" si="105"/>
        <v>0</v>
      </c>
      <c r="T670" s="3190">
        <f>面积表!A665</f>
        <v>0</v>
      </c>
    </row>
    <row r="671" spans="1:20">
      <c r="A671" s="3169"/>
      <c r="B671" s="52"/>
      <c r="C671" s="3192">
        <f t="shared" si="106"/>
        <v>1</v>
      </c>
      <c r="D671" s="2559"/>
      <c r="E671" s="3192">
        <f t="shared" si="107"/>
        <v>0.02</v>
      </c>
      <c r="F671" s="631"/>
      <c r="G671" s="3192">
        <f t="shared" si="108"/>
        <v>0</v>
      </c>
      <c r="H671" s="631"/>
      <c r="I671" s="3192">
        <f t="shared" si="109"/>
        <v>1</v>
      </c>
      <c r="J671" s="631"/>
      <c r="K671" s="3192">
        <f t="shared" si="110"/>
        <v>1</v>
      </c>
      <c r="L671" s="631"/>
      <c r="M671" s="3192">
        <f t="shared" si="111"/>
        <v>1</v>
      </c>
      <c r="N671" s="631"/>
      <c r="O671" s="3192">
        <f t="shared" si="112"/>
        <v>1</v>
      </c>
      <c r="P671" s="3194"/>
      <c r="Q671" s="3192">
        <f t="shared" si="113"/>
        <v>0</v>
      </c>
      <c r="R671" s="3192">
        <f t="shared" si="114"/>
        <v>0</v>
      </c>
      <c r="S671" s="898">
        <f t="shared" si="105"/>
        <v>0</v>
      </c>
      <c r="T671" s="3190">
        <f>面积表!A666</f>
        <v>0</v>
      </c>
    </row>
    <row r="672" spans="1:20">
      <c r="A672" s="3169"/>
      <c r="B672" s="52"/>
      <c r="C672" s="3192">
        <f t="shared" si="106"/>
        <v>1</v>
      </c>
      <c r="D672" s="2559"/>
      <c r="E672" s="3192">
        <f t="shared" si="107"/>
        <v>0.02</v>
      </c>
      <c r="F672" s="631"/>
      <c r="G672" s="3192">
        <f t="shared" si="108"/>
        <v>0</v>
      </c>
      <c r="H672" s="631"/>
      <c r="I672" s="3192">
        <f t="shared" si="109"/>
        <v>1</v>
      </c>
      <c r="J672" s="631"/>
      <c r="K672" s="3192">
        <f t="shared" si="110"/>
        <v>1</v>
      </c>
      <c r="L672" s="631"/>
      <c r="M672" s="3192">
        <f t="shared" si="111"/>
        <v>1</v>
      </c>
      <c r="N672" s="631"/>
      <c r="O672" s="3192">
        <f t="shared" si="112"/>
        <v>1</v>
      </c>
      <c r="P672" s="3194"/>
      <c r="Q672" s="3192">
        <f t="shared" si="113"/>
        <v>0</v>
      </c>
      <c r="R672" s="3192">
        <f t="shared" si="114"/>
        <v>0</v>
      </c>
      <c r="S672" s="898">
        <f t="shared" si="105"/>
        <v>0</v>
      </c>
      <c r="T672" s="3190">
        <f>面积表!A667</f>
        <v>0</v>
      </c>
    </row>
    <row r="673" spans="1:20">
      <c r="A673" s="3169"/>
      <c r="B673" s="52"/>
      <c r="C673" s="3192">
        <f t="shared" si="106"/>
        <v>1</v>
      </c>
      <c r="D673" s="2559"/>
      <c r="E673" s="3192">
        <f t="shared" si="107"/>
        <v>0.02</v>
      </c>
      <c r="F673" s="631"/>
      <c r="G673" s="3192">
        <f t="shared" si="108"/>
        <v>0</v>
      </c>
      <c r="H673" s="631"/>
      <c r="I673" s="3192">
        <f t="shared" si="109"/>
        <v>1</v>
      </c>
      <c r="J673" s="631"/>
      <c r="K673" s="3192">
        <f t="shared" si="110"/>
        <v>1</v>
      </c>
      <c r="L673" s="631"/>
      <c r="M673" s="3192">
        <f t="shared" si="111"/>
        <v>1</v>
      </c>
      <c r="N673" s="631"/>
      <c r="O673" s="3192">
        <f t="shared" si="112"/>
        <v>1</v>
      </c>
      <c r="P673" s="3194"/>
      <c r="Q673" s="3192">
        <f t="shared" si="113"/>
        <v>0</v>
      </c>
      <c r="R673" s="3192">
        <f t="shared" si="114"/>
        <v>0</v>
      </c>
      <c r="S673" s="898">
        <f t="shared" si="105"/>
        <v>0</v>
      </c>
      <c r="T673" s="3190">
        <f>面积表!A668</f>
        <v>0</v>
      </c>
    </row>
    <row r="674" spans="1:20">
      <c r="A674" s="3169"/>
      <c r="B674" s="52"/>
      <c r="C674" s="3192">
        <f t="shared" si="106"/>
        <v>1</v>
      </c>
      <c r="D674" s="2559"/>
      <c r="E674" s="3192">
        <f t="shared" si="107"/>
        <v>0.02</v>
      </c>
      <c r="F674" s="631"/>
      <c r="G674" s="3192">
        <f t="shared" si="108"/>
        <v>0</v>
      </c>
      <c r="H674" s="631"/>
      <c r="I674" s="3192">
        <f t="shared" si="109"/>
        <v>1</v>
      </c>
      <c r="J674" s="631"/>
      <c r="K674" s="3192">
        <f t="shared" si="110"/>
        <v>1</v>
      </c>
      <c r="L674" s="631"/>
      <c r="M674" s="3192">
        <f t="shared" si="111"/>
        <v>1</v>
      </c>
      <c r="N674" s="631"/>
      <c r="O674" s="3192">
        <f t="shared" si="112"/>
        <v>1</v>
      </c>
      <c r="P674" s="3194"/>
      <c r="Q674" s="3192">
        <f t="shared" si="113"/>
        <v>0</v>
      </c>
      <c r="R674" s="3192">
        <f t="shared" si="114"/>
        <v>0</v>
      </c>
      <c r="S674" s="898">
        <f t="shared" si="105"/>
        <v>0</v>
      </c>
      <c r="T674" s="3190">
        <f>面积表!A669</f>
        <v>0</v>
      </c>
    </row>
    <row r="675" spans="1:20">
      <c r="A675" s="3169"/>
      <c r="B675" s="52"/>
      <c r="C675" s="3192">
        <f t="shared" si="106"/>
        <v>1</v>
      </c>
      <c r="D675" s="2559"/>
      <c r="E675" s="3192">
        <f t="shared" si="107"/>
        <v>0.02</v>
      </c>
      <c r="F675" s="631"/>
      <c r="G675" s="3192">
        <f t="shared" si="108"/>
        <v>0</v>
      </c>
      <c r="H675" s="631"/>
      <c r="I675" s="3192">
        <f t="shared" si="109"/>
        <v>1</v>
      </c>
      <c r="J675" s="631"/>
      <c r="K675" s="3192">
        <f t="shared" si="110"/>
        <v>1</v>
      </c>
      <c r="L675" s="631"/>
      <c r="M675" s="3192">
        <f t="shared" si="111"/>
        <v>1</v>
      </c>
      <c r="N675" s="631"/>
      <c r="O675" s="3192">
        <f t="shared" si="112"/>
        <v>1</v>
      </c>
      <c r="P675" s="3194"/>
      <c r="Q675" s="3192">
        <f t="shared" si="113"/>
        <v>0</v>
      </c>
      <c r="R675" s="3192">
        <f t="shared" si="114"/>
        <v>0</v>
      </c>
      <c r="S675" s="898">
        <f t="shared" si="105"/>
        <v>0</v>
      </c>
      <c r="T675" s="3190">
        <f>面积表!A670</f>
        <v>0</v>
      </c>
    </row>
    <row r="676" spans="1:20">
      <c r="A676" s="3169"/>
      <c r="B676" s="52"/>
      <c r="C676" s="3192">
        <f t="shared" si="106"/>
        <v>1</v>
      </c>
      <c r="D676" s="2559"/>
      <c r="E676" s="3192">
        <f t="shared" si="107"/>
        <v>0.02</v>
      </c>
      <c r="F676" s="631"/>
      <c r="G676" s="3192">
        <f t="shared" si="108"/>
        <v>0</v>
      </c>
      <c r="H676" s="631"/>
      <c r="I676" s="3192">
        <f t="shared" si="109"/>
        <v>1</v>
      </c>
      <c r="J676" s="631"/>
      <c r="K676" s="3192">
        <f t="shared" si="110"/>
        <v>1</v>
      </c>
      <c r="L676" s="631"/>
      <c r="M676" s="3192">
        <f t="shared" si="111"/>
        <v>1</v>
      </c>
      <c r="N676" s="631"/>
      <c r="O676" s="3192">
        <f t="shared" si="112"/>
        <v>1</v>
      </c>
      <c r="P676" s="3194"/>
      <c r="Q676" s="3192">
        <f t="shared" si="113"/>
        <v>0</v>
      </c>
      <c r="R676" s="3192">
        <f t="shared" si="114"/>
        <v>0</v>
      </c>
      <c r="S676" s="898">
        <f t="shared" si="105"/>
        <v>0</v>
      </c>
      <c r="T676" s="3190">
        <f>面积表!A671</f>
        <v>0</v>
      </c>
    </row>
    <row r="677" spans="1:20">
      <c r="A677" s="3169"/>
      <c r="B677" s="52"/>
      <c r="C677" s="3192">
        <f t="shared" si="106"/>
        <v>1</v>
      </c>
      <c r="D677" s="2559"/>
      <c r="E677" s="3192">
        <f t="shared" si="107"/>
        <v>0.02</v>
      </c>
      <c r="F677" s="631"/>
      <c r="G677" s="3192">
        <f t="shared" si="108"/>
        <v>0</v>
      </c>
      <c r="H677" s="631"/>
      <c r="I677" s="3192">
        <f t="shared" si="109"/>
        <v>1</v>
      </c>
      <c r="J677" s="631"/>
      <c r="K677" s="3192">
        <f t="shared" si="110"/>
        <v>1</v>
      </c>
      <c r="L677" s="631"/>
      <c r="M677" s="3192">
        <f t="shared" si="111"/>
        <v>1</v>
      </c>
      <c r="N677" s="631"/>
      <c r="O677" s="3192">
        <f t="shared" si="112"/>
        <v>1</v>
      </c>
      <c r="P677" s="3194"/>
      <c r="Q677" s="3192">
        <f t="shared" si="113"/>
        <v>0</v>
      </c>
      <c r="R677" s="3192">
        <f t="shared" si="114"/>
        <v>0</v>
      </c>
      <c r="S677" s="898">
        <f t="shared" si="105"/>
        <v>0</v>
      </c>
      <c r="T677" s="3190">
        <f>面积表!A672</f>
        <v>0</v>
      </c>
    </row>
    <row r="678" spans="1:20">
      <c r="A678" s="3169"/>
      <c r="B678" s="52"/>
      <c r="C678" s="3192">
        <f t="shared" si="106"/>
        <v>1</v>
      </c>
      <c r="D678" s="2559"/>
      <c r="E678" s="3192">
        <f t="shared" si="107"/>
        <v>0.02</v>
      </c>
      <c r="F678" s="631"/>
      <c r="G678" s="3192">
        <f t="shared" si="108"/>
        <v>0</v>
      </c>
      <c r="H678" s="631"/>
      <c r="I678" s="3192">
        <f t="shared" si="109"/>
        <v>1</v>
      </c>
      <c r="J678" s="631"/>
      <c r="K678" s="3192">
        <f t="shared" si="110"/>
        <v>1</v>
      </c>
      <c r="L678" s="631"/>
      <c r="M678" s="3192">
        <f t="shared" si="111"/>
        <v>1</v>
      </c>
      <c r="N678" s="631"/>
      <c r="O678" s="3192">
        <f t="shared" si="112"/>
        <v>1</v>
      </c>
      <c r="P678" s="3194"/>
      <c r="Q678" s="3192">
        <f t="shared" si="113"/>
        <v>0</v>
      </c>
      <c r="R678" s="3192">
        <f t="shared" si="114"/>
        <v>0</v>
      </c>
      <c r="S678" s="898">
        <f t="shared" si="105"/>
        <v>0</v>
      </c>
      <c r="T678" s="3190">
        <f>面积表!A673</f>
        <v>0</v>
      </c>
    </row>
    <row r="679" spans="1:20">
      <c r="A679" s="3169"/>
      <c r="B679" s="52"/>
      <c r="C679" s="3192">
        <f t="shared" si="106"/>
        <v>1</v>
      </c>
      <c r="D679" s="2559"/>
      <c r="E679" s="3192">
        <f t="shared" si="107"/>
        <v>0.02</v>
      </c>
      <c r="F679" s="631"/>
      <c r="G679" s="3192">
        <f t="shared" si="108"/>
        <v>0</v>
      </c>
      <c r="H679" s="631"/>
      <c r="I679" s="3192">
        <f t="shared" si="109"/>
        <v>1</v>
      </c>
      <c r="J679" s="631"/>
      <c r="K679" s="3192">
        <f t="shared" si="110"/>
        <v>1</v>
      </c>
      <c r="L679" s="631"/>
      <c r="M679" s="3192">
        <f t="shared" si="111"/>
        <v>1</v>
      </c>
      <c r="N679" s="631"/>
      <c r="O679" s="3192">
        <f t="shared" si="112"/>
        <v>1</v>
      </c>
      <c r="P679" s="3194"/>
      <c r="Q679" s="3192">
        <f t="shared" si="113"/>
        <v>0</v>
      </c>
      <c r="R679" s="3192">
        <f t="shared" si="114"/>
        <v>0</v>
      </c>
      <c r="S679" s="898">
        <f t="shared" si="105"/>
        <v>0</v>
      </c>
      <c r="T679" s="3190">
        <f>面积表!A674</f>
        <v>0</v>
      </c>
    </row>
    <row r="680" spans="1:20">
      <c r="A680" s="3169"/>
      <c r="B680" s="52"/>
      <c r="C680" s="3192">
        <f t="shared" si="106"/>
        <v>1</v>
      </c>
      <c r="D680" s="2559"/>
      <c r="E680" s="3192">
        <f t="shared" si="107"/>
        <v>0.02</v>
      </c>
      <c r="F680" s="631"/>
      <c r="G680" s="3192">
        <f t="shared" si="108"/>
        <v>0</v>
      </c>
      <c r="H680" s="631"/>
      <c r="I680" s="3192">
        <f t="shared" si="109"/>
        <v>1</v>
      </c>
      <c r="J680" s="631"/>
      <c r="K680" s="3192">
        <f t="shared" si="110"/>
        <v>1</v>
      </c>
      <c r="L680" s="631"/>
      <c r="M680" s="3192">
        <f t="shared" si="111"/>
        <v>1</v>
      </c>
      <c r="N680" s="631"/>
      <c r="O680" s="3192">
        <f t="shared" si="112"/>
        <v>1</v>
      </c>
      <c r="P680" s="3194"/>
      <c r="Q680" s="3192">
        <f t="shared" si="113"/>
        <v>0</v>
      </c>
      <c r="R680" s="3192">
        <f t="shared" si="114"/>
        <v>0</v>
      </c>
      <c r="S680" s="898">
        <f t="shared" si="105"/>
        <v>0</v>
      </c>
      <c r="T680" s="3190">
        <f>面积表!A675</f>
        <v>0</v>
      </c>
    </row>
    <row r="681" spans="1:20">
      <c r="A681" s="3169"/>
      <c r="B681" s="52"/>
      <c r="C681" s="3192">
        <f t="shared" si="106"/>
        <v>1</v>
      </c>
      <c r="D681" s="2559"/>
      <c r="E681" s="3192">
        <f t="shared" si="107"/>
        <v>0.02</v>
      </c>
      <c r="F681" s="631"/>
      <c r="G681" s="3192">
        <f t="shared" si="108"/>
        <v>0</v>
      </c>
      <c r="H681" s="631"/>
      <c r="I681" s="3192">
        <f t="shared" si="109"/>
        <v>1</v>
      </c>
      <c r="J681" s="631"/>
      <c r="K681" s="3192">
        <f t="shared" si="110"/>
        <v>1</v>
      </c>
      <c r="L681" s="631"/>
      <c r="M681" s="3192">
        <f t="shared" si="111"/>
        <v>1</v>
      </c>
      <c r="N681" s="631"/>
      <c r="O681" s="3192">
        <f t="shared" si="112"/>
        <v>1</v>
      </c>
      <c r="P681" s="3194"/>
      <c r="Q681" s="3192">
        <f t="shared" si="113"/>
        <v>0</v>
      </c>
      <c r="R681" s="3192">
        <f t="shared" si="114"/>
        <v>0</v>
      </c>
      <c r="S681" s="898">
        <f t="shared" si="105"/>
        <v>0</v>
      </c>
      <c r="T681" s="3190">
        <f>面积表!A676</f>
        <v>0</v>
      </c>
    </row>
    <row r="682" spans="1:20">
      <c r="A682" s="3169"/>
      <c r="B682" s="52"/>
      <c r="C682" s="3192">
        <f t="shared" si="106"/>
        <v>1</v>
      </c>
      <c r="D682" s="2559"/>
      <c r="E682" s="3192">
        <f t="shared" si="107"/>
        <v>0.02</v>
      </c>
      <c r="F682" s="631"/>
      <c r="G682" s="3192">
        <f t="shared" si="108"/>
        <v>0</v>
      </c>
      <c r="H682" s="631"/>
      <c r="I682" s="3192">
        <f t="shared" si="109"/>
        <v>1</v>
      </c>
      <c r="J682" s="631"/>
      <c r="K682" s="3192">
        <f t="shared" si="110"/>
        <v>1</v>
      </c>
      <c r="L682" s="631"/>
      <c r="M682" s="3192">
        <f t="shared" si="111"/>
        <v>1</v>
      </c>
      <c r="N682" s="631"/>
      <c r="O682" s="3192">
        <f t="shared" si="112"/>
        <v>1</v>
      </c>
      <c r="P682" s="3194"/>
      <c r="Q682" s="3192">
        <f t="shared" si="113"/>
        <v>0</v>
      </c>
      <c r="R682" s="3192">
        <f t="shared" si="114"/>
        <v>0</v>
      </c>
      <c r="S682" s="898">
        <f t="shared" si="105"/>
        <v>0</v>
      </c>
      <c r="T682" s="3190">
        <f>面积表!A677</f>
        <v>0</v>
      </c>
    </row>
    <row r="683" spans="1:20">
      <c r="A683" s="3169"/>
      <c r="B683" s="52"/>
      <c r="C683" s="3192">
        <f t="shared" si="106"/>
        <v>1</v>
      </c>
      <c r="D683" s="2559"/>
      <c r="E683" s="3192">
        <f t="shared" si="107"/>
        <v>0.02</v>
      </c>
      <c r="F683" s="631"/>
      <c r="G683" s="3192">
        <f t="shared" si="108"/>
        <v>0</v>
      </c>
      <c r="H683" s="631"/>
      <c r="I683" s="3192">
        <f t="shared" si="109"/>
        <v>1</v>
      </c>
      <c r="J683" s="631"/>
      <c r="K683" s="3192">
        <f t="shared" si="110"/>
        <v>1</v>
      </c>
      <c r="L683" s="631"/>
      <c r="M683" s="3192">
        <f t="shared" si="111"/>
        <v>1</v>
      </c>
      <c r="N683" s="631"/>
      <c r="O683" s="3192">
        <f t="shared" si="112"/>
        <v>1</v>
      </c>
      <c r="P683" s="3194"/>
      <c r="Q683" s="3192">
        <f t="shared" si="113"/>
        <v>0</v>
      </c>
      <c r="R683" s="3192">
        <f t="shared" si="114"/>
        <v>0</v>
      </c>
      <c r="S683" s="898">
        <f t="shared" si="105"/>
        <v>0</v>
      </c>
      <c r="T683" s="3190">
        <f>面积表!A678</f>
        <v>0</v>
      </c>
    </row>
    <row r="684" spans="1:20">
      <c r="A684" s="3169"/>
      <c r="B684" s="52"/>
      <c r="C684" s="3192">
        <f t="shared" si="106"/>
        <v>1</v>
      </c>
      <c r="D684" s="2559"/>
      <c r="E684" s="3192">
        <f t="shared" si="107"/>
        <v>0.02</v>
      </c>
      <c r="F684" s="631"/>
      <c r="G684" s="3192">
        <f t="shared" si="108"/>
        <v>0</v>
      </c>
      <c r="H684" s="631"/>
      <c r="I684" s="3192">
        <f t="shared" si="109"/>
        <v>1</v>
      </c>
      <c r="J684" s="631"/>
      <c r="K684" s="3192">
        <f t="shared" si="110"/>
        <v>1</v>
      </c>
      <c r="L684" s="631"/>
      <c r="M684" s="3192">
        <f t="shared" si="111"/>
        <v>1</v>
      </c>
      <c r="N684" s="631"/>
      <c r="O684" s="3192">
        <f t="shared" si="112"/>
        <v>1</v>
      </c>
      <c r="P684" s="3194"/>
      <c r="Q684" s="3192">
        <f t="shared" si="113"/>
        <v>0</v>
      </c>
      <c r="R684" s="3192">
        <f t="shared" si="114"/>
        <v>0</v>
      </c>
      <c r="S684" s="898">
        <f t="shared" si="105"/>
        <v>0</v>
      </c>
      <c r="T684" s="3190">
        <f>面积表!A679</f>
        <v>0</v>
      </c>
    </row>
    <row r="685" spans="1:20">
      <c r="A685" s="3169"/>
      <c r="B685" s="52"/>
      <c r="C685" s="3192">
        <f t="shared" si="106"/>
        <v>1</v>
      </c>
      <c r="D685" s="2559"/>
      <c r="E685" s="3192">
        <f t="shared" si="107"/>
        <v>0.02</v>
      </c>
      <c r="F685" s="631"/>
      <c r="G685" s="3192">
        <f t="shared" si="108"/>
        <v>0</v>
      </c>
      <c r="H685" s="631"/>
      <c r="I685" s="3192">
        <f t="shared" si="109"/>
        <v>1</v>
      </c>
      <c r="J685" s="631"/>
      <c r="K685" s="3192">
        <f t="shared" si="110"/>
        <v>1</v>
      </c>
      <c r="L685" s="631"/>
      <c r="M685" s="3192">
        <f t="shared" si="111"/>
        <v>1</v>
      </c>
      <c r="N685" s="631"/>
      <c r="O685" s="3192">
        <f t="shared" si="112"/>
        <v>1</v>
      </c>
      <c r="P685" s="3194"/>
      <c r="Q685" s="3192">
        <f t="shared" si="113"/>
        <v>0</v>
      </c>
      <c r="R685" s="3192">
        <f t="shared" si="114"/>
        <v>0</v>
      </c>
      <c r="S685" s="898">
        <f t="shared" si="105"/>
        <v>0</v>
      </c>
      <c r="T685" s="3190">
        <f>面积表!A680</f>
        <v>0</v>
      </c>
    </row>
    <row r="686" spans="1:20">
      <c r="A686" s="3169"/>
      <c r="B686" s="52"/>
      <c r="C686" s="3192">
        <f t="shared" si="106"/>
        <v>1</v>
      </c>
      <c r="D686" s="2559"/>
      <c r="E686" s="3192">
        <f t="shared" si="107"/>
        <v>0.02</v>
      </c>
      <c r="F686" s="631"/>
      <c r="G686" s="3192">
        <f t="shared" si="108"/>
        <v>0</v>
      </c>
      <c r="H686" s="631"/>
      <c r="I686" s="3192">
        <f t="shared" si="109"/>
        <v>1</v>
      </c>
      <c r="J686" s="631"/>
      <c r="K686" s="3192">
        <f t="shared" si="110"/>
        <v>1</v>
      </c>
      <c r="L686" s="631"/>
      <c r="M686" s="3192">
        <f t="shared" si="111"/>
        <v>1</v>
      </c>
      <c r="N686" s="631"/>
      <c r="O686" s="3192">
        <f t="shared" si="112"/>
        <v>1</v>
      </c>
      <c r="P686" s="3194"/>
      <c r="Q686" s="3192">
        <f t="shared" si="113"/>
        <v>0</v>
      </c>
      <c r="R686" s="3192">
        <f t="shared" si="114"/>
        <v>0</v>
      </c>
      <c r="S686" s="898">
        <f t="shared" si="105"/>
        <v>0</v>
      </c>
      <c r="T686" s="3190">
        <f>面积表!A681</f>
        <v>0</v>
      </c>
    </row>
    <row r="687" spans="1:20">
      <c r="A687" s="3169"/>
      <c r="B687" s="52"/>
      <c r="C687" s="3192">
        <f t="shared" si="106"/>
        <v>1</v>
      </c>
      <c r="D687" s="2559"/>
      <c r="E687" s="3192">
        <f t="shared" si="107"/>
        <v>0.02</v>
      </c>
      <c r="F687" s="631"/>
      <c r="G687" s="3192">
        <f t="shared" si="108"/>
        <v>0</v>
      </c>
      <c r="H687" s="631"/>
      <c r="I687" s="3192">
        <f t="shared" si="109"/>
        <v>1</v>
      </c>
      <c r="J687" s="631"/>
      <c r="K687" s="3192">
        <f t="shared" si="110"/>
        <v>1</v>
      </c>
      <c r="L687" s="631"/>
      <c r="M687" s="3192">
        <f t="shared" si="111"/>
        <v>1</v>
      </c>
      <c r="N687" s="631"/>
      <c r="O687" s="3192">
        <f t="shared" si="112"/>
        <v>1</v>
      </c>
      <c r="P687" s="3194"/>
      <c r="Q687" s="3192">
        <f t="shared" si="113"/>
        <v>0</v>
      </c>
      <c r="R687" s="3192">
        <f t="shared" si="114"/>
        <v>0</v>
      </c>
      <c r="S687" s="898">
        <f t="shared" si="105"/>
        <v>0</v>
      </c>
      <c r="T687" s="3190">
        <f>面积表!A682</f>
        <v>0</v>
      </c>
    </row>
    <row r="688" spans="1:20">
      <c r="A688" s="3169"/>
      <c r="B688" s="52"/>
      <c r="C688" s="3192">
        <f t="shared" si="106"/>
        <v>1</v>
      </c>
      <c r="D688" s="2559"/>
      <c r="E688" s="3192">
        <f t="shared" si="107"/>
        <v>0.02</v>
      </c>
      <c r="F688" s="631"/>
      <c r="G688" s="3192">
        <f t="shared" si="108"/>
        <v>0</v>
      </c>
      <c r="H688" s="631"/>
      <c r="I688" s="3192">
        <f t="shared" si="109"/>
        <v>1</v>
      </c>
      <c r="J688" s="631"/>
      <c r="K688" s="3192">
        <f t="shared" si="110"/>
        <v>1</v>
      </c>
      <c r="L688" s="631"/>
      <c r="M688" s="3192">
        <f t="shared" si="111"/>
        <v>1</v>
      </c>
      <c r="N688" s="631"/>
      <c r="O688" s="3192">
        <f t="shared" si="112"/>
        <v>1</v>
      </c>
      <c r="P688" s="3194"/>
      <c r="Q688" s="3192">
        <f t="shared" si="113"/>
        <v>0</v>
      </c>
      <c r="R688" s="3192">
        <f t="shared" si="114"/>
        <v>0</v>
      </c>
      <c r="S688" s="898">
        <f t="shared" si="105"/>
        <v>0</v>
      </c>
      <c r="T688" s="3190">
        <f>面积表!A683</f>
        <v>0</v>
      </c>
    </row>
    <row r="689" spans="1:20">
      <c r="A689" s="3169"/>
      <c r="B689" s="52"/>
      <c r="C689" s="3192">
        <f t="shared" si="106"/>
        <v>1</v>
      </c>
      <c r="D689" s="2559"/>
      <c r="E689" s="3192">
        <f t="shared" si="107"/>
        <v>0.02</v>
      </c>
      <c r="F689" s="631"/>
      <c r="G689" s="3192">
        <f t="shared" si="108"/>
        <v>0</v>
      </c>
      <c r="H689" s="631"/>
      <c r="I689" s="3192">
        <f t="shared" si="109"/>
        <v>1</v>
      </c>
      <c r="J689" s="631"/>
      <c r="K689" s="3192">
        <f t="shared" si="110"/>
        <v>1</v>
      </c>
      <c r="L689" s="631"/>
      <c r="M689" s="3192">
        <f t="shared" si="111"/>
        <v>1</v>
      </c>
      <c r="N689" s="631"/>
      <c r="O689" s="3192">
        <f t="shared" si="112"/>
        <v>1</v>
      </c>
      <c r="P689" s="3194"/>
      <c r="Q689" s="3192">
        <f t="shared" si="113"/>
        <v>0</v>
      </c>
      <c r="R689" s="3192">
        <f t="shared" si="114"/>
        <v>0</v>
      </c>
      <c r="S689" s="898">
        <f t="shared" si="105"/>
        <v>0</v>
      </c>
      <c r="T689" s="3190">
        <f>面积表!A684</f>
        <v>0</v>
      </c>
    </row>
    <row r="690" spans="1:20">
      <c r="A690" s="3169"/>
      <c r="B690" s="52"/>
      <c r="C690" s="3192">
        <f t="shared" si="106"/>
        <v>1</v>
      </c>
      <c r="D690" s="2559"/>
      <c r="E690" s="3192">
        <f t="shared" si="107"/>
        <v>0.02</v>
      </c>
      <c r="F690" s="631"/>
      <c r="G690" s="3192">
        <f t="shared" si="108"/>
        <v>0</v>
      </c>
      <c r="H690" s="631"/>
      <c r="I690" s="3192">
        <f t="shared" si="109"/>
        <v>1</v>
      </c>
      <c r="J690" s="631"/>
      <c r="K690" s="3192">
        <f t="shared" si="110"/>
        <v>1</v>
      </c>
      <c r="L690" s="631"/>
      <c r="M690" s="3192">
        <f t="shared" si="111"/>
        <v>1</v>
      </c>
      <c r="N690" s="631"/>
      <c r="O690" s="3192">
        <f t="shared" si="112"/>
        <v>1</v>
      </c>
      <c r="P690" s="3194"/>
      <c r="Q690" s="3192">
        <f t="shared" si="113"/>
        <v>0</v>
      </c>
      <c r="R690" s="3192">
        <f t="shared" si="114"/>
        <v>0</v>
      </c>
      <c r="S690" s="898">
        <f t="shared" si="105"/>
        <v>0</v>
      </c>
      <c r="T690" s="3190">
        <f>面积表!A685</f>
        <v>0</v>
      </c>
    </row>
    <row r="691" spans="1:20">
      <c r="A691" s="3169"/>
      <c r="B691" s="52"/>
      <c r="C691" s="3192">
        <f t="shared" si="106"/>
        <v>1</v>
      </c>
      <c r="D691" s="2559"/>
      <c r="E691" s="3192">
        <f t="shared" si="107"/>
        <v>0.02</v>
      </c>
      <c r="F691" s="631"/>
      <c r="G691" s="3192">
        <f t="shared" si="108"/>
        <v>0</v>
      </c>
      <c r="H691" s="631"/>
      <c r="I691" s="3192">
        <f t="shared" si="109"/>
        <v>1</v>
      </c>
      <c r="J691" s="631"/>
      <c r="K691" s="3192">
        <f t="shared" si="110"/>
        <v>1</v>
      </c>
      <c r="L691" s="631"/>
      <c r="M691" s="3192">
        <f t="shared" si="111"/>
        <v>1</v>
      </c>
      <c r="N691" s="631"/>
      <c r="O691" s="3192">
        <f t="shared" si="112"/>
        <v>1</v>
      </c>
      <c r="P691" s="3194"/>
      <c r="Q691" s="3192">
        <f t="shared" si="113"/>
        <v>0</v>
      </c>
      <c r="R691" s="3192">
        <f t="shared" si="114"/>
        <v>0</v>
      </c>
      <c r="S691" s="898">
        <f t="shared" si="105"/>
        <v>0</v>
      </c>
      <c r="T691" s="3190">
        <f>面积表!A686</f>
        <v>0</v>
      </c>
    </row>
    <row r="692" spans="1:20">
      <c r="A692" s="3169"/>
      <c r="B692" s="52"/>
      <c r="C692" s="3192">
        <f t="shared" si="106"/>
        <v>1</v>
      </c>
      <c r="D692" s="2559"/>
      <c r="E692" s="3192">
        <f t="shared" si="107"/>
        <v>0.02</v>
      </c>
      <c r="F692" s="631"/>
      <c r="G692" s="3192">
        <f t="shared" si="108"/>
        <v>0</v>
      </c>
      <c r="H692" s="631"/>
      <c r="I692" s="3192">
        <f t="shared" si="109"/>
        <v>1</v>
      </c>
      <c r="J692" s="631"/>
      <c r="K692" s="3192">
        <f t="shared" si="110"/>
        <v>1</v>
      </c>
      <c r="L692" s="631"/>
      <c r="M692" s="3192">
        <f t="shared" si="111"/>
        <v>1</v>
      </c>
      <c r="N692" s="631"/>
      <c r="O692" s="3192">
        <f t="shared" si="112"/>
        <v>1</v>
      </c>
      <c r="P692" s="3194"/>
      <c r="Q692" s="3192">
        <f t="shared" si="113"/>
        <v>0</v>
      </c>
      <c r="R692" s="3192">
        <f t="shared" si="114"/>
        <v>0</v>
      </c>
      <c r="S692" s="898">
        <f t="shared" si="105"/>
        <v>0</v>
      </c>
      <c r="T692" s="3190">
        <f>面积表!A687</f>
        <v>0</v>
      </c>
    </row>
    <row r="693" spans="1:20">
      <c r="A693" s="3169"/>
      <c r="B693" s="52"/>
      <c r="C693" s="3192">
        <f t="shared" si="106"/>
        <v>1</v>
      </c>
      <c r="D693" s="2559"/>
      <c r="E693" s="3192">
        <f t="shared" si="107"/>
        <v>0.02</v>
      </c>
      <c r="F693" s="631"/>
      <c r="G693" s="3192">
        <f t="shared" si="108"/>
        <v>0</v>
      </c>
      <c r="H693" s="631"/>
      <c r="I693" s="3192">
        <f t="shared" si="109"/>
        <v>1</v>
      </c>
      <c r="J693" s="631"/>
      <c r="K693" s="3192">
        <f t="shared" si="110"/>
        <v>1</v>
      </c>
      <c r="L693" s="631"/>
      <c r="M693" s="3192">
        <f t="shared" si="111"/>
        <v>1</v>
      </c>
      <c r="N693" s="631"/>
      <c r="O693" s="3192">
        <f t="shared" si="112"/>
        <v>1</v>
      </c>
      <c r="P693" s="3194"/>
      <c r="Q693" s="3192">
        <f t="shared" si="113"/>
        <v>0</v>
      </c>
      <c r="R693" s="3192">
        <f t="shared" si="114"/>
        <v>0</v>
      </c>
      <c r="S693" s="898">
        <f t="shared" si="105"/>
        <v>0</v>
      </c>
      <c r="T693" s="3190">
        <f>面积表!A688</f>
        <v>0</v>
      </c>
    </row>
    <row r="694" spans="1:20">
      <c r="A694" s="3169"/>
      <c r="B694" s="52"/>
      <c r="C694" s="3192">
        <f t="shared" si="106"/>
        <v>1</v>
      </c>
      <c r="D694" s="2559"/>
      <c r="E694" s="3192">
        <f t="shared" si="107"/>
        <v>0.02</v>
      </c>
      <c r="F694" s="631"/>
      <c r="G694" s="3192">
        <f t="shared" si="108"/>
        <v>0</v>
      </c>
      <c r="H694" s="631"/>
      <c r="I694" s="3192">
        <f t="shared" si="109"/>
        <v>1</v>
      </c>
      <c r="J694" s="631"/>
      <c r="K694" s="3192">
        <f t="shared" si="110"/>
        <v>1</v>
      </c>
      <c r="L694" s="631"/>
      <c r="M694" s="3192">
        <f t="shared" si="111"/>
        <v>1</v>
      </c>
      <c r="N694" s="631"/>
      <c r="O694" s="3192">
        <f t="shared" si="112"/>
        <v>1</v>
      </c>
      <c r="P694" s="3194"/>
      <c r="Q694" s="3192">
        <f t="shared" si="113"/>
        <v>0</v>
      </c>
      <c r="R694" s="3192">
        <f t="shared" si="114"/>
        <v>0</v>
      </c>
      <c r="S694" s="898">
        <f t="shared" si="105"/>
        <v>0</v>
      </c>
      <c r="T694" s="3190">
        <f>面积表!A689</f>
        <v>0</v>
      </c>
    </row>
    <row r="695" spans="1:20">
      <c r="A695" s="3169"/>
      <c r="B695" s="52"/>
      <c r="C695" s="3192">
        <f t="shared" si="106"/>
        <v>1</v>
      </c>
      <c r="D695" s="2559"/>
      <c r="E695" s="3192">
        <f t="shared" si="107"/>
        <v>0.02</v>
      </c>
      <c r="F695" s="631"/>
      <c r="G695" s="3192">
        <f t="shared" si="108"/>
        <v>0</v>
      </c>
      <c r="H695" s="631"/>
      <c r="I695" s="3192">
        <f t="shared" si="109"/>
        <v>1</v>
      </c>
      <c r="J695" s="631"/>
      <c r="K695" s="3192">
        <f t="shared" si="110"/>
        <v>1</v>
      </c>
      <c r="L695" s="631"/>
      <c r="M695" s="3192">
        <f t="shared" si="111"/>
        <v>1</v>
      </c>
      <c r="N695" s="631"/>
      <c r="O695" s="3192">
        <f t="shared" si="112"/>
        <v>1</v>
      </c>
      <c r="P695" s="3194"/>
      <c r="Q695" s="3192">
        <f t="shared" si="113"/>
        <v>0</v>
      </c>
      <c r="R695" s="3192">
        <f t="shared" si="114"/>
        <v>0</v>
      </c>
      <c r="S695" s="898">
        <f t="shared" si="105"/>
        <v>0</v>
      </c>
      <c r="T695" s="3190">
        <f>面积表!A690</f>
        <v>0</v>
      </c>
    </row>
    <row r="696" spans="1:20">
      <c r="A696" s="3169"/>
      <c r="B696" s="52"/>
      <c r="C696" s="3192">
        <f t="shared" si="106"/>
        <v>1</v>
      </c>
      <c r="D696" s="2559"/>
      <c r="E696" s="3192">
        <f t="shared" si="107"/>
        <v>0.02</v>
      </c>
      <c r="F696" s="631"/>
      <c r="G696" s="3192">
        <f t="shared" si="108"/>
        <v>0</v>
      </c>
      <c r="H696" s="631"/>
      <c r="I696" s="3192">
        <f t="shared" si="109"/>
        <v>1</v>
      </c>
      <c r="J696" s="631"/>
      <c r="K696" s="3192">
        <f t="shared" si="110"/>
        <v>1</v>
      </c>
      <c r="L696" s="631"/>
      <c r="M696" s="3192">
        <f t="shared" si="111"/>
        <v>1</v>
      </c>
      <c r="N696" s="631"/>
      <c r="O696" s="3192">
        <f t="shared" si="112"/>
        <v>1</v>
      </c>
      <c r="P696" s="3194"/>
      <c r="Q696" s="3192">
        <f t="shared" si="113"/>
        <v>0</v>
      </c>
      <c r="R696" s="3192">
        <f t="shared" si="114"/>
        <v>0</v>
      </c>
      <c r="S696" s="898">
        <f t="shared" si="105"/>
        <v>0</v>
      </c>
      <c r="T696" s="3190">
        <f>面积表!A691</f>
        <v>0</v>
      </c>
    </row>
    <row r="697" spans="1:20">
      <c r="A697" s="3169"/>
      <c r="B697" s="52"/>
      <c r="C697" s="3192">
        <f t="shared" si="106"/>
        <v>1</v>
      </c>
      <c r="D697" s="2559"/>
      <c r="E697" s="3192">
        <f t="shared" si="107"/>
        <v>0.02</v>
      </c>
      <c r="F697" s="631"/>
      <c r="G697" s="3192">
        <f t="shared" si="108"/>
        <v>0</v>
      </c>
      <c r="H697" s="631"/>
      <c r="I697" s="3192">
        <f t="shared" si="109"/>
        <v>1</v>
      </c>
      <c r="J697" s="631"/>
      <c r="K697" s="3192">
        <f t="shared" si="110"/>
        <v>1</v>
      </c>
      <c r="L697" s="631"/>
      <c r="M697" s="3192">
        <f t="shared" si="111"/>
        <v>1</v>
      </c>
      <c r="N697" s="631"/>
      <c r="O697" s="3192">
        <f t="shared" si="112"/>
        <v>1</v>
      </c>
      <c r="P697" s="3194"/>
      <c r="Q697" s="3192">
        <f t="shared" si="113"/>
        <v>0</v>
      </c>
      <c r="R697" s="3192">
        <f t="shared" si="114"/>
        <v>0</v>
      </c>
      <c r="S697" s="898">
        <f t="shared" si="105"/>
        <v>0</v>
      </c>
      <c r="T697" s="3190">
        <f>面积表!A692</f>
        <v>0</v>
      </c>
    </row>
    <row r="698" spans="1:20">
      <c r="A698" s="3169"/>
      <c r="B698" s="52"/>
      <c r="C698" s="3192">
        <f t="shared" si="106"/>
        <v>1</v>
      </c>
      <c r="D698" s="2559"/>
      <c r="E698" s="3192">
        <f t="shared" si="107"/>
        <v>0.02</v>
      </c>
      <c r="F698" s="631"/>
      <c r="G698" s="3192">
        <f t="shared" si="108"/>
        <v>0</v>
      </c>
      <c r="H698" s="631"/>
      <c r="I698" s="3192">
        <f t="shared" si="109"/>
        <v>1</v>
      </c>
      <c r="J698" s="631"/>
      <c r="K698" s="3192">
        <f t="shared" si="110"/>
        <v>1</v>
      </c>
      <c r="L698" s="631"/>
      <c r="M698" s="3192">
        <f t="shared" si="111"/>
        <v>1</v>
      </c>
      <c r="N698" s="631"/>
      <c r="O698" s="3192">
        <f t="shared" si="112"/>
        <v>1</v>
      </c>
      <c r="P698" s="3194"/>
      <c r="Q698" s="3192">
        <f t="shared" si="113"/>
        <v>0</v>
      </c>
      <c r="R698" s="3192">
        <f t="shared" si="114"/>
        <v>0</v>
      </c>
      <c r="S698" s="898">
        <f t="shared" si="105"/>
        <v>0</v>
      </c>
      <c r="T698" s="3190">
        <f>面积表!A693</f>
        <v>0</v>
      </c>
    </row>
    <row r="699" spans="1:20">
      <c r="A699" s="3169"/>
      <c r="B699" s="52"/>
      <c r="C699" s="3192">
        <f t="shared" si="106"/>
        <v>1</v>
      </c>
      <c r="D699" s="2559"/>
      <c r="E699" s="3192">
        <f t="shared" si="107"/>
        <v>0.02</v>
      </c>
      <c r="F699" s="631"/>
      <c r="G699" s="3192">
        <f t="shared" si="108"/>
        <v>0</v>
      </c>
      <c r="H699" s="631"/>
      <c r="I699" s="3192">
        <f t="shared" si="109"/>
        <v>1</v>
      </c>
      <c r="J699" s="631"/>
      <c r="K699" s="3192">
        <f t="shared" si="110"/>
        <v>1</v>
      </c>
      <c r="L699" s="631"/>
      <c r="M699" s="3192">
        <f t="shared" si="111"/>
        <v>1</v>
      </c>
      <c r="N699" s="631"/>
      <c r="O699" s="3192">
        <f t="shared" si="112"/>
        <v>1</v>
      </c>
      <c r="P699" s="3194"/>
      <c r="Q699" s="3192">
        <f t="shared" si="113"/>
        <v>0</v>
      </c>
      <c r="R699" s="3192">
        <f t="shared" si="114"/>
        <v>0</v>
      </c>
      <c r="S699" s="898">
        <f t="shared" si="105"/>
        <v>0</v>
      </c>
      <c r="T699" s="3190">
        <f>面积表!A694</f>
        <v>0</v>
      </c>
    </row>
    <row r="700" spans="1:20">
      <c r="A700" s="3169"/>
      <c r="B700" s="52"/>
      <c r="C700" s="3192">
        <f t="shared" si="106"/>
        <v>1</v>
      </c>
      <c r="D700" s="2559"/>
      <c r="E700" s="3192">
        <f t="shared" si="107"/>
        <v>0.02</v>
      </c>
      <c r="F700" s="631"/>
      <c r="G700" s="3192">
        <f t="shared" si="108"/>
        <v>0</v>
      </c>
      <c r="H700" s="631"/>
      <c r="I700" s="3192">
        <f t="shared" si="109"/>
        <v>1</v>
      </c>
      <c r="J700" s="631"/>
      <c r="K700" s="3192">
        <f t="shared" si="110"/>
        <v>1</v>
      </c>
      <c r="L700" s="631"/>
      <c r="M700" s="3192">
        <f t="shared" si="111"/>
        <v>1</v>
      </c>
      <c r="N700" s="631"/>
      <c r="O700" s="3192">
        <f t="shared" si="112"/>
        <v>1</v>
      </c>
      <c r="P700" s="3194"/>
      <c r="Q700" s="3192">
        <f t="shared" si="113"/>
        <v>0</v>
      </c>
      <c r="R700" s="3192">
        <f t="shared" si="114"/>
        <v>0</v>
      </c>
      <c r="S700" s="898">
        <f t="shared" si="105"/>
        <v>0</v>
      </c>
      <c r="T700" s="3190">
        <f>面积表!A695</f>
        <v>0</v>
      </c>
    </row>
    <row r="701" spans="1:20">
      <c r="A701" s="3169"/>
      <c r="B701" s="52"/>
      <c r="C701" s="3192">
        <f t="shared" si="106"/>
        <v>1</v>
      </c>
      <c r="D701" s="2559"/>
      <c r="E701" s="3192">
        <f t="shared" si="107"/>
        <v>0.02</v>
      </c>
      <c r="F701" s="631"/>
      <c r="G701" s="3192">
        <f t="shared" si="108"/>
        <v>0</v>
      </c>
      <c r="H701" s="631"/>
      <c r="I701" s="3192">
        <f t="shared" si="109"/>
        <v>1</v>
      </c>
      <c r="J701" s="631"/>
      <c r="K701" s="3192">
        <f t="shared" si="110"/>
        <v>1</v>
      </c>
      <c r="L701" s="631"/>
      <c r="M701" s="3192">
        <f t="shared" si="111"/>
        <v>1</v>
      </c>
      <c r="N701" s="631"/>
      <c r="O701" s="3192">
        <f t="shared" si="112"/>
        <v>1</v>
      </c>
      <c r="P701" s="3194"/>
      <c r="Q701" s="3192">
        <f t="shared" si="113"/>
        <v>0</v>
      </c>
      <c r="R701" s="3192">
        <f t="shared" si="114"/>
        <v>0</v>
      </c>
      <c r="S701" s="898">
        <f t="shared" si="105"/>
        <v>0</v>
      </c>
      <c r="T701" s="3190">
        <f>面积表!A696</f>
        <v>0</v>
      </c>
    </row>
    <row r="702" spans="1:20">
      <c r="A702" s="3169"/>
      <c r="B702" s="52"/>
      <c r="C702" s="3192">
        <f t="shared" si="106"/>
        <v>1</v>
      </c>
      <c r="D702" s="2559"/>
      <c r="E702" s="3192">
        <f t="shared" si="107"/>
        <v>0.02</v>
      </c>
      <c r="F702" s="631"/>
      <c r="G702" s="3192">
        <f t="shared" si="108"/>
        <v>0</v>
      </c>
      <c r="H702" s="631"/>
      <c r="I702" s="3192">
        <f t="shared" si="109"/>
        <v>1</v>
      </c>
      <c r="J702" s="631"/>
      <c r="K702" s="3192">
        <f t="shared" si="110"/>
        <v>1</v>
      </c>
      <c r="L702" s="631"/>
      <c r="M702" s="3192">
        <f t="shared" si="111"/>
        <v>1</v>
      </c>
      <c r="N702" s="631"/>
      <c r="O702" s="3192">
        <f t="shared" si="112"/>
        <v>1</v>
      </c>
      <c r="P702" s="3194"/>
      <c r="Q702" s="3192">
        <f t="shared" si="113"/>
        <v>0</v>
      </c>
      <c r="R702" s="3192">
        <f t="shared" si="114"/>
        <v>0</v>
      </c>
      <c r="S702" s="898">
        <f t="shared" si="105"/>
        <v>0</v>
      </c>
      <c r="T702" s="3190">
        <f>面积表!A697</f>
        <v>0</v>
      </c>
    </row>
    <row r="703" spans="1:20">
      <c r="A703" s="3169"/>
      <c r="B703" s="52"/>
      <c r="C703" s="3192">
        <f t="shared" si="106"/>
        <v>1</v>
      </c>
      <c r="D703" s="2559"/>
      <c r="E703" s="3192">
        <f t="shared" si="107"/>
        <v>0.02</v>
      </c>
      <c r="F703" s="631"/>
      <c r="G703" s="3192">
        <f t="shared" si="108"/>
        <v>0</v>
      </c>
      <c r="H703" s="631"/>
      <c r="I703" s="3192">
        <f t="shared" si="109"/>
        <v>1</v>
      </c>
      <c r="J703" s="631"/>
      <c r="K703" s="3192">
        <f t="shared" si="110"/>
        <v>1</v>
      </c>
      <c r="L703" s="631"/>
      <c r="M703" s="3192">
        <f t="shared" si="111"/>
        <v>1</v>
      </c>
      <c r="N703" s="631"/>
      <c r="O703" s="3192">
        <f t="shared" si="112"/>
        <v>1</v>
      </c>
      <c r="P703" s="3194"/>
      <c r="Q703" s="3192">
        <f t="shared" si="113"/>
        <v>0</v>
      </c>
      <c r="R703" s="3192">
        <f t="shared" si="114"/>
        <v>0</v>
      </c>
      <c r="S703" s="898">
        <f t="shared" si="105"/>
        <v>0</v>
      </c>
      <c r="T703" s="3190">
        <f>面积表!A698</f>
        <v>0</v>
      </c>
    </row>
    <row r="704" spans="1:20">
      <c r="A704" s="3169"/>
      <c r="B704" s="52"/>
      <c r="C704" s="3192">
        <f t="shared" si="106"/>
        <v>1</v>
      </c>
      <c r="D704" s="2559"/>
      <c r="E704" s="3192">
        <f t="shared" si="107"/>
        <v>0.02</v>
      </c>
      <c r="F704" s="631"/>
      <c r="G704" s="3192">
        <f t="shared" si="108"/>
        <v>0</v>
      </c>
      <c r="H704" s="631"/>
      <c r="I704" s="3192">
        <f t="shared" si="109"/>
        <v>1</v>
      </c>
      <c r="J704" s="631"/>
      <c r="K704" s="3192">
        <f t="shared" si="110"/>
        <v>1</v>
      </c>
      <c r="L704" s="631"/>
      <c r="M704" s="3192">
        <f t="shared" si="111"/>
        <v>1</v>
      </c>
      <c r="N704" s="631"/>
      <c r="O704" s="3192">
        <f t="shared" si="112"/>
        <v>1</v>
      </c>
      <c r="P704" s="3194"/>
      <c r="Q704" s="3192">
        <f t="shared" si="113"/>
        <v>0</v>
      </c>
      <c r="R704" s="3192">
        <f t="shared" si="114"/>
        <v>0</v>
      </c>
      <c r="S704" s="898">
        <f t="shared" si="105"/>
        <v>0</v>
      </c>
      <c r="T704" s="3190">
        <f>面积表!A699</f>
        <v>0</v>
      </c>
    </row>
    <row r="705" spans="1:20">
      <c r="A705" s="3169"/>
      <c r="B705" s="52"/>
      <c r="C705" s="3192">
        <f t="shared" si="106"/>
        <v>1</v>
      </c>
      <c r="D705" s="2559"/>
      <c r="E705" s="3192">
        <f t="shared" si="107"/>
        <v>0.02</v>
      </c>
      <c r="F705" s="631"/>
      <c r="G705" s="3192">
        <f t="shared" si="108"/>
        <v>0</v>
      </c>
      <c r="H705" s="631"/>
      <c r="I705" s="3192">
        <f t="shared" si="109"/>
        <v>1</v>
      </c>
      <c r="J705" s="631"/>
      <c r="K705" s="3192">
        <f t="shared" si="110"/>
        <v>1</v>
      </c>
      <c r="L705" s="631"/>
      <c r="M705" s="3192">
        <f t="shared" si="111"/>
        <v>1</v>
      </c>
      <c r="N705" s="631"/>
      <c r="O705" s="3192">
        <f t="shared" si="112"/>
        <v>1</v>
      </c>
      <c r="P705" s="3194"/>
      <c r="Q705" s="3192">
        <f t="shared" si="113"/>
        <v>0</v>
      </c>
      <c r="R705" s="3192">
        <f t="shared" si="114"/>
        <v>0</v>
      </c>
      <c r="S705" s="898">
        <f t="shared" si="105"/>
        <v>0</v>
      </c>
      <c r="T705" s="3190">
        <f>面积表!A700</f>
        <v>0</v>
      </c>
    </row>
    <row r="706" spans="1:20">
      <c r="A706" s="3169"/>
      <c r="B706" s="52"/>
      <c r="C706" s="3192">
        <f t="shared" si="106"/>
        <v>1</v>
      </c>
      <c r="D706" s="2559"/>
      <c r="E706" s="3192">
        <f t="shared" si="107"/>
        <v>0.02</v>
      </c>
      <c r="F706" s="631"/>
      <c r="G706" s="3192">
        <f t="shared" si="108"/>
        <v>0</v>
      </c>
      <c r="H706" s="631"/>
      <c r="I706" s="3192">
        <f t="shared" si="109"/>
        <v>1</v>
      </c>
      <c r="J706" s="631"/>
      <c r="K706" s="3192">
        <f t="shared" si="110"/>
        <v>1</v>
      </c>
      <c r="L706" s="631"/>
      <c r="M706" s="3192">
        <f t="shared" si="111"/>
        <v>1</v>
      </c>
      <c r="N706" s="631"/>
      <c r="O706" s="3192">
        <f t="shared" si="112"/>
        <v>1</v>
      </c>
      <c r="P706" s="3194"/>
      <c r="Q706" s="3192">
        <f t="shared" si="113"/>
        <v>0</v>
      </c>
      <c r="R706" s="3192">
        <f t="shared" si="114"/>
        <v>0</v>
      </c>
      <c r="S706" s="898">
        <f t="shared" si="105"/>
        <v>0</v>
      </c>
      <c r="T706" s="3190">
        <f>面积表!A701</f>
        <v>0</v>
      </c>
    </row>
    <row r="707" spans="1:20">
      <c r="A707" s="3169"/>
      <c r="B707" s="52"/>
      <c r="C707" s="3192">
        <f t="shared" si="106"/>
        <v>1</v>
      </c>
      <c r="D707" s="2559"/>
      <c r="E707" s="3192">
        <f t="shared" si="107"/>
        <v>0.02</v>
      </c>
      <c r="F707" s="631"/>
      <c r="G707" s="3192">
        <f t="shared" si="108"/>
        <v>0</v>
      </c>
      <c r="H707" s="631"/>
      <c r="I707" s="3192">
        <f t="shared" si="109"/>
        <v>1</v>
      </c>
      <c r="J707" s="631"/>
      <c r="K707" s="3192">
        <f t="shared" si="110"/>
        <v>1</v>
      </c>
      <c r="L707" s="631"/>
      <c r="M707" s="3192">
        <f t="shared" si="111"/>
        <v>1</v>
      </c>
      <c r="N707" s="631"/>
      <c r="O707" s="3192">
        <f t="shared" si="112"/>
        <v>1</v>
      </c>
      <c r="P707" s="3194"/>
      <c r="Q707" s="3192">
        <f t="shared" si="113"/>
        <v>0</v>
      </c>
      <c r="R707" s="3192">
        <f t="shared" si="114"/>
        <v>0</v>
      </c>
      <c r="S707" s="898">
        <f t="shared" si="105"/>
        <v>0</v>
      </c>
      <c r="T707" s="3190">
        <f>面积表!A702</f>
        <v>0</v>
      </c>
    </row>
    <row r="708" spans="1:20">
      <c r="A708" s="3169"/>
      <c r="B708" s="52"/>
      <c r="C708" s="3192">
        <f t="shared" si="106"/>
        <v>1</v>
      </c>
      <c r="D708" s="2559"/>
      <c r="E708" s="3192">
        <f t="shared" si="107"/>
        <v>0.02</v>
      </c>
      <c r="F708" s="631"/>
      <c r="G708" s="3192">
        <f t="shared" si="108"/>
        <v>0</v>
      </c>
      <c r="H708" s="631"/>
      <c r="I708" s="3192">
        <f t="shared" si="109"/>
        <v>1</v>
      </c>
      <c r="J708" s="631"/>
      <c r="K708" s="3192">
        <f t="shared" si="110"/>
        <v>1</v>
      </c>
      <c r="L708" s="631"/>
      <c r="M708" s="3192">
        <f t="shared" si="111"/>
        <v>1</v>
      </c>
      <c r="N708" s="631"/>
      <c r="O708" s="3192">
        <f t="shared" si="112"/>
        <v>1</v>
      </c>
      <c r="P708" s="3194"/>
      <c r="Q708" s="3192">
        <f t="shared" si="113"/>
        <v>0</v>
      </c>
      <c r="R708" s="3192">
        <f t="shared" si="114"/>
        <v>0</v>
      </c>
      <c r="S708" s="898">
        <f t="shared" si="105"/>
        <v>0</v>
      </c>
      <c r="T708" s="3190">
        <f>面积表!A703</f>
        <v>0</v>
      </c>
    </row>
    <row r="709" spans="1:20">
      <c r="A709" s="3169"/>
      <c r="B709" s="52"/>
      <c r="C709" s="3192">
        <f t="shared" si="106"/>
        <v>1</v>
      </c>
      <c r="D709" s="2559"/>
      <c r="E709" s="3192">
        <f t="shared" si="107"/>
        <v>0.02</v>
      </c>
      <c r="F709" s="631"/>
      <c r="G709" s="3192">
        <f t="shared" si="108"/>
        <v>0</v>
      </c>
      <c r="H709" s="631"/>
      <c r="I709" s="3192">
        <f t="shared" si="109"/>
        <v>1</v>
      </c>
      <c r="J709" s="631"/>
      <c r="K709" s="3192">
        <f t="shared" si="110"/>
        <v>1</v>
      </c>
      <c r="L709" s="631"/>
      <c r="M709" s="3192">
        <f t="shared" si="111"/>
        <v>1</v>
      </c>
      <c r="N709" s="631"/>
      <c r="O709" s="3192">
        <f t="shared" si="112"/>
        <v>1</v>
      </c>
      <c r="P709" s="3194"/>
      <c r="Q709" s="3192">
        <f t="shared" si="113"/>
        <v>0</v>
      </c>
      <c r="R709" s="3192">
        <f t="shared" si="114"/>
        <v>0</v>
      </c>
      <c r="S709" s="898">
        <f t="shared" si="105"/>
        <v>0</v>
      </c>
      <c r="T709" s="3190">
        <f>面积表!A704</f>
        <v>0</v>
      </c>
    </row>
    <row r="710" spans="1:20">
      <c r="A710" s="3169"/>
      <c r="B710" s="52"/>
      <c r="C710" s="3192">
        <f t="shared" si="106"/>
        <v>1</v>
      </c>
      <c r="D710" s="2559"/>
      <c r="E710" s="3192">
        <f t="shared" si="107"/>
        <v>0.02</v>
      </c>
      <c r="F710" s="631"/>
      <c r="G710" s="3192">
        <f t="shared" si="108"/>
        <v>0</v>
      </c>
      <c r="H710" s="631"/>
      <c r="I710" s="3192">
        <f t="shared" si="109"/>
        <v>1</v>
      </c>
      <c r="J710" s="631"/>
      <c r="K710" s="3192">
        <f t="shared" si="110"/>
        <v>1</v>
      </c>
      <c r="L710" s="631"/>
      <c r="M710" s="3192">
        <f t="shared" si="111"/>
        <v>1</v>
      </c>
      <c r="N710" s="631"/>
      <c r="O710" s="3192">
        <f t="shared" si="112"/>
        <v>1</v>
      </c>
      <c r="P710" s="3194"/>
      <c r="Q710" s="3192">
        <f t="shared" si="113"/>
        <v>0</v>
      </c>
      <c r="R710" s="3192">
        <f t="shared" si="114"/>
        <v>0</v>
      </c>
      <c r="S710" s="898">
        <f t="shared" si="105"/>
        <v>0</v>
      </c>
      <c r="T710" s="3190">
        <f>面积表!A705</f>
        <v>0</v>
      </c>
    </row>
    <row r="711" spans="1:20">
      <c r="A711" s="3169"/>
      <c r="B711" s="52"/>
      <c r="C711" s="3192">
        <f t="shared" si="106"/>
        <v>1</v>
      </c>
      <c r="D711" s="2559"/>
      <c r="E711" s="3192">
        <f t="shared" si="107"/>
        <v>0.02</v>
      </c>
      <c r="F711" s="631"/>
      <c r="G711" s="3192">
        <f t="shared" si="108"/>
        <v>0</v>
      </c>
      <c r="H711" s="631"/>
      <c r="I711" s="3192">
        <f t="shared" si="109"/>
        <v>1</v>
      </c>
      <c r="J711" s="631"/>
      <c r="K711" s="3192">
        <f t="shared" si="110"/>
        <v>1</v>
      </c>
      <c r="L711" s="631"/>
      <c r="M711" s="3192">
        <f t="shared" si="111"/>
        <v>1</v>
      </c>
      <c r="N711" s="631"/>
      <c r="O711" s="3192">
        <f t="shared" si="112"/>
        <v>1</v>
      </c>
      <c r="P711" s="3194"/>
      <c r="Q711" s="3192">
        <f t="shared" si="113"/>
        <v>0</v>
      </c>
      <c r="R711" s="3192">
        <f t="shared" si="114"/>
        <v>0</v>
      </c>
      <c r="S711" s="898">
        <f t="shared" si="105"/>
        <v>0</v>
      </c>
      <c r="T711" s="3190">
        <f>面积表!A706</f>
        <v>0</v>
      </c>
    </row>
    <row r="712" spans="1:20">
      <c r="A712" s="3169"/>
      <c r="B712" s="52"/>
      <c r="C712" s="3192">
        <f t="shared" si="106"/>
        <v>1</v>
      </c>
      <c r="D712" s="2559"/>
      <c r="E712" s="3192">
        <f t="shared" si="107"/>
        <v>0.02</v>
      </c>
      <c r="F712" s="631"/>
      <c r="G712" s="3192">
        <f t="shared" si="108"/>
        <v>0</v>
      </c>
      <c r="H712" s="631"/>
      <c r="I712" s="3192">
        <f t="shared" si="109"/>
        <v>1</v>
      </c>
      <c r="J712" s="631"/>
      <c r="K712" s="3192">
        <f t="shared" si="110"/>
        <v>1</v>
      </c>
      <c r="L712" s="631"/>
      <c r="M712" s="3192">
        <f t="shared" si="111"/>
        <v>1</v>
      </c>
      <c r="N712" s="631"/>
      <c r="O712" s="3192">
        <f t="shared" si="112"/>
        <v>1</v>
      </c>
      <c r="P712" s="3194"/>
      <c r="Q712" s="3192">
        <f t="shared" si="113"/>
        <v>0</v>
      </c>
      <c r="R712" s="3192">
        <f t="shared" si="114"/>
        <v>0</v>
      </c>
      <c r="S712" s="898">
        <f t="shared" si="105"/>
        <v>0</v>
      </c>
      <c r="T712" s="3190">
        <f>面积表!A707</f>
        <v>0</v>
      </c>
    </row>
    <row r="713" spans="1:20">
      <c r="A713" s="3169"/>
      <c r="B713" s="52"/>
      <c r="C713" s="3192">
        <f t="shared" si="106"/>
        <v>1</v>
      </c>
      <c r="D713" s="2559"/>
      <c r="E713" s="3192">
        <f t="shared" si="107"/>
        <v>0.02</v>
      </c>
      <c r="F713" s="631"/>
      <c r="G713" s="3192">
        <f t="shared" si="108"/>
        <v>0</v>
      </c>
      <c r="H713" s="631"/>
      <c r="I713" s="3192">
        <f t="shared" si="109"/>
        <v>1</v>
      </c>
      <c r="J713" s="631"/>
      <c r="K713" s="3192">
        <f t="shared" si="110"/>
        <v>1</v>
      </c>
      <c r="L713" s="631"/>
      <c r="M713" s="3192">
        <f t="shared" si="111"/>
        <v>1</v>
      </c>
      <c r="N713" s="631"/>
      <c r="O713" s="3192">
        <f t="shared" si="112"/>
        <v>1</v>
      </c>
      <c r="P713" s="3194"/>
      <c r="Q713" s="3192">
        <f t="shared" si="113"/>
        <v>0</v>
      </c>
      <c r="R713" s="3192">
        <f t="shared" si="114"/>
        <v>0</v>
      </c>
      <c r="S713" s="898">
        <f t="shared" si="105"/>
        <v>0</v>
      </c>
      <c r="T713" s="3190">
        <f>面积表!A708</f>
        <v>0</v>
      </c>
    </row>
    <row r="714" spans="1:20">
      <c r="A714" s="3169"/>
      <c r="B714" s="52"/>
      <c r="C714" s="3192">
        <f t="shared" si="106"/>
        <v>1</v>
      </c>
      <c r="D714" s="2559"/>
      <c r="E714" s="3192">
        <f t="shared" si="107"/>
        <v>0.02</v>
      </c>
      <c r="F714" s="631"/>
      <c r="G714" s="3192">
        <f t="shared" si="108"/>
        <v>0</v>
      </c>
      <c r="H714" s="631"/>
      <c r="I714" s="3192">
        <f t="shared" si="109"/>
        <v>1</v>
      </c>
      <c r="J714" s="631"/>
      <c r="K714" s="3192">
        <f t="shared" si="110"/>
        <v>1</v>
      </c>
      <c r="L714" s="631"/>
      <c r="M714" s="3192">
        <f t="shared" si="111"/>
        <v>1</v>
      </c>
      <c r="N714" s="631"/>
      <c r="O714" s="3192">
        <f t="shared" si="112"/>
        <v>1</v>
      </c>
      <c r="P714" s="3194"/>
      <c r="Q714" s="3192">
        <f t="shared" si="113"/>
        <v>0</v>
      </c>
      <c r="R714" s="3192">
        <f t="shared" si="114"/>
        <v>0</v>
      </c>
      <c r="S714" s="898">
        <f t="shared" si="105"/>
        <v>0</v>
      </c>
      <c r="T714" s="3190">
        <f>面积表!A709</f>
        <v>0</v>
      </c>
    </row>
    <row r="715" spans="1:20">
      <c r="A715" s="3169"/>
      <c r="B715" s="52"/>
      <c r="C715" s="3192">
        <f t="shared" si="106"/>
        <v>1</v>
      </c>
      <c r="D715" s="2559"/>
      <c r="E715" s="3192">
        <f t="shared" si="107"/>
        <v>0.02</v>
      </c>
      <c r="F715" s="631"/>
      <c r="G715" s="3192">
        <f t="shared" si="108"/>
        <v>0</v>
      </c>
      <c r="H715" s="631"/>
      <c r="I715" s="3192">
        <f t="shared" si="109"/>
        <v>1</v>
      </c>
      <c r="J715" s="631"/>
      <c r="K715" s="3192">
        <f t="shared" si="110"/>
        <v>1</v>
      </c>
      <c r="L715" s="631"/>
      <c r="M715" s="3192">
        <f t="shared" si="111"/>
        <v>1</v>
      </c>
      <c r="N715" s="631"/>
      <c r="O715" s="3192">
        <f t="shared" si="112"/>
        <v>1</v>
      </c>
      <c r="P715" s="3194"/>
      <c r="Q715" s="3192">
        <f t="shared" si="113"/>
        <v>0</v>
      </c>
      <c r="R715" s="3192">
        <f t="shared" si="114"/>
        <v>0</v>
      </c>
      <c r="S715" s="898">
        <f t="shared" si="105"/>
        <v>0</v>
      </c>
      <c r="T715" s="3190">
        <f>面积表!A710</f>
        <v>0</v>
      </c>
    </row>
    <row r="716" spans="1:20">
      <c r="A716" s="3169"/>
      <c r="B716" s="52"/>
      <c r="C716" s="3192">
        <f t="shared" si="106"/>
        <v>1</v>
      </c>
      <c r="D716" s="2559"/>
      <c r="E716" s="3192">
        <f t="shared" si="107"/>
        <v>0.02</v>
      </c>
      <c r="F716" s="631"/>
      <c r="G716" s="3192">
        <f t="shared" si="108"/>
        <v>0</v>
      </c>
      <c r="H716" s="631"/>
      <c r="I716" s="3192">
        <f t="shared" si="109"/>
        <v>1</v>
      </c>
      <c r="J716" s="631"/>
      <c r="K716" s="3192">
        <f t="shared" si="110"/>
        <v>1</v>
      </c>
      <c r="L716" s="631"/>
      <c r="M716" s="3192">
        <f t="shared" si="111"/>
        <v>1</v>
      </c>
      <c r="N716" s="631"/>
      <c r="O716" s="3192">
        <f t="shared" si="112"/>
        <v>1</v>
      </c>
      <c r="P716" s="3194"/>
      <c r="Q716" s="3192">
        <f t="shared" si="113"/>
        <v>0</v>
      </c>
      <c r="R716" s="3192">
        <f t="shared" si="114"/>
        <v>0</v>
      </c>
      <c r="S716" s="898">
        <f t="shared" si="105"/>
        <v>0</v>
      </c>
      <c r="T716" s="3190">
        <f>面积表!A711</f>
        <v>0</v>
      </c>
    </row>
    <row r="717" spans="1:20">
      <c r="A717" s="3169"/>
      <c r="B717" s="52"/>
      <c r="C717" s="3192">
        <f t="shared" si="106"/>
        <v>1</v>
      </c>
      <c r="D717" s="2559"/>
      <c r="E717" s="3192">
        <f t="shared" si="107"/>
        <v>0.02</v>
      </c>
      <c r="F717" s="631"/>
      <c r="G717" s="3192">
        <f t="shared" si="108"/>
        <v>0</v>
      </c>
      <c r="H717" s="631"/>
      <c r="I717" s="3192">
        <f t="shared" si="109"/>
        <v>1</v>
      </c>
      <c r="J717" s="631"/>
      <c r="K717" s="3192">
        <f t="shared" si="110"/>
        <v>1</v>
      </c>
      <c r="L717" s="631"/>
      <c r="M717" s="3192">
        <f t="shared" si="111"/>
        <v>1</v>
      </c>
      <c r="N717" s="631"/>
      <c r="O717" s="3192">
        <f t="shared" si="112"/>
        <v>1</v>
      </c>
      <c r="P717" s="3194"/>
      <c r="Q717" s="3192">
        <f t="shared" si="113"/>
        <v>0</v>
      </c>
      <c r="R717" s="3192">
        <f t="shared" si="114"/>
        <v>0</v>
      </c>
      <c r="S717" s="898">
        <f t="shared" si="105"/>
        <v>0</v>
      </c>
      <c r="T717" s="3190">
        <f>面积表!A712</f>
        <v>0</v>
      </c>
    </row>
    <row r="718" spans="1:20">
      <c r="A718" s="3169"/>
      <c r="B718" s="52"/>
      <c r="C718" s="3192">
        <f t="shared" si="106"/>
        <v>1</v>
      </c>
      <c r="D718" s="2559"/>
      <c r="E718" s="3192">
        <f t="shared" si="107"/>
        <v>0.02</v>
      </c>
      <c r="F718" s="631"/>
      <c r="G718" s="3192">
        <f t="shared" si="108"/>
        <v>0</v>
      </c>
      <c r="H718" s="631"/>
      <c r="I718" s="3192">
        <f t="shared" si="109"/>
        <v>1</v>
      </c>
      <c r="J718" s="631"/>
      <c r="K718" s="3192">
        <f t="shared" si="110"/>
        <v>1</v>
      </c>
      <c r="L718" s="631"/>
      <c r="M718" s="3192">
        <f t="shared" si="111"/>
        <v>1</v>
      </c>
      <c r="N718" s="631"/>
      <c r="O718" s="3192">
        <f t="shared" si="112"/>
        <v>1</v>
      </c>
      <c r="P718" s="3194"/>
      <c r="Q718" s="3192">
        <f t="shared" si="113"/>
        <v>0</v>
      </c>
      <c r="R718" s="3192">
        <f t="shared" si="114"/>
        <v>0</v>
      </c>
      <c r="S718" s="898">
        <f t="shared" si="105"/>
        <v>0</v>
      </c>
      <c r="T718" s="3190">
        <f>面积表!A713</f>
        <v>0</v>
      </c>
    </row>
    <row r="719" spans="1:20">
      <c r="A719" s="3169"/>
      <c r="B719" s="52"/>
      <c r="C719" s="3192">
        <f t="shared" si="106"/>
        <v>1</v>
      </c>
      <c r="D719" s="2559"/>
      <c r="E719" s="3192">
        <f t="shared" si="107"/>
        <v>0.02</v>
      </c>
      <c r="F719" s="631"/>
      <c r="G719" s="3192">
        <f t="shared" si="108"/>
        <v>0</v>
      </c>
      <c r="H719" s="631"/>
      <c r="I719" s="3192">
        <f t="shared" si="109"/>
        <v>1</v>
      </c>
      <c r="J719" s="631"/>
      <c r="K719" s="3192">
        <f t="shared" si="110"/>
        <v>1</v>
      </c>
      <c r="L719" s="631"/>
      <c r="M719" s="3192">
        <f t="shared" si="111"/>
        <v>1</v>
      </c>
      <c r="N719" s="631"/>
      <c r="O719" s="3192">
        <f t="shared" si="112"/>
        <v>1</v>
      </c>
      <c r="P719" s="3194"/>
      <c r="Q719" s="3192">
        <f t="shared" si="113"/>
        <v>0</v>
      </c>
      <c r="R719" s="3192">
        <f t="shared" si="114"/>
        <v>0</v>
      </c>
      <c r="S719" s="898">
        <f t="shared" si="105"/>
        <v>0</v>
      </c>
      <c r="T719" s="3190">
        <f>面积表!A714</f>
        <v>0</v>
      </c>
    </row>
    <row r="720" spans="1:20">
      <c r="A720" s="3169"/>
      <c r="B720" s="52"/>
      <c r="C720" s="3192">
        <f t="shared" si="106"/>
        <v>1</v>
      </c>
      <c r="D720" s="2559"/>
      <c r="E720" s="3192">
        <f t="shared" si="107"/>
        <v>0.02</v>
      </c>
      <c r="F720" s="631"/>
      <c r="G720" s="3192">
        <f t="shared" si="108"/>
        <v>0</v>
      </c>
      <c r="H720" s="631"/>
      <c r="I720" s="3192">
        <f t="shared" si="109"/>
        <v>1</v>
      </c>
      <c r="J720" s="631"/>
      <c r="K720" s="3192">
        <f t="shared" si="110"/>
        <v>1</v>
      </c>
      <c r="L720" s="631"/>
      <c r="M720" s="3192">
        <f t="shared" si="111"/>
        <v>1</v>
      </c>
      <c r="N720" s="631"/>
      <c r="O720" s="3192">
        <f t="shared" si="112"/>
        <v>1</v>
      </c>
      <c r="P720" s="3194"/>
      <c r="Q720" s="3192">
        <f t="shared" si="113"/>
        <v>0</v>
      </c>
      <c r="R720" s="3192">
        <f t="shared" si="114"/>
        <v>0</v>
      </c>
      <c r="S720" s="898">
        <f t="shared" si="105"/>
        <v>0</v>
      </c>
      <c r="T720" s="3190">
        <f>面积表!A715</f>
        <v>0</v>
      </c>
    </row>
    <row r="721" spans="1:20">
      <c r="A721" s="3169"/>
      <c r="B721" s="52"/>
      <c r="C721" s="3192">
        <f t="shared" si="106"/>
        <v>1</v>
      </c>
      <c r="D721" s="2559"/>
      <c r="E721" s="3192">
        <f t="shared" si="107"/>
        <v>0.02</v>
      </c>
      <c r="F721" s="631"/>
      <c r="G721" s="3192">
        <f t="shared" si="108"/>
        <v>0</v>
      </c>
      <c r="H721" s="631"/>
      <c r="I721" s="3192">
        <f t="shared" si="109"/>
        <v>1</v>
      </c>
      <c r="J721" s="631"/>
      <c r="K721" s="3192">
        <f t="shared" si="110"/>
        <v>1</v>
      </c>
      <c r="L721" s="631"/>
      <c r="M721" s="3192">
        <f t="shared" si="111"/>
        <v>1</v>
      </c>
      <c r="N721" s="631"/>
      <c r="O721" s="3192">
        <f t="shared" si="112"/>
        <v>1</v>
      </c>
      <c r="P721" s="3194"/>
      <c r="Q721" s="3192">
        <f t="shared" si="113"/>
        <v>0</v>
      </c>
      <c r="R721" s="3192">
        <f t="shared" si="114"/>
        <v>0</v>
      </c>
      <c r="S721" s="898">
        <f t="shared" si="105"/>
        <v>0</v>
      </c>
      <c r="T721" s="3190">
        <f>面积表!A716</f>
        <v>0</v>
      </c>
    </row>
    <row r="722" spans="1:20">
      <c r="A722" s="3169"/>
      <c r="B722" s="52"/>
      <c r="C722" s="3192">
        <f t="shared" si="106"/>
        <v>1</v>
      </c>
      <c r="D722" s="2559"/>
      <c r="E722" s="3192">
        <f t="shared" si="107"/>
        <v>0.02</v>
      </c>
      <c r="F722" s="631"/>
      <c r="G722" s="3192">
        <f t="shared" si="108"/>
        <v>0</v>
      </c>
      <c r="H722" s="631"/>
      <c r="I722" s="3192">
        <f t="shared" si="109"/>
        <v>1</v>
      </c>
      <c r="J722" s="631"/>
      <c r="K722" s="3192">
        <f t="shared" si="110"/>
        <v>1</v>
      </c>
      <c r="L722" s="631"/>
      <c r="M722" s="3192">
        <f t="shared" si="111"/>
        <v>1</v>
      </c>
      <c r="N722" s="631"/>
      <c r="O722" s="3192">
        <f t="shared" si="112"/>
        <v>1</v>
      </c>
      <c r="P722" s="3194"/>
      <c r="Q722" s="3192">
        <f t="shared" si="113"/>
        <v>0</v>
      </c>
      <c r="R722" s="3192">
        <f t="shared" si="114"/>
        <v>0</v>
      </c>
      <c r="S722" s="898">
        <f t="shared" si="105"/>
        <v>0</v>
      </c>
      <c r="T722" s="3190">
        <f>面积表!A717</f>
        <v>0</v>
      </c>
    </row>
    <row r="723" spans="1:20">
      <c r="A723" s="3169"/>
      <c r="B723" s="52"/>
      <c r="C723" s="3192">
        <f t="shared" si="106"/>
        <v>1</v>
      </c>
      <c r="D723" s="2559"/>
      <c r="E723" s="3192">
        <f t="shared" si="107"/>
        <v>0.02</v>
      </c>
      <c r="F723" s="631"/>
      <c r="G723" s="3192">
        <f t="shared" si="108"/>
        <v>0</v>
      </c>
      <c r="H723" s="631"/>
      <c r="I723" s="3192">
        <f t="shared" si="109"/>
        <v>1</v>
      </c>
      <c r="J723" s="631"/>
      <c r="K723" s="3192">
        <f t="shared" si="110"/>
        <v>1</v>
      </c>
      <c r="L723" s="631"/>
      <c r="M723" s="3192">
        <f t="shared" si="111"/>
        <v>1</v>
      </c>
      <c r="N723" s="631"/>
      <c r="O723" s="3192">
        <f t="shared" si="112"/>
        <v>1</v>
      </c>
      <c r="P723" s="3194"/>
      <c r="Q723" s="3192">
        <f t="shared" si="113"/>
        <v>0</v>
      </c>
      <c r="R723" s="3192">
        <f t="shared" si="114"/>
        <v>0</v>
      </c>
      <c r="S723" s="898">
        <f t="shared" si="105"/>
        <v>0</v>
      </c>
      <c r="T723" s="3190">
        <f>面积表!A718</f>
        <v>0</v>
      </c>
    </row>
    <row r="724" spans="1:20">
      <c r="A724" s="3169"/>
      <c r="B724" s="52"/>
      <c r="C724" s="3192">
        <f t="shared" si="106"/>
        <v>1</v>
      </c>
      <c r="D724" s="2559"/>
      <c r="E724" s="3192">
        <f t="shared" si="107"/>
        <v>0.02</v>
      </c>
      <c r="F724" s="631"/>
      <c r="G724" s="3192">
        <f t="shared" si="108"/>
        <v>0</v>
      </c>
      <c r="H724" s="631"/>
      <c r="I724" s="3192">
        <f t="shared" si="109"/>
        <v>1</v>
      </c>
      <c r="J724" s="631"/>
      <c r="K724" s="3192">
        <f t="shared" si="110"/>
        <v>1</v>
      </c>
      <c r="L724" s="631"/>
      <c r="M724" s="3192">
        <f t="shared" si="111"/>
        <v>1</v>
      </c>
      <c r="N724" s="631"/>
      <c r="O724" s="3192">
        <f t="shared" si="112"/>
        <v>1</v>
      </c>
      <c r="P724" s="3194"/>
      <c r="Q724" s="3192">
        <f t="shared" si="113"/>
        <v>0</v>
      </c>
      <c r="R724" s="3192">
        <f t="shared" si="114"/>
        <v>0</v>
      </c>
      <c r="S724" s="898">
        <f t="shared" si="105"/>
        <v>0</v>
      </c>
      <c r="T724" s="3190">
        <f>面积表!A719</f>
        <v>0</v>
      </c>
    </row>
    <row r="725" spans="1:20">
      <c r="A725" s="3169"/>
      <c r="B725" s="52"/>
      <c r="C725" s="3192">
        <f t="shared" si="106"/>
        <v>1</v>
      </c>
      <c r="D725" s="2559"/>
      <c r="E725" s="3192">
        <f t="shared" si="107"/>
        <v>0.02</v>
      </c>
      <c r="F725" s="631"/>
      <c r="G725" s="3192">
        <f t="shared" si="108"/>
        <v>0</v>
      </c>
      <c r="H725" s="631"/>
      <c r="I725" s="3192">
        <f t="shared" si="109"/>
        <v>1</v>
      </c>
      <c r="J725" s="631"/>
      <c r="K725" s="3192">
        <f t="shared" si="110"/>
        <v>1</v>
      </c>
      <c r="L725" s="631"/>
      <c r="M725" s="3192">
        <f t="shared" si="111"/>
        <v>1</v>
      </c>
      <c r="N725" s="631"/>
      <c r="O725" s="3192">
        <f t="shared" si="112"/>
        <v>1</v>
      </c>
      <c r="P725" s="3194"/>
      <c r="Q725" s="3192">
        <f t="shared" si="113"/>
        <v>0</v>
      </c>
      <c r="R725" s="3192">
        <f t="shared" si="114"/>
        <v>0</v>
      </c>
      <c r="S725" s="898">
        <f t="shared" si="105"/>
        <v>0</v>
      </c>
      <c r="T725" s="3190">
        <f>面积表!A720</f>
        <v>0</v>
      </c>
    </row>
    <row r="726" spans="1:20">
      <c r="A726" s="3169"/>
      <c r="B726" s="52"/>
      <c r="C726" s="3192">
        <f t="shared" si="106"/>
        <v>1</v>
      </c>
      <c r="D726" s="2559"/>
      <c r="E726" s="3192">
        <f t="shared" si="107"/>
        <v>0.02</v>
      </c>
      <c r="F726" s="631"/>
      <c r="G726" s="3192">
        <f t="shared" si="108"/>
        <v>0</v>
      </c>
      <c r="H726" s="631"/>
      <c r="I726" s="3192">
        <f t="shared" si="109"/>
        <v>1</v>
      </c>
      <c r="J726" s="631"/>
      <c r="K726" s="3192">
        <f t="shared" si="110"/>
        <v>1</v>
      </c>
      <c r="L726" s="631"/>
      <c r="M726" s="3192">
        <f t="shared" si="111"/>
        <v>1</v>
      </c>
      <c r="N726" s="631"/>
      <c r="O726" s="3192">
        <f t="shared" si="112"/>
        <v>1</v>
      </c>
      <c r="P726" s="3194"/>
      <c r="Q726" s="3192">
        <f t="shared" si="113"/>
        <v>0</v>
      </c>
      <c r="R726" s="3192">
        <f t="shared" si="114"/>
        <v>0</v>
      </c>
      <c r="S726" s="898">
        <f t="shared" si="105"/>
        <v>0</v>
      </c>
      <c r="T726" s="3190">
        <f>面积表!A721</f>
        <v>0</v>
      </c>
    </row>
    <row r="727" spans="1:20">
      <c r="A727" s="3169"/>
      <c r="B727" s="52"/>
      <c r="C727" s="3192">
        <f t="shared" si="106"/>
        <v>1</v>
      </c>
      <c r="D727" s="2559"/>
      <c r="E727" s="3192">
        <f t="shared" si="107"/>
        <v>0.02</v>
      </c>
      <c r="F727" s="631"/>
      <c r="G727" s="3192">
        <f t="shared" si="108"/>
        <v>0</v>
      </c>
      <c r="H727" s="631"/>
      <c r="I727" s="3192">
        <f t="shared" si="109"/>
        <v>1</v>
      </c>
      <c r="J727" s="631"/>
      <c r="K727" s="3192">
        <f t="shared" si="110"/>
        <v>1</v>
      </c>
      <c r="L727" s="631"/>
      <c r="M727" s="3192">
        <f t="shared" si="111"/>
        <v>1</v>
      </c>
      <c r="N727" s="631"/>
      <c r="O727" s="3192">
        <f t="shared" si="112"/>
        <v>1</v>
      </c>
      <c r="P727" s="3194"/>
      <c r="Q727" s="3192">
        <f t="shared" si="113"/>
        <v>0</v>
      </c>
      <c r="R727" s="3192">
        <f t="shared" si="114"/>
        <v>0</v>
      </c>
      <c r="S727" s="898">
        <f t="shared" si="105"/>
        <v>0</v>
      </c>
      <c r="T727" s="3190">
        <f>面积表!A722</f>
        <v>0</v>
      </c>
    </row>
    <row r="728" spans="1:20">
      <c r="A728" s="3169"/>
      <c r="B728" s="52"/>
      <c r="C728" s="3192">
        <f t="shared" si="106"/>
        <v>1</v>
      </c>
      <c r="D728" s="2559"/>
      <c r="E728" s="3192">
        <f t="shared" si="107"/>
        <v>0.02</v>
      </c>
      <c r="F728" s="631"/>
      <c r="G728" s="3192">
        <f t="shared" si="108"/>
        <v>0</v>
      </c>
      <c r="H728" s="631"/>
      <c r="I728" s="3192">
        <f t="shared" si="109"/>
        <v>1</v>
      </c>
      <c r="J728" s="631"/>
      <c r="K728" s="3192">
        <f t="shared" si="110"/>
        <v>1</v>
      </c>
      <c r="L728" s="631"/>
      <c r="M728" s="3192">
        <f t="shared" si="111"/>
        <v>1</v>
      </c>
      <c r="N728" s="631"/>
      <c r="O728" s="3192">
        <f t="shared" si="112"/>
        <v>1</v>
      </c>
      <c r="P728" s="3194"/>
      <c r="Q728" s="3192">
        <f t="shared" si="113"/>
        <v>0</v>
      </c>
      <c r="R728" s="3192">
        <f t="shared" si="114"/>
        <v>0</v>
      </c>
      <c r="S728" s="898">
        <f t="shared" ref="S728:S791" si="115">ROUND(R728*B728/10000,0)</f>
        <v>0</v>
      </c>
      <c r="T728" s="3190">
        <f>面积表!A723</f>
        <v>0</v>
      </c>
    </row>
    <row r="729" spans="1:20">
      <c r="A729" s="3169"/>
      <c r="B729" s="52"/>
      <c r="C729" s="3192">
        <f t="shared" si="106"/>
        <v>1</v>
      </c>
      <c r="D729" s="2559"/>
      <c r="E729" s="3192">
        <f t="shared" si="107"/>
        <v>0.02</v>
      </c>
      <c r="F729" s="631"/>
      <c r="G729" s="3192">
        <f t="shared" si="108"/>
        <v>0</v>
      </c>
      <c r="H729" s="631"/>
      <c r="I729" s="3192">
        <f t="shared" si="109"/>
        <v>1</v>
      </c>
      <c r="J729" s="631"/>
      <c r="K729" s="3192">
        <f t="shared" si="110"/>
        <v>1</v>
      </c>
      <c r="L729" s="631"/>
      <c r="M729" s="3192">
        <f t="shared" si="111"/>
        <v>1</v>
      </c>
      <c r="N729" s="631"/>
      <c r="O729" s="3192">
        <f t="shared" si="112"/>
        <v>1</v>
      </c>
      <c r="P729" s="3194"/>
      <c r="Q729" s="3192">
        <f t="shared" si="113"/>
        <v>0</v>
      </c>
      <c r="R729" s="3192">
        <f t="shared" si="114"/>
        <v>0</v>
      </c>
      <c r="S729" s="898">
        <f t="shared" si="115"/>
        <v>0</v>
      </c>
      <c r="T729" s="3190">
        <f>面积表!A724</f>
        <v>0</v>
      </c>
    </row>
    <row r="730" spans="1:20">
      <c r="A730" s="3169"/>
      <c r="B730" s="52"/>
      <c r="C730" s="3192">
        <f t="shared" ref="C730:C793" si="116">IF(B730="",1,(LOOKUP(B730,$3:$3,$4:$4)-LOOKUP($B$24,$3:$3,$4:$4)+100)/100)</f>
        <v>1</v>
      </c>
      <c r="D730" s="2559"/>
      <c r="E730" s="3192">
        <f t="shared" ref="E730:E793" si="117">(SUMIF($5:$5,D730,$6:$6)-SUMIF($5:$5,$D$24,$6:$6)+100)/100</f>
        <v>0.02</v>
      </c>
      <c r="F730" s="631"/>
      <c r="G730" s="3192">
        <f t="shared" ref="G730:G793" si="118">(SUMIF($7:$7,F730,$8:$8)-SUMIF($7:$7,$F$24,$8:$8)+100)/100</f>
        <v>0</v>
      </c>
      <c r="H730" s="631"/>
      <c r="I730" s="3192">
        <f t="shared" ref="I730:I793" si="119">(SUMIF($9:$9,H730,$10:$10)-SUMIF($9:$9,$H$24,$10:$10)+100)/100</f>
        <v>1</v>
      </c>
      <c r="J730" s="631"/>
      <c r="K730" s="3192">
        <f t="shared" ref="K730:K793" si="120">(SUMIF($11:$11,J730,$12:$12)-SUMIF($11:$11,$J$24,$12:$12)+100)/100</f>
        <v>1</v>
      </c>
      <c r="L730" s="631"/>
      <c r="M730" s="3192">
        <f t="shared" ref="M730:M793" si="121">(SUMIF($13:$13,L730,$14:$14)-SUMIF($13:$13,$L$24,$14:$14)+100)/100</f>
        <v>1</v>
      </c>
      <c r="N730" s="631"/>
      <c r="O730" s="3192">
        <f t="shared" ref="O730:O793" si="122">(SUMIF($15:$15,N730,$16:$16)-SUMIF($15:$15,$N$24,$16:$16)+100)/100</f>
        <v>1</v>
      </c>
      <c r="P730" s="3194"/>
      <c r="Q730" s="3192">
        <f t="shared" ref="Q730:Q793" si="123">(SUMIF($17:$17,P730,$18:$18)-SUMIF($17:$17,$P$24,$18:$18)+100)/100</f>
        <v>0</v>
      </c>
      <c r="R730" s="3192">
        <f t="shared" ref="R730:R793" si="124">IF(B730="",0,ROUND($R$24*C730*E730*G730*I730*K730*M730*O730*Q730,0))</f>
        <v>0</v>
      </c>
      <c r="S730" s="898">
        <f t="shared" si="115"/>
        <v>0</v>
      </c>
      <c r="T730" s="3190">
        <f>面积表!A725</f>
        <v>0</v>
      </c>
    </row>
    <row r="731" spans="1:20">
      <c r="A731" s="3169"/>
      <c r="B731" s="52"/>
      <c r="C731" s="3192">
        <f t="shared" si="116"/>
        <v>1</v>
      </c>
      <c r="D731" s="2559"/>
      <c r="E731" s="3192">
        <f t="shared" si="117"/>
        <v>0.02</v>
      </c>
      <c r="F731" s="631"/>
      <c r="G731" s="3192">
        <f t="shared" si="118"/>
        <v>0</v>
      </c>
      <c r="H731" s="631"/>
      <c r="I731" s="3192">
        <f t="shared" si="119"/>
        <v>1</v>
      </c>
      <c r="J731" s="631"/>
      <c r="K731" s="3192">
        <f t="shared" si="120"/>
        <v>1</v>
      </c>
      <c r="L731" s="631"/>
      <c r="M731" s="3192">
        <f t="shared" si="121"/>
        <v>1</v>
      </c>
      <c r="N731" s="631"/>
      <c r="O731" s="3192">
        <f t="shared" si="122"/>
        <v>1</v>
      </c>
      <c r="P731" s="3194"/>
      <c r="Q731" s="3192">
        <f t="shared" si="123"/>
        <v>0</v>
      </c>
      <c r="R731" s="3192">
        <f t="shared" si="124"/>
        <v>0</v>
      </c>
      <c r="S731" s="898">
        <f t="shared" si="115"/>
        <v>0</v>
      </c>
      <c r="T731" s="3190">
        <f>面积表!A726</f>
        <v>0</v>
      </c>
    </row>
    <row r="732" spans="1:20">
      <c r="A732" s="3169"/>
      <c r="B732" s="52"/>
      <c r="C732" s="3192">
        <f t="shared" si="116"/>
        <v>1</v>
      </c>
      <c r="D732" s="2559"/>
      <c r="E732" s="3192">
        <f t="shared" si="117"/>
        <v>0.02</v>
      </c>
      <c r="F732" s="631"/>
      <c r="G732" s="3192">
        <f t="shared" si="118"/>
        <v>0</v>
      </c>
      <c r="H732" s="631"/>
      <c r="I732" s="3192">
        <f t="shared" si="119"/>
        <v>1</v>
      </c>
      <c r="J732" s="631"/>
      <c r="K732" s="3192">
        <f t="shared" si="120"/>
        <v>1</v>
      </c>
      <c r="L732" s="631"/>
      <c r="M732" s="3192">
        <f t="shared" si="121"/>
        <v>1</v>
      </c>
      <c r="N732" s="631"/>
      <c r="O732" s="3192">
        <f t="shared" si="122"/>
        <v>1</v>
      </c>
      <c r="P732" s="3194"/>
      <c r="Q732" s="3192">
        <f t="shared" si="123"/>
        <v>0</v>
      </c>
      <c r="R732" s="3192">
        <f t="shared" si="124"/>
        <v>0</v>
      </c>
      <c r="S732" s="898">
        <f t="shared" si="115"/>
        <v>0</v>
      </c>
      <c r="T732" s="3190">
        <f>面积表!A727</f>
        <v>0</v>
      </c>
    </row>
    <row r="733" spans="1:20">
      <c r="A733" s="3169"/>
      <c r="B733" s="52"/>
      <c r="C733" s="3192">
        <f t="shared" si="116"/>
        <v>1</v>
      </c>
      <c r="D733" s="2559"/>
      <c r="E733" s="3192">
        <f t="shared" si="117"/>
        <v>0.02</v>
      </c>
      <c r="F733" s="631"/>
      <c r="G733" s="3192">
        <f t="shared" si="118"/>
        <v>0</v>
      </c>
      <c r="H733" s="631"/>
      <c r="I733" s="3192">
        <f t="shared" si="119"/>
        <v>1</v>
      </c>
      <c r="J733" s="631"/>
      <c r="K733" s="3192">
        <f t="shared" si="120"/>
        <v>1</v>
      </c>
      <c r="L733" s="631"/>
      <c r="M733" s="3192">
        <f t="shared" si="121"/>
        <v>1</v>
      </c>
      <c r="N733" s="631"/>
      <c r="O733" s="3192">
        <f t="shared" si="122"/>
        <v>1</v>
      </c>
      <c r="P733" s="3194"/>
      <c r="Q733" s="3192">
        <f t="shared" si="123"/>
        <v>0</v>
      </c>
      <c r="R733" s="3192">
        <f t="shared" si="124"/>
        <v>0</v>
      </c>
      <c r="S733" s="898">
        <f t="shared" si="115"/>
        <v>0</v>
      </c>
      <c r="T733" s="3190">
        <f>面积表!A728</f>
        <v>0</v>
      </c>
    </row>
    <row r="734" spans="1:20">
      <c r="A734" s="3169"/>
      <c r="B734" s="52"/>
      <c r="C734" s="3192">
        <f t="shared" si="116"/>
        <v>1</v>
      </c>
      <c r="D734" s="2559"/>
      <c r="E734" s="3192">
        <f t="shared" si="117"/>
        <v>0.02</v>
      </c>
      <c r="F734" s="631"/>
      <c r="G734" s="3192">
        <f t="shared" si="118"/>
        <v>0</v>
      </c>
      <c r="H734" s="631"/>
      <c r="I734" s="3192">
        <f t="shared" si="119"/>
        <v>1</v>
      </c>
      <c r="J734" s="631"/>
      <c r="K734" s="3192">
        <f t="shared" si="120"/>
        <v>1</v>
      </c>
      <c r="L734" s="631"/>
      <c r="M734" s="3192">
        <f t="shared" si="121"/>
        <v>1</v>
      </c>
      <c r="N734" s="631"/>
      <c r="O734" s="3192">
        <f t="shared" si="122"/>
        <v>1</v>
      </c>
      <c r="P734" s="3194"/>
      <c r="Q734" s="3192">
        <f t="shared" si="123"/>
        <v>0</v>
      </c>
      <c r="R734" s="3192">
        <f t="shared" si="124"/>
        <v>0</v>
      </c>
      <c r="S734" s="898">
        <f t="shared" si="115"/>
        <v>0</v>
      </c>
      <c r="T734" s="3190">
        <f>面积表!A729</f>
        <v>0</v>
      </c>
    </row>
    <row r="735" spans="1:20">
      <c r="A735" s="3169"/>
      <c r="B735" s="52"/>
      <c r="C735" s="3192">
        <f t="shared" si="116"/>
        <v>1</v>
      </c>
      <c r="D735" s="2559"/>
      <c r="E735" s="3192">
        <f t="shared" si="117"/>
        <v>0.02</v>
      </c>
      <c r="F735" s="631"/>
      <c r="G735" s="3192">
        <f t="shared" si="118"/>
        <v>0</v>
      </c>
      <c r="H735" s="631"/>
      <c r="I735" s="3192">
        <f t="shared" si="119"/>
        <v>1</v>
      </c>
      <c r="J735" s="631"/>
      <c r="K735" s="3192">
        <f t="shared" si="120"/>
        <v>1</v>
      </c>
      <c r="L735" s="631"/>
      <c r="M735" s="3192">
        <f t="shared" si="121"/>
        <v>1</v>
      </c>
      <c r="N735" s="631"/>
      <c r="O735" s="3192">
        <f t="shared" si="122"/>
        <v>1</v>
      </c>
      <c r="P735" s="3194"/>
      <c r="Q735" s="3192">
        <f t="shared" si="123"/>
        <v>0</v>
      </c>
      <c r="R735" s="3192">
        <f t="shared" si="124"/>
        <v>0</v>
      </c>
      <c r="S735" s="898">
        <f t="shared" si="115"/>
        <v>0</v>
      </c>
      <c r="T735" s="3190">
        <f>面积表!A730</f>
        <v>0</v>
      </c>
    </row>
    <row r="736" spans="1:20">
      <c r="A736" s="3169"/>
      <c r="B736" s="52"/>
      <c r="C736" s="3192">
        <f t="shared" si="116"/>
        <v>1</v>
      </c>
      <c r="D736" s="2559"/>
      <c r="E736" s="3192">
        <f t="shared" si="117"/>
        <v>0.02</v>
      </c>
      <c r="F736" s="631"/>
      <c r="G736" s="3192">
        <f t="shared" si="118"/>
        <v>0</v>
      </c>
      <c r="H736" s="631"/>
      <c r="I736" s="3192">
        <f t="shared" si="119"/>
        <v>1</v>
      </c>
      <c r="J736" s="631"/>
      <c r="K736" s="3192">
        <f t="shared" si="120"/>
        <v>1</v>
      </c>
      <c r="L736" s="631"/>
      <c r="M736" s="3192">
        <f t="shared" si="121"/>
        <v>1</v>
      </c>
      <c r="N736" s="631"/>
      <c r="O736" s="3192">
        <f t="shared" si="122"/>
        <v>1</v>
      </c>
      <c r="P736" s="3194"/>
      <c r="Q736" s="3192">
        <f t="shared" si="123"/>
        <v>0</v>
      </c>
      <c r="R736" s="3192">
        <f t="shared" si="124"/>
        <v>0</v>
      </c>
      <c r="S736" s="898">
        <f t="shared" si="115"/>
        <v>0</v>
      </c>
      <c r="T736" s="3190">
        <f>面积表!A731</f>
        <v>0</v>
      </c>
    </row>
    <row r="737" spans="1:20">
      <c r="A737" s="3169"/>
      <c r="B737" s="52"/>
      <c r="C737" s="3192">
        <f t="shared" si="116"/>
        <v>1</v>
      </c>
      <c r="D737" s="2559"/>
      <c r="E737" s="3192">
        <f t="shared" si="117"/>
        <v>0.02</v>
      </c>
      <c r="F737" s="631"/>
      <c r="G737" s="3192">
        <f t="shared" si="118"/>
        <v>0</v>
      </c>
      <c r="H737" s="631"/>
      <c r="I737" s="3192">
        <f t="shared" si="119"/>
        <v>1</v>
      </c>
      <c r="J737" s="631"/>
      <c r="K737" s="3192">
        <f t="shared" si="120"/>
        <v>1</v>
      </c>
      <c r="L737" s="631"/>
      <c r="M737" s="3192">
        <f t="shared" si="121"/>
        <v>1</v>
      </c>
      <c r="N737" s="631"/>
      <c r="O737" s="3192">
        <f t="shared" si="122"/>
        <v>1</v>
      </c>
      <c r="P737" s="3194"/>
      <c r="Q737" s="3192">
        <f t="shared" si="123"/>
        <v>0</v>
      </c>
      <c r="R737" s="3192">
        <f t="shared" si="124"/>
        <v>0</v>
      </c>
      <c r="S737" s="898">
        <f t="shared" si="115"/>
        <v>0</v>
      </c>
      <c r="T737" s="3190">
        <f>面积表!A732</f>
        <v>0</v>
      </c>
    </row>
    <row r="738" spans="1:20">
      <c r="A738" s="3173"/>
      <c r="B738" s="3174"/>
      <c r="C738" s="3192">
        <f t="shared" si="116"/>
        <v>1</v>
      </c>
      <c r="D738" s="2559"/>
      <c r="E738" s="3192">
        <f t="shared" si="117"/>
        <v>0.02</v>
      </c>
      <c r="F738" s="2559"/>
      <c r="G738" s="3192">
        <f t="shared" si="118"/>
        <v>0</v>
      </c>
      <c r="H738" s="631"/>
      <c r="I738" s="3192">
        <f t="shared" si="119"/>
        <v>1</v>
      </c>
      <c r="J738" s="631"/>
      <c r="K738" s="3192">
        <f t="shared" si="120"/>
        <v>1</v>
      </c>
      <c r="L738" s="631"/>
      <c r="M738" s="3192">
        <f t="shared" si="121"/>
        <v>1</v>
      </c>
      <c r="N738" s="631"/>
      <c r="O738" s="3192">
        <f t="shared" si="122"/>
        <v>1</v>
      </c>
      <c r="P738" s="3194"/>
      <c r="Q738" s="3192">
        <f t="shared" si="123"/>
        <v>0</v>
      </c>
      <c r="R738" s="3192">
        <f t="shared" si="124"/>
        <v>0</v>
      </c>
      <c r="S738" s="898">
        <f t="shared" si="115"/>
        <v>0</v>
      </c>
      <c r="T738" s="3191" t="str">
        <f>面积表!A733</f>
        <v>4号楼</v>
      </c>
    </row>
    <row r="739" spans="1:20">
      <c r="A739" s="3169"/>
      <c r="B739" s="52"/>
      <c r="C739" s="3192">
        <f t="shared" si="116"/>
        <v>1</v>
      </c>
      <c r="D739" s="2559"/>
      <c r="E739" s="3192">
        <f t="shared" si="117"/>
        <v>0.02</v>
      </c>
      <c r="F739" s="2559"/>
      <c r="G739" s="3192">
        <f t="shared" si="118"/>
        <v>0</v>
      </c>
      <c r="H739" s="631"/>
      <c r="I739" s="3192">
        <f t="shared" si="119"/>
        <v>1</v>
      </c>
      <c r="J739" s="631"/>
      <c r="K739" s="3192">
        <f t="shared" si="120"/>
        <v>1</v>
      </c>
      <c r="L739" s="631"/>
      <c r="M739" s="3192">
        <f t="shared" si="121"/>
        <v>1</v>
      </c>
      <c r="N739" s="631"/>
      <c r="O739" s="3192">
        <f t="shared" si="122"/>
        <v>1</v>
      </c>
      <c r="P739" s="3194"/>
      <c r="Q739" s="3192">
        <f t="shared" si="123"/>
        <v>0</v>
      </c>
      <c r="R739" s="3192">
        <f t="shared" si="124"/>
        <v>0</v>
      </c>
      <c r="S739" s="898">
        <f t="shared" si="115"/>
        <v>0</v>
      </c>
      <c r="T739" s="3190" t="str">
        <f>面积表!A734</f>
        <v>办公自用</v>
      </c>
    </row>
    <row r="740" spans="1:20">
      <c r="A740" s="3169"/>
      <c r="B740" s="52"/>
      <c r="C740" s="3192">
        <f t="shared" si="116"/>
        <v>1</v>
      </c>
      <c r="D740" s="2559"/>
      <c r="E740" s="3192">
        <f t="shared" si="117"/>
        <v>0.02</v>
      </c>
      <c r="F740" s="2559"/>
      <c r="G740" s="3192">
        <f t="shared" si="118"/>
        <v>0</v>
      </c>
      <c r="H740" s="631"/>
      <c r="I740" s="3192">
        <f t="shared" si="119"/>
        <v>1</v>
      </c>
      <c r="J740" s="631"/>
      <c r="K740" s="3192">
        <f t="shared" si="120"/>
        <v>1</v>
      </c>
      <c r="L740" s="631"/>
      <c r="M740" s="3192">
        <f t="shared" si="121"/>
        <v>1</v>
      </c>
      <c r="N740" s="631"/>
      <c r="O740" s="3192">
        <f t="shared" si="122"/>
        <v>1</v>
      </c>
      <c r="P740" s="3194"/>
      <c r="Q740" s="3192">
        <f t="shared" si="123"/>
        <v>0</v>
      </c>
      <c r="R740" s="3192">
        <f t="shared" si="124"/>
        <v>0</v>
      </c>
      <c r="S740" s="898">
        <f t="shared" si="115"/>
        <v>0</v>
      </c>
      <c r="T740" s="3190" t="str">
        <f>面积表!A735</f>
        <v>总24层</v>
      </c>
    </row>
    <row r="741" spans="1:20">
      <c r="A741" s="3169"/>
      <c r="B741" s="52"/>
      <c r="C741" s="3192">
        <f t="shared" si="116"/>
        <v>1</v>
      </c>
      <c r="D741" s="2559"/>
      <c r="E741" s="3192">
        <f t="shared" si="117"/>
        <v>0.02</v>
      </c>
      <c r="F741" s="2559"/>
      <c r="G741" s="3192">
        <f t="shared" si="118"/>
        <v>0</v>
      </c>
      <c r="H741" s="631"/>
      <c r="I741" s="3192">
        <f t="shared" si="119"/>
        <v>1</v>
      </c>
      <c r="J741" s="631"/>
      <c r="K741" s="3192">
        <f t="shared" si="120"/>
        <v>1</v>
      </c>
      <c r="L741" s="631"/>
      <c r="M741" s="3192">
        <f t="shared" si="121"/>
        <v>1</v>
      </c>
      <c r="N741" s="631"/>
      <c r="O741" s="3192">
        <f t="shared" si="122"/>
        <v>1</v>
      </c>
      <c r="P741" s="3194"/>
      <c r="Q741" s="3192">
        <f t="shared" si="123"/>
        <v>0</v>
      </c>
      <c r="R741" s="3192">
        <f t="shared" si="124"/>
        <v>0</v>
      </c>
      <c r="S741" s="898">
        <f t="shared" si="115"/>
        <v>0</v>
      </c>
      <c r="T741" s="3190">
        <f>面积表!A736</f>
        <v>0</v>
      </c>
    </row>
    <row r="742" spans="1:20">
      <c r="A742" s="3169"/>
      <c r="B742" s="52"/>
      <c r="C742" s="3192">
        <f t="shared" si="116"/>
        <v>1</v>
      </c>
      <c r="D742" s="2559"/>
      <c r="E742" s="3192">
        <f t="shared" si="117"/>
        <v>0.02</v>
      </c>
      <c r="F742" s="2559"/>
      <c r="G742" s="3192">
        <f t="shared" si="118"/>
        <v>0</v>
      </c>
      <c r="H742" s="631"/>
      <c r="I742" s="3192">
        <f t="shared" si="119"/>
        <v>1</v>
      </c>
      <c r="J742" s="631"/>
      <c r="K742" s="3192">
        <f t="shared" si="120"/>
        <v>1</v>
      </c>
      <c r="L742" s="631"/>
      <c r="M742" s="3192">
        <f t="shared" si="121"/>
        <v>1</v>
      </c>
      <c r="N742" s="631"/>
      <c r="O742" s="3192">
        <f t="shared" si="122"/>
        <v>1</v>
      </c>
      <c r="P742" s="3194"/>
      <c r="Q742" s="3192">
        <f t="shared" si="123"/>
        <v>0</v>
      </c>
      <c r="R742" s="3192">
        <f t="shared" si="124"/>
        <v>0</v>
      </c>
      <c r="S742" s="898">
        <f t="shared" si="115"/>
        <v>0</v>
      </c>
      <c r="T742" s="3190">
        <f>面积表!A737</f>
        <v>0</v>
      </c>
    </row>
    <row r="743" spans="1:20">
      <c r="A743" s="3169"/>
      <c r="B743" s="52"/>
      <c r="C743" s="3192">
        <f t="shared" si="116"/>
        <v>1</v>
      </c>
      <c r="D743" s="2559"/>
      <c r="E743" s="3192">
        <f t="shared" si="117"/>
        <v>0.02</v>
      </c>
      <c r="F743" s="2559"/>
      <c r="G743" s="3192">
        <f t="shared" si="118"/>
        <v>0</v>
      </c>
      <c r="H743" s="631"/>
      <c r="I743" s="3192">
        <f t="shared" si="119"/>
        <v>1</v>
      </c>
      <c r="J743" s="631"/>
      <c r="K743" s="3192">
        <f t="shared" si="120"/>
        <v>1</v>
      </c>
      <c r="L743" s="631"/>
      <c r="M743" s="3192">
        <f t="shared" si="121"/>
        <v>1</v>
      </c>
      <c r="N743" s="631"/>
      <c r="O743" s="3192">
        <f t="shared" si="122"/>
        <v>1</v>
      </c>
      <c r="P743" s="3194"/>
      <c r="Q743" s="3192">
        <f t="shared" si="123"/>
        <v>0</v>
      </c>
      <c r="R743" s="3192">
        <f t="shared" si="124"/>
        <v>0</v>
      </c>
      <c r="S743" s="898">
        <f t="shared" si="115"/>
        <v>0</v>
      </c>
      <c r="T743" s="3190">
        <f>面积表!A738</f>
        <v>0</v>
      </c>
    </row>
    <row r="744" spans="1:20">
      <c r="A744" s="3169"/>
      <c r="B744" s="52"/>
      <c r="C744" s="3192">
        <f t="shared" si="116"/>
        <v>1</v>
      </c>
      <c r="D744" s="2559"/>
      <c r="E744" s="3192">
        <f t="shared" si="117"/>
        <v>0.02</v>
      </c>
      <c r="F744" s="2559"/>
      <c r="G744" s="3192">
        <f t="shared" si="118"/>
        <v>0</v>
      </c>
      <c r="H744" s="631"/>
      <c r="I744" s="3192">
        <f t="shared" si="119"/>
        <v>1</v>
      </c>
      <c r="J744" s="631"/>
      <c r="K744" s="3192">
        <f t="shared" si="120"/>
        <v>1</v>
      </c>
      <c r="L744" s="631"/>
      <c r="M744" s="3192">
        <f t="shared" si="121"/>
        <v>1</v>
      </c>
      <c r="N744" s="631"/>
      <c r="O744" s="3192">
        <f t="shared" si="122"/>
        <v>1</v>
      </c>
      <c r="P744" s="3194"/>
      <c r="Q744" s="3192">
        <f t="shared" si="123"/>
        <v>0</v>
      </c>
      <c r="R744" s="3192">
        <f t="shared" si="124"/>
        <v>0</v>
      </c>
      <c r="S744" s="898">
        <f t="shared" si="115"/>
        <v>0</v>
      </c>
      <c r="T744" s="3190">
        <f>面积表!A739</f>
        <v>0</v>
      </c>
    </row>
    <row r="745" spans="1:20">
      <c r="A745" s="3169"/>
      <c r="B745" s="52"/>
      <c r="C745" s="3192">
        <f t="shared" si="116"/>
        <v>1</v>
      </c>
      <c r="D745" s="2559"/>
      <c r="E745" s="3192">
        <f t="shared" si="117"/>
        <v>0.02</v>
      </c>
      <c r="F745" s="2559"/>
      <c r="G745" s="3192">
        <f t="shared" si="118"/>
        <v>0</v>
      </c>
      <c r="H745" s="631"/>
      <c r="I745" s="3192">
        <f t="shared" si="119"/>
        <v>1</v>
      </c>
      <c r="J745" s="631"/>
      <c r="K745" s="3192">
        <f t="shared" si="120"/>
        <v>1</v>
      </c>
      <c r="L745" s="631"/>
      <c r="M745" s="3192">
        <f t="shared" si="121"/>
        <v>1</v>
      </c>
      <c r="N745" s="631"/>
      <c r="O745" s="3192">
        <f t="shared" si="122"/>
        <v>1</v>
      </c>
      <c r="P745" s="3194"/>
      <c r="Q745" s="3192">
        <f t="shared" si="123"/>
        <v>0</v>
      </c>
      <c r="R745" s="3192">
        <f t="shared" si="124"/>
        <v>0</v>
      </c>
      <c r="S745" s="898">
        <f t="shared" si="115"/>
        <v>0</v>
      </c>
      <c r="T745" s="3190">
        <f>面积表!A740</f>
        <v>0</v>
      </c>
    </row>
    <row r="746" spans="1:20">
      <c r="A746" s="3169"/>
      <c r="B746" s="52"/>
      <c r="C746" s="3192">
        <f t="shared" si="116"/>
        <v>1</v>
      </c>
      <c r="D746" s="2559"/>
      <c r="E746" s="3192">
        <f t="shared" si="117"/>
        <v>0.02</v>
      </c>
      <c r="F746" s="2559"/>
      <c r="G746" s="3192">
        <f t="shared" si="118"/>
        <v>0</v>
      </c>
      <c r="H746" s="631"/>
      <c r="I746" s="3192">
        <f t="shared" si="119"/>
        <v>1</v>
      </c>
      <c r="J746" s="631"/>
      <c r="K746" s="3192">
        <f t="shared" si="120"/>
        <v>1</v>
      </c>
      <c r="L746" s="631"/>
      <c r="M746" s="3192">
        <f t="shared" si="121"/>
        <v>1</v>
      </c>
      <c r="N746" s="631"/>
      <c r="O746" s="3192">
        <f t="shared" si="122"/>
        <v>1</v>
      </c>
      <c r="P746" s="3194"/>
      <c r="Q746" s="3192">
        <f t="shared" si="123"/>
        <v>0</v>
      </c>
      <c r="R746" s="3192">
        <f t="shared" si="124"/>
        <v>0</v>
      </c>
      <c r="S746" s="898">
        <f t="shared" si="115"/>
        <v>0</v>
      </c>
      <c r="T746" s="3190">
        <f>面积表!A741</f>
        <v>0</v>
      </c>
    </row>
    <row r="747" spans="1:20">
      <c r="A747" s="3169"/>
      <c r="B747" s="52"/>
      <c r="C747" s="3192">
        <f t="shared" si="116"/>
        <v>1</v>
      </c>
      <c r="D747" s="2559"/>
      <c r="E747" s="3192">
        <f t="shared" si="117"/>
        <v>0.02</v>
      </c>
      <c r="F747" s="2559"/>
      <c r="G747" s="3192">
        <f t="shared" si="118"/>
        <v>0</v>
      </c>
      <c r="H747" s="631"/>
      <c r="I747" s="3192">
        <f t="shared" si="119"/>
        <v>1</v>
      </c>
      <c r="J747" s="631"/>
      <c r="K747" s="3192">
        <f t="shared" si="120"/>
        <v>1</v>
      </c>
      <c r="L747" s="631"/>
      <c r="M747" s="3192">
        <f t="shared" si="121"/>
        <v>1</v>
      </c>
      <c r="N747" s="631"/>
      <c r="O747" s="3192">
        <f t="shared" si="122"/>
        <v>1</v>
      </c>
      <c r="P747" s="3194"/>
      <c r="Q747" s="3192">
        <f t="shared" si="123"/>
        <v>0</v>
      </c>
      <c r="R747" s="3192">
        <f t="shared" si="124"/>
        <v>0</v>
      </c>
      <c r="S747" s="898">
        <f t="shared" si="115"/>
        <v>0</v>
      </c>
      <c r="T747" s="3190">
        <f>面积表!A742</f>
        <v>0</v>
      </c>
    </row>
    <row r="748" spans="1:20">
      <c r="A748" s="3169"/>
      <c r="B748" s="52"/>
      <c r="C748" s="3192">
        <f t="shared" si="116"/>
        <v>1</v>
      </c>
      <c r="D748" s="2559"/>
      <c r="E748" s="3192">
        <f t="shared" si="117"/>
        <v>0.02</v>
      </c>
      <c r="F748" s="2559"/>
      <c r="G748" s="3192">
        <f t="shared" si="118"/>
        <v>0</v>
      </c>
      <c r="H748" s="631"/>
      <c r="I748" s="3192">
        <f t="shared" si="119"/>
        <v>1</v>
      </c>
      <c r="J748" s="631"/>
      <c r="K748" s="3192">
        <f t="shared" si="120"/>
        <v>1</v>
      </c>
      <c r="L748" s="631"/>
      <c r="M748" s="3192">
        <f t="shared" si="121"/>
        <v>1</v>
      </c>
      <c r="N748" s="631"/>
      <c r="O748" s="3192">
        <f t="shared" si="122"/>
        <v>1</v>
      </c>
      <c r="P748" s="3194"/>
      <c r="Q748" s="3192">
        <f t="shared" si="123"/>
        <v>0</v>
      </c>
      <c r="R748" s="3192">
        <f t="shared" si="124"/>
        <v>0</v>
      </c>
      <c r="S748" s="898">
        <f t="shared" si="115"/>
        <v>0</v>
      </c>
      <c r="T748" s="3190">
        <f>面积表!A743</f>
        <v>0</v>
      </c>
    </row>
    <row r="749" spans="1:20">
      <c r="A749" s="3169"/>
      <c r="B749" s="52"/>
      <c r="C749" s="3192">
        <f t="shared" si="116"/>
        <v>1</v>
      </c>
      <c r="D749" s="2559"/>
      <c r="E749" s="3192">
        <f t="shared" si="117"/>
        <v>0.02</v>
      </c>
      <c r="F749" s="2559"/>
      <c r="G749" s="3192">
        <f t="shared" si="118"/>
        <v>0</v>
      </c>
      <c r="H749" s="631"/>
      <c r="I749" s="3192">
        <f t="shared" si="119"/>
        <v>1</v>
      </c>
      <c r="J749" s="631"/>
      <c r="K749" s="3192">
        <f t="shared" si="120"/>
        <v>1</v>
      </c>
      <c r="L749" s="631"/>
      <c r="M749" s="3192">
        <f t="shared" si="121"/>
        <v>1</v>
      </c>
      <c r="N749" s="631"/>
      <c r="O749" s="3192">
        <f t="shared" si="122"/>
        <v>1</v>
      </c>
      <c r="P749" s="3194"/>
      <c r="Q749" s="3192">
        <f t="shared" si="123"/>
        <v>0</v>
      </c>
      <c r="R749" s="3192">
        <f t="shared" si="124"/>
        <v>0</v>
      </c>
      <c r="S749" s="898">
        <f t="shared" si="115"/>
        <v>0</v>
      </c>
      <c r="T749" s="3190">
        <f>面积表!A744</f>
        <v>0</v>
      </c>
    </row>
    <row r="750" spans="1:20">
      <c r="A750" s="3169"/>
      <c r="B750" s="52"/>
      <c r="C750" s="3192">
        <f t="shared" si="116"/>
        <v>1</v>
      </c>
      <c r="D750" s="2559"/>
      <c r="E750" s="3192">
        <f t="shared" si="117"/>
        <v>0.02</v>
      </c>
      <c r="F750" s="2559"/>
      <c r="G750" s="3192">
        <f t="shared" si="118"/>
        <v>0</v>
      </c>
      <c r="H750" s="631"/>
      <c r="I750" s="3192">
        <f t="shared" si="119"/>
        <v>1</v>
      </c>
      <c r="J750" s="631"/>
      <c r="K750" s="3192">
        <f t="shared" si="120"/>
        <v>1</v>
      </c>
      <c r="L750" s="631"/>
      <c r="M750" s="3192">
        <f t="shared" si="121"/>
        <v>1</v>
      </c>
      <c r="N750" s="631"/>
      <c r="O750" s="3192">
        <f t="shared" si="122"/>
        <v>1</v>
      </c>
      <c r="P750" s="3194"/>
      <c r="Q750" s="3192">
        <f t="shared" si="123"/>
        <v>0</v>
      </c>
      <c r="R750" s="3192">
        <f t="shared" si="124"/>
        <v>0</v>
      </c>
      <c r="S750" s="898">
        <f t="shared" si="115"/>
        <v>0</v>
      </c>
      <c r="T750" s="3190">
        <f>面积表!A745</f>
        <v>0</v>
      </c>
    </row>
    <row r="751" spans="1:20">
      <c r="A751" s="3169"/>
      <c r="B751" s="52"/>
      <c r="C751" s="3192">
        <f t="shared" si="116"/>
        <v>1</v>
      </c>
      <c r="D751" s="2559"/>
      <c r="E751" s="3192">
        <f t="shared" si="117"/>
        <v>0.02</v>
      </c>
      <c r="F751" s="2559"/>
      <c r="G751" s="3192">
        <f t="shared" si="118"/>
        <v>0</v>
      </c>
      <c r="H751" s="631"/>
      <c r="I751" s="3192">
        <f t="shared" si="119"/>
        <v>1</v>
      </c>
      <c r="J751" s="631"/>
      <c r="K751" s="3192">
        <f t="shared" si="120"/>
        <v>1</v>
      </c>
      <c r="L751" s="631"/>
      <c r="M751" s="3192">
        <f t="shared" si="121"/>
        <v>1</v>
      </c>
      <c r="N751" s="631"/>
      <c r="O751" s="3192">
        <f t="shared" si="122"/>
        <v>1</v>
      </c>
      <c r="P751" s="3194"/>
      <c r="Q751" s="3192">
        <f t="shared" si="123"/>
        <v>0</v>
      </c>
      <c r="R751" s="3192">
        <f t="shared" si="124"/>
        <v>0</v>
      </c>
      <c r="S751" s="898">
        <f t="shared" si="115"/>
        <v>0</v>
      </c>
      <c r="T751" s="3190">
        <f>面积表!A746</f>
        <v>0</v>
      </c>
    </row>
    <row r="752" spans="1:20">
      <c r="A752" s="3169"/>
      <c r="B752" s="52"/>
      <c r="C752" s="3192">
        <f t="shared" si="116"/>
        <v>1</v>
      </c>
      <c r="D752" s="2559"/>
      <c r="E752" s="3192">
        <f t="shared" si="117"/>
        <v>0.02</v>
      </c>
      <c r="F752" s="2559"/>
      <c r="G752" s="3192">
        <f t="shared" si="118"/>
        <v>0</v>
      </c>
      <c r="H752" s="631"/>
      <c r="I752" s="3192">
        <f t="shared" si="119"/>
        <v>1</v>
      </c>
      <c r="J752" s="631"/>
      <c r="K752" s="3192">
        <f t="shared" si="120"/>
        <v>1</v>
      </c>
      <c r="L752" s="631"/>
      <c r="M752" s="3192">
        <f t="shared" si="121"/>
        <v>1</v>
      </c>
      <c r="N752" s="631"/>
      <c r="O752" s="3192">
        <f t="shared" si="122"/>
        <v>1</v>
      </c>
      <c r="P752" s="3194"/>
      <c r="Q752" s="3192">
        <f t="shared" si="123"/>
        <v>0</v>
      </c>
      <c r="R752" s="3192">
        <f t="shared" si="124"/>
        <v>0</v>
      </c>
      <c r="S752" s="898">
        <f t="shared" si="115"/>
        <v>0</v>
      </c>
      <c r="T752" s="3190">
        <f>面积表!A747</f>
        <v>0</v>
      </c>
    </row>
    <row r="753" spans="1:20">
      <c r="A753" s="3169"/>
      <c r="B753" s="52"/>
      <c r="C753" s="3192">
        <f t="shared" si="116"/>
        <v>1</v>
      </c>
      <c r="D753" s="2559"/>
      <c r="E753" s="3192">
        <f t="shared" si="117"/>
        <v>0.02</v>
      </c>
      <c r="F753" s="2559"/>
      <c r="G753" s="3192">
        <f t="shared" si="118"/>
        <v>0</v>
      </c>
      <c r="H753" s="631"/>
      <c r="I753" s="3192">
        <f t="shared" si="119"/>
        <v>1</v>
      </c>
      <c r="J753" s="631"/>
      <c r="K753" s="3192">
        <f t="shared" si="120"/>
        <v>1</v>
      </c>
      <c r="L753" s="631"/>
      <c r="M753" s="3192">
        <f t="shared" si="121"/>
        <v>1</v>
      </c>
      <c r="N753" s="631"/>
      <c r="O753" s="3192">
        <f t="shared" si="122"/>
        <v>1</v>
      </c>
      <c r="P753" s="3194"/>
      <c r="Q753" s="3192">
        <f t="shared" si="123"/>
        <v>0</v>
      </c>
      <c r="R753" s="3192">
        <f t="shared" si="124"/>
        <v>0</v>
      </c>
      <c r="S753" s="898">
        <f t="shared" si="115"/>
        <v>0</v>
      </c>
      <c r="T753" s="3190">
        <f>面积表!A748</f>
        <v>0</v>
      </c>
    </row>
    <row r="754" spans="1:20">
      <c r="A754" s="3169"/>
      <c r="B754" s="52"/>
      <c r="C754" s="3192">
        <f t="shared" si="116"/>
        <v>1</v>
      </c>
      <c r="D754" s="2559"/>
      <c r="E754" s="3192">
        <f t="shared" si="117"/>
        <v>0.02</v>
      </c>
      <c r="F754" s="2559"/>
      <c r="G754" s="3192">
        <f t="shared" si="118"/>
        <v>0</v>
      </c>
      <c r="H754" s="631"/>
      <c r="I754" s="3192">
        <f t="shared" si="119"/>
        <v>1</v>
      </c>
      <c r="J754" s="631"/>
      <c r="K754" s="3192">
        <f t="shared" si="120"/>
        <v>1</v>
      </c>
      <c r="L754" s="631"/>
      <c r="M754" s="3192">
        <f t="shared" si="121"/>
        <v>1</v>
      </c>
      <c r="N754" s="631"/>
      <c r="O754" s="3192">
        <f t="shared" si="122"/>
        <v>1</v>
      </c>
      <c r="P754" s="3194"/>
      <c r="Q754" s="3192">
        <f t="shared" si="123"/>
        <v>0</v>
      </c>
      <c r="R754" s="3192">
        <f t="shared" si="124"/>
        <v>0</v>
      </c>
      <c r="S754" s="898">
        <f t="shared" si="115"/>
        <v>0</v>
      </c>
      <c r="T754" s="3190">
        <f>面积表!A749</f>
        <v>0</v>
      </c>
    </row>
    <row r="755" spans="1:20">
      <c r="A755" s="3169"/>
      <c r="B755" s="52"/>
      <c r="C755" s="3192">
        <f t="shared" si="116"/>
        <v>1</v>
      </c>
      <c r="D755" s="2559"/>
      <c r="E755" s="3192">
        <f t="shared" si="117"/>
        <v>0.02</v>
      </c>
      <c r="F755" s="2559"/>
      <c r="G755" s="3192">
        <f t="shared" si="118"/>
        <v>0</v>
      </c>
      <c r="H755" s="631"/>
      <c r="I755" s="3192">
        <f t="shared" si="119"/>
        <v>1</v>
      </c>
      <c r="J755" s="631"/>
      <c r="K755" s="3192">
        <f t="shared" si="120"/>
        <v>1</v>
      </c>
      <c r="L755" s="631"/>
      <c r="M755" s="3192">
        <f t="shared" si="121"/>
        <v>1</v>
      </c>
      <c r="N755" s="631"/>
      <c r="O755" s="3192">
        <f t="shared" si="122"/>
        <v>1</v>
      </c>
      <c r="P755" s="3194"/>
      <c r="Q755" s="3192">
        <f t="shared" si="123"/>
        <v>0</v>
      </c>
      <c r="R755" s="3192">
        <f t="shared" si="124"/>
        <v>0</v>
      </c>
      <c r="S755" s="898">
        <f t="shared" si="115"/>
        <v>0</v>
      </c>
      <c r="T755" s="3190">
        <f>面积表!A750</f>
        <v>0</v>
      </c>
    </row>
    <row r="756" spans="1:20">
      <c r="A756" s="3169"/>
      <c r="B756" s="52"/>
      <c r="C756" s="3192">
        <f t="shared" si="116"/>
        <v>1</v>
      </c>
      <c r="D756" s="2559"/>
      <c r="E756" s="3192">
        <f t="shared" si="117"/>
        <v>0.02</v>
      </c>
      <c r="F756" s="2559"/>
      <c r="G756" s="3192">
        <f t="shared" si="118"/>
        <v>0</v>
      </c>
      <c r="H756" s="631"/>
      <c r="I756" s="3192">
        <f t="shared" si="119"/>
        <v>1</v>
      </c>
      <c r="J756" s="631"/>
      <c r="K756" s="3192">
        <f t="shared" si="120"/>
        <v>1</v>
      </c>
      <c r="L756" s="631"/>
      <c r="M756" s="3192">
        <f t="shared" si="121"/>
        <v>1</v>
      </c>
      <c r="N756" s="631"/>
      <c r="O756" s="3192">
        <f t="shared" si="122"/>
        <v>1</v>
      </c>
      <c r="P756" s="3194"/>
      <c r="Q756" s="3192">
        <f t="shared" si="123"/>
        <v>0</v>
      </c>
      <c r="R756" s="3192">
        <f t="shared" si="124"/>
        <v>0</v>
      </c>
      <c r="S756" s="898">
        <f t="shared" si="115"/>
        <v>0</v>
      </c>
      <c r="T756" s="3190">
        <f>面积表!A751</f>
        <v>0</v>
      </c>
    </row>
    <row r="757" spans="1:20">
      <c r="A757" s="3169"/>
      <c r="B757" s="52"/>
      <c r="C757" s="3192">
        <f t="shared" si="116"/>
        <v>1</v>
      </c>
      <c r="D757" s="2559"/>
      <c r="E757" s="3192">
        <f t="shared" si="117"/>
        <v>0.02</v>
      </c>
      <c r="F757" s="2559"/>
      <c r="G757" s="3192">
        <f t="shared" si="118"/>
        <v>0</v>
      </c>
      <c r="H757" s="631"/>
      <c r="I757" s="3192">
        <f t="shared" si="119"/>
        <v>1</v>
      </c>
      <c r="J757" s="631"/>
      <c r="K757" s="3192">
        <f t="shared" si="120"/>
        <v>1</v>
      </c>
      <c r="L757" s="631"/>
      <c r="M757" s="3192">
        <f t="shared" si="121"/>
        <v>1</v>
      </c>
      <c r="N757" s="631"/>
      <c r="O757" s="3192">
        <f t="shared" si="122"/>
        <v>1</v>
      </c>
      <c r="P757" s="3194"/>
      <c r="Q757" s="3192">
        <f t="shared" si="123"/>
        <v>0</v>
      </c>
      <c r="R757" s="3192">
        <f t="shared" si="124"/>
        <v>0</v>
      </c>
      <c r="S757" s="898">
        <f t="shared" si="115"/>
        <v>0</v>
      </c>
      <c r="T757" s="3190">
        <f>面积表!A752</f>
        <v>0</v>
      </c>
    </row>
    <row r="758" spans="1:20">
      <c r="A758" s="3169"/>
      <c r="B758" s="52"/>
      <c r="C758" s="3192">
        <f t="shared" si="116"/>
        <v>1</v>
      </c>
      <c r="D758" s="2559"/>
      <c r="E758" s="3192">
        <f t="shared" si="117"/>
        <v>0.02</v>
      </c>
      <c r="F758" s="2559"/>
      <c r="G758" s="3192">
        <f t="shared" si="118"/>
        <v>0</v>
      </c>
      <c r="H758" s="631"/>
      <c r="I758" s="3192">
        <f t="shared" si="119"/>
        <v>1</v>
      </c>
      <c r="J758" s="631"/>
      <c r="K758" s="3192">
        <f t="shared" si="120"/>
        <v>1</v>
      </c>
      <c r="L758" s="631"/>
      <c r="M758" s="3192">
        <f t="shared" si="121"/>
        <v>1</v>
      </c>
      <c r="N758" s="631"/>
      <c r="O758" s="3192">
        <f t="shared" si="122"/>
        <v>1</v>
      </c>
      <c r="P758" s="3194"/>
      <c r="Q758" s="3192">
        <f t="shared" si="123"/>
        <v>0</v>
      </c>
      <c r="R758" s="3192">
        <f t="shared" si="124"/>
        <v>0</v>
      </c>
      <c r="S758" s="898">
        <f t="shared" si="115"/>
        <v>0</v>
      </c>
      <c r="T758" s="3190">
        <f>面积表!A753</f>
        <v>0</v>
      </c>
    </row>
    <row r="759" spans="1:20">
      <c r="A759" s="3169"/>
      <c r="B759" s="52"/>
      <c r="C759" s="3192">
        <f t="shared" si="116"/>
        <v>1</v>
      </c>
      <c r="D759" s="2559"/>
      <c r="E759" s="3192">
        <f t="shared" si="117"/>
        <v>0.02</v>
      </c>
      <c r="F759" s="2559"/>
      <c r="G759" s="3192">
        <f t="shared" si="118"/>
        <v>0</v>
      </c>
      <c r="H759" s="631"/>
      <c r="I759" s="3192">
        <f t="shared" si="119"/>
        <v>1</v>
      </c>
      <c r="J759" s="631"/>
      <c r="K759" s="3192">
        <f t="shared" si="120"/>
        <v>1</v>
      </c>
      <c r="L759" s="631"/>
      <c r="M759" s="3192">
        <f t="shared" si="121"/>
        <v>1</v>
      </c>
      <c r="N759" s="631"/>
      <c r="O759" s="3192">
        <f t="shared" si="122"/>
        <v>1</v>
      </c>
      <c r="P759" s="3194"/>
      <c r="Q759" s="3192">
        <f t="shared" si="123"/>
        <v>0</v>
      </c>
      <c r="R759" s="3192">
        <f t="shared" si="124"/>
        <v>0</v>
      </c>
      <c r="S759" s="898">
        <f t="shared" si="115"/>
        <v>0</v>
      </c>
      <c r="T759" s="3190">
        <f>面积表!A754</f>
        <v>0</v>
      </c>
    </row>
    <row r="760" spans="1:20">
      <c r="A760" s="3169"/>
      <c r="B760" s="52"/>
      <c r="C760" s="3192">
        <f t="shared" si="116"/>
        <v>1</v>
      </c>
      <c r="D760" s="2559"/>
      <c r="E760" s="3192">
        <f t="shared" si="117"/>
        <v>0.02</v>
      </c>
      <c r="F760" s="2559"/>
      <c r="G760" s="3192">
        <f t="shared" si="118"/>
        <v>0</v>
      </c>
      <c r="H760" s="631"/>
      <c r="I760" s="3192">
        <f t="shared" si="119"/>
        <v>1</v>
      </c>
      <c r="J760" s="631"/>
      <c r="K760" s="3192">
        <f t="shared" si="120"/>
        <v>1</v>
      </c>
      <c r="L760" s="631"/>
      <c r="M760" s="3192">
        <f t="shared" si="121"/>
        <v>1</v>
      </c>
      <c r="N760" s="631"/>
      <c r="O760" s="3192">
        <f t="shared" si="122"/>
        <v>1</v>
      </c>
      <c r="P760" s="3194"/>
      <c r="Q760" s="3192">
        <f t="shared" si="123"/>
        <v>0</v>
      </c>
      <c r="R760" s="3192">
        <f t="shared" si="124"/>
        <v>0</v>
      </c>
      <c r="S760" s="898">
        <f t="shared" si="115"/>
        <v>0</v>
      </c>
      <c r="T760" s="3190">
        <f>面积表!A755</f>
        <v>0</v>
      </c>
    </row>
    <row r="761" spans="1:20">
      <c r="A761" s="3169"/>
      <c r="B761" s="52"/>
      <c r="C761" s="3192">
        <f t="shared" si="116"/>
        <v>1</v>
      </c>
      <c r="D761" s="2559"/>
      <c r="E761" s="3192">
        <f t="shared" si="117"/>
        <v>0.02</v>
      </c>
      <c r="F761" s="2559"/>
      <c r="G761" s="3192">
        <f t="shared" si="118"/>
        <v>0</v>
      </c>
      <c r="H761" s="631"/>
      <c r="I761" s="3192">
        <f t="shared" si="119"/>
        <v>1</v>
      </c>
      <c r="J761" s="631"/>
      <c r="K761" s="3192">
        <f t="shared" si="120"/>
        <v>1</v>
      </c>
      <c r="L761" s="631"/>
      <c r="M761" s="3192">
        <f t="shared" si="121"/>
        <v>1</v>
      </c>
      <c r="N761" s="631"/>
      <c r="O761" s="3192">
        <f t="shared" si="122"/>
        <v>1</v>
      </c>
      <c r="P761" s="3194"/>
      <c r="Q761" s="3192">
        <f t="shared" si="123"/>
        <v>0</v>
      </c>
      <c r="R761" s="3192">
        <f t="shared" si="124"/>
        <v>0</v>
      </c>
      <c r="S761" s="898">
        <f t="shared" si="115"/>
        <v>0</v>
      </c>
      <c r="T761" s="3190">
        <f>面积表!A756</f>
        <v>0</v>
      </c>
    </row>
    <row r="762" spans="1:20">
      <c r="A762" s="3169"/>
      <c r="B762" s="52"/>
      <c r="C762" s="3192">
        <f t="shared" si="116"/>
        <v>1</v>
      </c>
      <c r="D762" s="2559"/>
      <c r="E762" s="3192">
        <f t="shared" si="117"/>
        <v>0.02</v>
      </c>
      <c r="F762" s="2559"/>
      <c r="G762" s="3192">
        <f t="shared" si="118"/>
        <v>0</v>
      </c>
      <c r="H762" s="631"/>
      <c r="I762" s="3192">
        <f t="shared" si="119"/>
        <v>1</v>
      </c>
      <c r="J762" s="631"/>
      <c r="K762" s="3192">
        <f t="shared" si="120"/>
        <v>1</v>
      </c>
      <c r="L762" s="631"/>
      <c r="M762" s="3192">
        <f t="shared" si="121"/>
        <v>1</v>
      </c>
      <c r="N762" s="631"/>
      <c r="O762" s="3192">
        <f t="shared" si="122"/>
        <v>1</v>
      </c>
      <c r="P762" s="3194"/>
      <c r="Q762" s="3192">
        <f t="shared" si="123"/>
        <v>0</v>
      </c>
      <c r="R762" s="3192">
        <f t="shared" si="124"/>
        <v>0</v>
      </c>
      <c r="S762" s="898">
        <f t="shared" si="115"/>
        <v>0</v>
      </c>
      <c r="T762" s="3190">
        <f>面积表!A757</f>
        <v>0</v>
      </c>
    </row>
    <row r="763" spans="1:20">
      <c r="A763" s="3169"/>
      <c r="B763" s="52"/>
      <c r="C763" s="3192">
        <f t="shared" si="116"/>
        <v>1</v>
      </c>
      <c r="D763" s="2559"/>
      <c r="E763" s="3192">
        <f t="shared" si="117"/>
        <v>0.02</v>
      </c>
      <c r="F763" s="2559"/>
      <c r="G763" s="3192">
        <f t="shared" si="118"/>
        <v>0</v>
      </c>
      <c r="H763" s="631"/>
      <c r="I763" s="3192">
        <f t="shared" si="119"/>
        <v>1</v>
      </c>
      <c r="J763" s="631"/>
      <c r="K763" s="3192">
        <f t="shared" si="120"/>
        <v>1</v>
      </c>
      <c r="L763" s="631"/>
      <c r="M763" s="3192">
        <f t="shared" si="121"/>
        <v>1</v>
      </c>
      <c r="N763" s="631"/>
      <c r="O763" s="3192">
        <f t="shared" si="122"/>
        <v>1</v>
      </c>
      <c r="P763" s="3194"/>
      <c r="Q763" s="3192">
        <f t="shared" si="123"/>
        <v>0</v>
      </c>
      <c r="R763" s="3192">
        <f t="shared" si="124"/>
        <v>0</v>
      </c>
      <c r="S763" s="898">
        <f t="shared" si="115"/>
        <v>0</v>
      </c>
      <c r="T763" s="3190">
        <f>面积表!A758</f>
        <v>0</v>
      </c>
    </row>
    <row r="764" spans="1:20">
      <c r="A764" s="3169"/>
      <c r="B764" s="52"/>
      <c r="C764" s="3192">
        <f t="shared" si="116"/>
        <v>1</v>
      </c>
      <c r="D764" s="2559"/>
      <c r="E764" s="3192">
        <f t="shared" si="117"/>
        <v>0.02</v>
      </c>
      <c r="F764" s="2559"/>
      <c r="G764" s="3192">
        <f t="shared" si="118"/>
        <v>0</v>
      </c>
      <c r="H764" s="631"/>
      <c r="I764" s="3192">
        <f t="shared" si="119"/>
        <v>1</v>
      </c>
      <c r="J764" s="631"/>
      <c r="K764" s="3192">
        <f t="shared" si="120"/>
        <v>1</v>
      </c>
      <c r="L764" s="631"/>
      <c r="M764" s="3192">
        <f t="shared" si="121"/>
        <v>1</v>
      </c>
      <c r="N764" s="631"/>
      <c r="O764" s="3192">
        <f t="shared" si="122"/>
        <v>1</v>
      </c>
      <c r="P764" s="3194"/>
      <c r="Q764" s="3192">
        <f t="shared" si="123"/>
        <v>0</v>
      </c>
      <c r="R764" s="3192">
        <f t="shared" si="124"/>
        <v>0</v>
      </c>
      <c r="S764" s="898">
        <f t="shared" si="115"/>
        <v>0</v>
      </c>
      <c r="T764" s="3190">
        <f>面积表!A759</f>
        <v>0</v>
      </c>
    </row>
    <row r="765" spans="1:20">
      <c r="A765" s="3169"/>
      <c r="B765" s="52"/>
      <c r="C765" s="3192">
        <f t="shared" si="116"/>
        <v>1</v>
      </c>
      <c r="D765" s="2559"/>
      <c r="E765" s="3192">
        <f t="shared" si="117"/>
        <v>0.02</v>
      </c>
      <c r="F765" s="2559"/>
      <c r="G765" s="3192">
        <f t="shared" si="118"/>
        <v>0</v>
      </c>
      <c r="H765" s="631"/>
      <c r="I765" s="3192">
        <f t="shared" si="119"/>
        <v>1</v>
      </c>
      <c r="J765" s="631"/>
      <c r="K765" s="3192">
        <f t="shared" si="120"/>
        <v>1</v>
      </c>
      <c r="L765" s="631"/>
      <c r="M765" s="3192">
        <f t="shared" si="121"/>
        <v>1</v>
      </c>
      <c r="N765" s="631"/>
      <c r="O765" s="3192">
        <f t="shared" si="122"/>
        <v>1</v>
      </c>
      <c r="P765" s="3194"/>
      <c r="Q765" s="3192">
        <f t="shared" si="123"/>
        <v>0</v>
      </c>
      <c r="R765" s="3192">
        <f t="shared" si="124"/>
        <v>0</v>
      </c>
      <c r="S765" s="898">
        <f t="shared" si="115"/>
        <v>0</v>
      </c>
      <c r="T765" s="3190">
        <f>面积表!A760</f>
        <v>0</v>
      </c>
    </row>
    <row r="766" spans="1:20">
      <c r="A766" s="3169"/>
      <c r="B766" s="52"/>
      <c r="C766" s="3192">
        <f t="shared" si="116"/>
        <v>1</v>
      </c>
      <c r="D766" s="2559"/>
      <c r="E766" s="3192">
        <f t="shared" si="117"/>
        <v>0.02</v>
      </c>
      <c r="F766" s="2559"/>
      <c r="G766" s="3192">
        <f t="shared" si="118"/>
        <v>0</v>
      </c>
      <c r="H766" s="631"/>
      <c r="I766" s="3192">
        <f t="shared" si="119"/>
        <v>1</v>
      </c>
      <c r="J766" s="631"/>
      <c r="K766" s="3192">
        <f t="shared" si="120"/>
        <v>1</v>
      </c>
      <c r="L766" s="631"/>
      <c r="M766" s="3192">
        <f t="shared" si="121"/>
        <v>1</v>
      </c>
      <c r="N766" s="631"/>
      <c r="O766" s="3192">
        <f t="shared" si="122"/>
        <v>1</v>
      </c>
      <c r="P766" s="3194"/>
      <c r="Q766" s="3192">
        <f t="shared" si="123"/>
        <v>0</v>
      </c>
      <c r="R766" s="3192">
        <f t="shared" si="124"/>
        <v>0</v>
      </c>
      <c r="S766" s="898">
        <f t="shared" si="115"/>
        <v>0</v>
      </c>
      <c r="T766" s="3190">
        <f>面积表!A761</f>
        <v>0</v>
      </c>
    </row>
    <row r="767" spans="1:20">
      <c r="A767" s="3169"/>
      <c r="B767" s="52"/>
      <c r="C767" s="3192">
        <f t="shared" si="116"/>
        <v>1</v>
      </c>
      <c r="D767" s="2559"/>
      <c r="E767" s="3192">
        <f t="shared" si="117"/>
        <v>0.02</v>
      </c>
      <c r="F767" s="2559"/>
      <c r="G767" s="3192">
        <f t="shared" si="118"/>
        <v>0</v>
      </c>
      <c r="H767" s="631"/>
      <c r="I767" s="3192">
        <f t="shared" si="119"/>
        <v>1</v>
      </c>
      <c r="J767" s="631"/>
      <c r="K767" s="3192">
        <f t="shared" si="120"/>
        <v>1</v>
      </c>
      <c r="L767" s="631"/>
      <c r="M767" s="3192">
        <f t="shared" si="121"/>
        <v>1</v>
      </c>
      <c r="N767" s="631"/>
      <c r="O767" s="3192">
        <f t="shared" si="122"/>
        <v>1</v>
      </c>
      <c r="P767" s="3194"/>
      <c r="Q767" s="3192">
        <f t="shared" si="123"/>
        <v>0</v>
      </c>
      <c r="R767" s="3192">
        <f t="shared" si="124"/>
        <v>0</v>
      </c>
      <c r="S767" s="898">
        <f t="shared" si="115"/>
        <v>0</v>
      </c>
      <c r="T767" s="3190">
        <f>面积表!A762</f>
        <v>0</v>
      </c>
    </row>
    <row r="768" spans="1:20">
      <c r="A768" s="3169"/>
      <c r="B768" s="52"/>
      <c r="C768" s="3192">
        <f t="shared" si="116"/>
        <v>1</v>
      </c>
      <c r="D768" s="2559"/>
      <c r="E768" s="3192">
        <f t="shared" si="117"/>
        <v>0.02</v>
      </c>
      <c r="F768" s="2559"/>
      <c r="G768" s="3192">
        <f t="shared" si="118"/>
        <v>0</v>
      </c>
      <c r="H768" s="631"/>
      <c r="I768" s="3192">
        <f t="shared" si="119"/>
        <v>1</v>
      </c>
      <c r="J768" s="631"/>
      <c r="K768" s="3192">
        <f t="shared" si="120"/>
        <v>1</v>
      </c>
      <c r="L768" s="631"/>
      <c r="M768" s="3192">
        <f t="shared" si="121"/>
        <v>1</v>
      </c>
      <c r="N768" s="631"/>
      <c r="O768" s="3192">
        <f t="shared" si="122"/>
        <v>1</v>
      </c>
      <c r="P768" s="3194"/>
      <c r="Q768" s="3192">
        <f t="shared" si="123"/>
        <v>0</v>
      </c>
      <c r="R768" s="3192">
        <f t="shared" si="124"/>
        <v>0</v>
      </c>
      <c r="S768" s="898">
        <f t="shared" si="115"/>
        <v>0</v>
      </c>
      <c r="T768" s="3190">
        <f>面积表!A763</f>
        <v>0</v>
      </c>
    </row>
    <row r="769" spans="1:20">
      <c r="A769" s="3169"/>
      <c r="B769" s="52"/>
      <c r="C769" s="3192">
        <f t="shared" si="116"/>
        <v>1</v>
      </c>
      <c r="D769" s="2559"/>
      <c r="E769" s="3192">
        <f t="shared" si="117"/>
        <v>0.02</v>
      </c>
      <c r="F769" s="2559"/>
      <c r="G769" s="3192">
        <f t="shared" si="118"/>
        <v>0</v>
      </c>
      <c r="H769" s="631"/>
      <c r="I769" s="3192">
        <f t="shared" si="119"/>
        <v>1</v>
      </c>
      <c r="J769" s="631"/>
      <c r="K769" s="3192">
        <f t="shared" si="120"/>
        <v>1</v>
      </c>
      <c r="L769" s="631"/>
      <c r="M769" s="3192">
        <f t="shared" si="121"/>
        <v>1</v>
      </c>
      <c r="N769" s="631"/>
      <c r="O769" s="3192">
        <f t="shared" si="122"/>
        <v>1</v>
      </c>
      <c r="P769" s="3194"/>
      <c r="Q769" s="3192">
        <f t="shared" si="123"/>
        <v>0</v>
      </c>
      <c r="R769" s="3192">
        <f t="shared" si="124"/>
        <v>0</v>
      </c>
      <c r="S769" s="898">
        <f t="shared" si="115"/>
        <v>0</v>
      </c>
      <c r="T769" s="3190">
        <f>面积表!A764</f>
        <v>0</v>
      </c>
    </row>
    <row r="770" spans="1:20">
      <c r="A770" s="3169"/>
      <c r="B770" s="52"/>
      <c r="C770" s="3192">
        <f t="shared" si="116"/>
        <v>1</v>
      </c>
      <c r="D770" s="2559"/>
      <c r="E770" s="3192">
        <f t="shared" si="117"/>
        <v>0.02</v>
      </c>
      <c r="F770" s="2559"/>
      <c r="G770" s="3192">
        <f t="shared" si="118"/>
        <v>0</v>
      </c>
      <c r="H770" s="631"/>
      <c r="I770" s="3192">
        <f t="shared" si="119"/>
        <v>1</v>
      </c>
      <c r="J770" s="631"/>
      <c r="K770" s="3192">
        <f t="shared" si="120"/>
        <v>1</v>
      </c>
      <c r="L770" s="631"/>
      <c r="M770" s="3192">
        <f t="shared" si="121"/>
        <v>1</v>
      </c>
      <c r="N770" s="631"/>
      <c r="O770" s="3192">
        <f t="shared" si="122"/>
        <v>1</v>
      </c>
      <c r="P770" s="3194"/>
      <c r="Q770" s="3192">
        <f t="shared" si="123"/>
        <v>0</v>
      </c>
      <c r="R770" s="3192">
        <f t="shared" si="124"/>
        <v>0</v>
      </c>
      <c r="S770" s="898">
        <f t="shared" si="115"/>
        <v>0</v>
      </c>
      <c r="T770" s="3190">
        <f>面积表!A765</f>
        <v>0</v>
      </c>
    </row>
    <row r="771" spans="1:20">
      <c r="A771" s="3169"/>
      <c r="B771" s="52"/>
      <c r="C771" s="3192">
        <f t="shared" si="116"/>
        <v>1</v>
      </c>
      <c r="D771" s="2559"/>
      <c r="E771" s="3192">
        <f t="shared" si="117"/>
        <v>0.02</v>
      </c>
      <c r="F771" s="2559"/>
      <c r="G771" s="3192">
        <f t="shared" si="118"/>
        <v>0</v>
      </c>
      <c r="H771" s="631"/>
      <c r="I771" s="3192">
        <f t="shared" si="119"/>
        <v>1</v>
      </c>
      <c r="J771" s="631"/>
      <c r="K771" s="3192">
        <f t="shared" si="120"/>
        <v>1</v>
      </c>
      <c r="L771" s="631"/>
      <c r="M771" s="3192">
        <f t="shared" si="121"/>
        <v>1</v>
      </c>
      <c r="N771" s="631"/>
      <c r="O771" s="3192">
        <f t="shared" si="122"/>
        <v>1</v>
      </c>
      <c r="P771" s="3194"/>
      <c r="Q771" s="3192">
        <f t="shared" si="123"/>
        <v>0</v>
      </c>
      <c r="R771" s="3192">
        <f t="shared" si="124"/>
        <v>0</v>
      </c>
      <c r="S771" s="898">
        <f t="shared" si="115"/>
        <v>0</v>
      </c>
      <c r="T771" s="3190">
        <f>面积表!A766</f>
        <v>0</v>
      </c>
    </row>
    <row r="772" spans="1:20">
      <c r="A772" s="3169"/>
      <c r="B772" s="52"/>
      <c r="C772" s="3192">
        <f t="shared" si="116"/>
        <v>1</v>
      </c>
      <c r="D772" s="2559"/>
      <c r="E772" s="3192">
        <f t="shared" si="117"/>
        <v>0.02</v>
      </c>
      <c r="F772" s="2559"/>
      <c r="G772" s="3192">
        <f t="shared" si="118"/>
        <v>0</v>
      </c>
      <c r="H772" s="631"/>
      <c r="I772" s="3192">
        <f t="shared" si="119"/>
        <v>1</v>
      </c>
      <c r="J772" s="631"/>
      <c r="K772" s="3192">
        <f t="shared" si="120"/>
        <v>1</v>
      </c>
      <c r="L772" s="631"/>
      <c r="M772" s="3192">
        <f t="shared" si="121"/>
        <v>1</v>
      </c>
      <c r="N772" s="631"/>
      <c r="O772" s="3192">
        <f t="shared" si="122"/>
        <v>1</v>
      </c>
      <c r="P772" s="3194"/>
      <c r="Q772" s="3192">
        <f t="shared" si="123"/>
        <v>0</v>
      </c>
      <c r="R772" s="3192">
        <f t="shared" si="124"/>
        <v>0</v>
      </c>
      <c r="S772" s="898">
        <f t="shared" si="115"/>
        <v>0</v>
      </c>
      <c r="T772" s="3190">
        <f>面积表!A767</f>
        <v>0</v>
      </c>
    </row>
    <row r="773" spans="1:20">
      <c r="A773" s="3169"/>
      <c r="B773" s="52"/>
      <c r="C773" s="3192">
        <f t="shared" si="116"/>
        <v>1</v>
      </c>
      <c r="D773" s="2559"/>
      <c r="E773" s="3192">
        <f t="shared" si="117"/>
        <v>0.02</v>
      </c>
      <c r="F773" s="2559"/>
      <c r="G773" s="3192">
        <f t="shared" si="118"/>
        <v>0</v>
      </c>
      <c r="H773" s="631"/>
      <c r="I773" s="3192">
        <f t="shared" si="119"/>
        <v>1</v>
      </c>
      <c r="J773" s="631"/>
      <c r="K773" s="3192">
        <f t="shared" si="120"/>
        <v>1</v>
      </c>
      <c r="L773" s="631"/>
      <c r="M773" s="3192">
        <f t="shared" si="121"/>
        <v>1</v>
      </c>
      <c r="N773" s="631"/>
      <c r="O773" s="3192">
        <f t="shared" si="122"/>
        <v>1</v>
      </c>
      <c r="P773" s="3194"/>
      <c r="Q773" s="3192">
        <f t="shared" si="123"/>
        <v>0</v>
      </c>
      <c r="R773" s="3192">
        <f t="shared" si="124"/>
        <v>0</v>
      </c>
      <c r="S773" s="898">
        <f t="shared" si="115"/>
        <v>0</v>
      </c>
      <c r="T773" s="3190">
        <f>面积表!A768</f>
        <v>0</v>
      </c>
    </row>
    <row r="774" spans="1:20">
      <c r="A774" s="3169"/>
      <c r="B774" s="52"/>
      <c r="C774" s="3192">
        <f t="shared" si="116"/>
        <v>1</v>
      </c>
      <c r="D774" s="2559"/>
      <c r="E774" s="3192">
        <f t="shared" si="117"/>
        <v>0.02</v>
      </c>
      <c r="F774" s="2559"/>
      <c r="G774" s="3192">
        <f t="shared" si="118"/>
        <v>0</v>
      </c>
      <c r="H774" s="631"/>
      <c r="I774" s="3192">
        <f t="shared" si="119"/>
        <v>1</v>
      </c>
      <c r="J774" s="631"/>
      <c r="K774" s="3192">
        <f t="shared" si="120"/>
        <v>1</v>
      </c>
      <c r="L774" s="631"/>
      <c r="M774" s="3192">
        <f t="shared" si="121"/>
        <v>1</v>
      </c>
      <c r="N774" s="631"/>
      <c r="O774" s="3192">
        <f t="shared" si="122"/>
        <v>1</v>
      </c>
      <c r="P774" s="3194"/>
      <c r="Q774" s="3192">
        <f t="shared" si="123"/>
        <v>0</v>
      </c>
      <c r="R774" s="3192">
        <f t="shared" si="124"/>
        <v>0</v>
      </c>
      <c r="S774" s="898">
        <f t="shared" si="115"/>
        <v>0</v>
      </c>
      <c r="T774" s="3190">
        <f>面积表!A769</f>
        <v>0</v>
      </c>
    </row>
    <row r="775" spans="1:20">
      <c r="A775" s="3169"/>
      <c r="B775" s="52"/>
      <c r="C775" s="3192">
        <f t="shared" si="116"/>
        <v>1</v>
      </c>
      <c r="D775" s="2559"/>
      <c r="E775" s="3192">
        <f t="shared" si="117"/>
        <v>0.02</v>
      </c>
      <c r="F775" s="2559"/>
      <c r="G775" s="3192">
        <f t="shared" si="118"/>
        <v>0</v>
      </c>
      <c r="H775" s="631"/>
      <c r="I775" s="3192">
        <f t="shared" si="119"/>
        <v>1</v>
      </c>
      <c r="J775" s="631"/>
      <c r="K775" s="3192">
        <f t="shared" si="120"/>
        <v>1</v>
      </c>
      <c r="L775" s="631"/>
      <c r="M775" s="3192">
        <f t="shared" si="121"/>
        <v>1</v>
      </c>
      <c r="N775" s="631"/>
      <c r="O775" s="3192">
        <f t="shared" si="122"/>
        <v>1</v>
      </c>
      <c r="P775" s="3194"/>
      <c r="Q775" s="3192">
        <f t="shared" si="123"/>
        <v>0</v>
      </c>
      <c r="R775" s="3192">
        <f t="shared" si="124"/>
        <v>0</v>
      </c>
      <c r="S775" s="898">
        <f t="shared" si="115"/>
        <v>0</v>
      </c>
      <c r="T775" s="3190">
        <f>面积表!A770</f>
        <v>0</v>
      </c>
    </row>
    <row r="776" spans="1:20">
      <c r="A776" s="3169"/>
      <c r="B776" s="52"/>
      <c r="C776" s="3192">
        <f t="shared" si="116"/>
        <v>1</v>
      </c>
      <c r="D776" s="2559"/>
      <c r="E776" s="3192">
        <f t="shared" si="117"/>
        <v>0.02</v>
      </c>
      <c r="F776" s="2559"/>
      <c r="G776" s="3192">
        <f t="shared" si="118"/>
        <v>0</v>
      </c>
      <c r="H776" s="631"/>
      <c r="I776" s="3192">
        <f t="shared" si="119"/>
        <v>1</v>
      </c>
      <c r="J776" s="631"/>
      <c r="K776" s="3192">
        <f t="shared" si="120"/>
        <v>1</v>
      </c>
      <c r="L776" s="631"/>
      <c r="M776" s="3192">
        <f t="shared" si="121"/>
        <v>1</v>
      </c>
      <c r="N776" s="631"/>
      <c r="O776" s="3192">
        <f t="shared" si="122"/>
        <v>1</v>
      </c>
      <c r="P776" s="3194"/>
      <c r="Q776" s="3192">
        <f t="shared" si="123"/>
        <v>0</v>
      </c>
      <c r="R776" s="3192">
        <f t="shared" si="124"/>
        <v>0</v>
      </c>
      <c r="S776" s="898">
        <f t="shared" si="115"/>
        <v>0</v>
      </c>
      <c r="T776" s="3190">
        <f>面积表!A771</f>
        <v>0</v>
      </c>
    </row>
    <row r="777" spans="1:20">
      <c r="A777" s="3169"/>
      <c r="B777" s="52"/>
      <c r="C777" s="3192">
        <f t="shared" si="116"/>
        <v>1</v>
      </c>
      <c r="D777" s="2559"/>
      <c r="E777" s="3192">
        <f t="shared" si="117"/>
        <v>0.02</v>
      </c>
      <c r="F777" s="2559"/>
      <c r="G777" s="3192">
        <f t="shared" si="118"/>
        <v>0</v>
      </c>
      <c r="H777" s="631"/>
      <c r="I777" s="3192">
        <f t="shared" si="119"/>
        <v>1</v>
      </c>
      <c r="J777" s="631"/>
      <c r="K777" s="3192">
        <f t="shared" si="120"/>
        <v>1</v>
      </c>
      <c r="L777" s="631"/>
      <c r="M777" s="3192">
        <f t="shared" si="121"/>
        <v>1</v>
      </c>
      <c r="N777" s="631"/>
      <c r="O777" s="3192">
        <f t="shared" si="122"/>
        <v>1</v>
      </c>
      <c r="P777" s="3194"/>
      <c r="Q777" s="3192">
        <f t="shared" si="123"/>
        <v>0</v>
      </c>
      <c r="R777" s="3192">
        <f t="shared" si="124"/>
        <v>0</v>
      </c>
      <c r="S777" s="898">
        <f t="shared" si="115"/>
        <v>0</v>
      </c>
      <c r="T777" s="3190">
        <f>面积表!A772</f>
        <v>0</v>
      </c>
    </row>
    <row r="778" spans="1:20">
      <c r="A778" s="3169"/>
      <c r="B778" s="52"/>
      <c r="C778" s="3192">
        <f t="shared" si="116"/>
        <v>1</v>
      </c>
      <c r="D778" s="2559"/>
      <c r="E778" s="3192">
        <f t="shared" si="117"/>
        <v>0.02</v>
      </c>
      <c r="F778" s="2559"/>
      <c r="G778" s="3192">
        <f t="shared" si="118"/>
        <v>0</v>
      </c>
      <c r="H778" s="631"/>
      <c r="I778" s="3192">
        <f t="shared" si="119"/>
        <v>1</v>
      </c>
      <c r="J778" s="631"/>
      <c r="K778" s="3192">
        <f t="shared" si="120"/>
        <v>1</v>
      </c>
      <c r="L778" s="631"/>
      <c r="M778" s="3192">
        <f t="shared" si="121"/>
        <v>1</v>
      </c>
      <c r="N778" s="631"/>
      <c r="O778" s="3192">
        <f t="shared" si="122"/>
        <v>1</v>
      </c>
      <c r="P778" s="3194"/>
      <c r="Q778" s="3192">
        <f t="shared" si="123"/>
        <v>0</v>
      </c>
      <c r="R778" s="3192">
        <f t="shared" si="124"/>
        <v>0</v>
      </c>
      <c r="S778" s="898">
        <f t="shared" si="115"/>
        <v>0</v>
      </c>
      <c r="T778" s="3190">
        <f>面积表!A773</f>
        <v>0</v>
      </c>
    </row>
    <row r="779" spans="1:20">
      <c r="A779" s="3169"/>
      <c r="B779" s="52"/>
      <c r="C779" s="3192">
        <f t="shared" si="116"/>
        <v>1</v>
      </c>
      <c r="D779" s="2559"/>
      <c r="E779" s="3192">
        <f t="shared" si="117"/>
        <v>0.02</v>
      </c>
      <c r="F779" s="2559"/>
      <c r="G779" s="3192">
        <f t="shared" si="118"/>
        <v>0</v>
      </c>
      <c r="H779" s="631"/>
      <c r="I779" s="3192">
        <f t="shared" si="119"/>
        <v>1</v>
      </c>
      <c r="J779" s="631"/>
      <c r="K779" s="3192">
        <f t="shared" si="120"/>
        <v>1</v>
      </c>
      <c r="L779" s="631"/>
      <c r="M779" s="3192">
        <f t="shared" si="121"/>
        <v>1</v>
      </c>
      <c r="N779" s="631"/>
      <c r="O779" s="3192">
        <f t="shared" si="122"/>
        <v>1</v>
      </c>
      <c r="P779" s="3194"/>
      <c r="Q779" s="3192">
        <f t="shared" si="123"/>
        <v>0</v>
      </c>
      <c r="R779" s="3192">
        <f t="shared" si="124"/>
        <v>0</v>
      </c>
      <c r="S779" s="898">
        <f t="shared" si="115"/>
        <v>0</v>
      </c>
      <c r="T779" s="3190">
        <f>面积表!A774</f>
        <v>0</v>
      </c>
    </row>
    <row r="780" spans="1:20">
      <c r="A780" s="3169"/>
      <c r="B780" s="52"/>
      <c r="C780" s="3192">
        <f t="shared" si="116"/>
        <v>1</v>
      </c>
      <c r="D780" s="2559"/>
      <c r="E780" s="3192">
        <f t="shared" si="117"/>
        <v>0.02</v>
      </c>
      <c r="F780" s="2559"/>
      <c r="G780" s="3192">
        <f t="shared" si="118"/>
        <v>0</v>
      </c>
      <c r="H780" s="631"/>
      <c r="I780" s="3192">
        <f t="shared" si="119"/>
        <v>1</v>
      </c>
      <c r="J780" s="631"/>
      <c r="K780" s="3192">
        <f t="shared" si="120"/>
        <v>1</v>
      </c>
      <c r="L780" s="631"/>
      <c r="M780" s="3192">
        <f t="shared" si="121"/>
        <v>1</v>
      </c>
      <c r="N780" s="631"/>
      <c r="O780" s="3192">
        <f t="shared" si="122"/>
        <v>1</v>
      </c>
      <c r="P780" s="3194"/>
      <c r="Q780" s="3192">
        <f t="shared" si="123"/>
        <v>0</v>
      </c>
      <c r="R780" s="3192">
        <f t="shared" si="124"/>
        <v>0</v>
      </c>
      <c r="S780" s="898">
        <f t="shared" si="115"/>
        <v>0</v>
      </c>
      <c r="T780" s="3190">
        <f>面积表!A775</f>
        <v>0</v>
      </c>
    </row>
    <row r="781" spans="1:20">
      <c r="A781" s="3169"/>
      <c r="B781" s="52"/>
      <c r="C781" s="3192">
        <f t="shared" si="116"/>
        <v>1</v>
      </c>
      <c r="D781" s="2559"/>
      <c r="E781" s="3192">
        <f t="shared" si="117"/>
        <v>0.02</v>
      </c>
      <c r="F781" s="2559"/>
      <c r="G781" s="3192">
        <f t="shared" si="118"/>
        <v>0</v>
      </c>
      <c r="H781" s="631"/>
      <c r="I781" s="3192">
        <f t="shared" si="119"/>
        <v>1</v>
      </c>
      <c r="J781" s="631"/>
      <c r="K781" s="3192">
        <f t="shared" si="120"/>
        <v>1</v>
      </c>
      <c r="L781" s="631"/>
      <c r="M781" s="3192">
        <f t="shared" si="121"/>
        <v>1</v>
      </c>
      <c r="N781" s="631"/>
      <c r="O781" s="3192">
        <f t="shared" si="122"/>
        <v>1</v>
      </c>
      <c r="P781" s="3194"/>
      <c r="Q781" s="3192">
        <f t="shared" si="123"/>
        <v>0</v>
      </c>
      <c r="R781" s="3192">
        <f t="shared" si="124"/>
        <v>0</v>
      </c>
      <c r="S781" s="898">
        <f t="shared" si="115"/>
        <v>0</v>
      </c>
      <c r="T781" s="3190">
        <f>面积表!A776</f>
        <v>0</v>
      </c>
    </row>
    <row r="782" spans="1:20">
      <c r="A782" s="3169"/>
      <c r="B782" s="52"/>
      <c r="C782" s="3192">
        <f t="shared" si="116"/>
        <v>1</v>
      </c>
      <c r="D782" s="2559"/>
      <c r="E782" s="3192">
        <f t="shared" si="117"/>
        <v>0.02</v>
      </c>
      <c r="F782" s="2559"/>
      <c r="G782" s="3192">
        <f t="shared" si="118"/>
        <v>0</v>
      </c>
      <c r="H782" s="631"/>
      <c r="I782" s="3192">
        <f t="shared" si="119"/>
        <v>1</v>
      </c>
      <c r="J782" s="631"/>
      <c r="K782" s="3192">
        <f t="shared" si="120"/>
        <v>1</v>
      </c>
      <c r="L782" s="631"/>
      <c r="M782" s="3192">
        <f t="shared" si="121"/>
        <v>1</v>
      </c>
      <c r="N782" s="631"/>
      <c r="O782" s="3192">
        <f t="shared" si="122"/>
        <v>1</v>
      </c>
      <c r="P782" s="3194"/>
      <c r="Q782" s="3192">
        <f t="shared" si="123"/>
        <v>0</v>
      </c>
      <c r="R782" s="3192">
        <f t="shared" si="124"/>
        <v>0</v>
      </c>
      <c r="S782" s="898">
        <f t="shared" si="115"/>
        <v>0</v>
      </c>
      <c r="T782" s="3190">
        <f>面积表!A777</f>
        <v>0</v>
      </c>
    </row>
    <row r="783" spans="1:20">
      <c r="A783" s="3169"/>
      <c r="B783" s="52"/>
      <c r="C783" s="3192">
        <f t="shared" si="116"/>
        <v>1</v>
      </c>
      <c r="D783" s="2559"/>
      <c r="E783" s="3192">
        <f t="shared" si="117"/>
        <v>0.02</v>
      </c>
      <c r="F783" s="2559"/>
      <c r="G783" s="3192">
        <f t="shared" si="118"/>
        <v>0</v>
      </c>
      <c r="H783" s="631"/>
      <c r="I783" s="3192">
        <f t="shared" si="119"/>
        <v>1</v>
      </c>
      <c r="J783" s="631"/>
      <c r="K783" s="3192">
        <f t="shared" si="120"/>
        <v>1</v>
      </c>
      <c r="L783" s="631"/>
      <c r="M783" s="3192">
        <f t="shared" si="121"/>
        <v>1</v>
      </c>
      <c r="N783" s="631"/>
      <c r="O783" s="3192">
        <f t="shared" si="122"/>
        <v>1</v>
      </c>
      <c r="P783" s="3194"/>
      <c r="Q783" s="3192">
        <f t="shared" si="123"/>
        <v>0</v>
      </c>
      <c r="R783" s="3192">
        <f t="shared" si="124"/>
        <v>0</v>
      </c>
      <c r="S783" s="898">
        <f t="shared" si="115"/>
        <v>0</v>
      </c>
      <c r="T783" s="3190">
        <f>面积表!A778</f>
        <v>0</v>
      </c>
    </row>
    <row r="784" spans="1:20">
      <c r="A784" s="3169"/>
      <c r="B784" s="52"/>
      <c r="C784" s="3192">
        <f t="shared" si="116"/>
        <v>1</v>
      </c>
      <c r="D784" s="2559"/>
      <c r="E784" s="3192">
        <f t="shared" si="117"/>
        <v>0.02</v>
      </c>
      <c r="F784" s="2559"/>
      <c r="G784" s="3192">
        <f t="shared" si="118"/>
        <v>0</v>
      </c>
      <c r="H784" s="631"/>
      <c r="I784" s="3192">
        <f t="shared" si="119"/>
        <v>1</v>
      </c>
      <c r="J784" s="631"/>
      <c r="K784" s="3192">
        <f t="shared" si="120"/>
        <v>1</v>
      </c>
      <c r="L784" s="631"/>
      <c r="M784" s="3192">
        <f t="shared" si="121"/>
        <v>1</v>
      </c>
      <c r="N784" s="631"/>
      <c r="O784" s="3192">
        <f t="shared" si="122"/>
        <v>1</v>
      </c>
      <c r="P784" s="3194"/>
      <c r="Q784" s="3192">
        <f t="shared" si="123"/>
        <v>0</v>
      </c>
      <c r="R784" s="3192">
        <f t="shared" si="124"/>
        <v>0</v>
      </c>
      <c r="S784" s="898">
        <f t="shared" si="115"/>
        <v>0</v>
      </c>
      <c r="T784" s="3190">
        <f>面积表!A779</f>
        <v>0</v>
      </c>
    </row>
    <row r="785" spans="1:20">
      <c r="A785" s="3169"/>
      <c r="B785" s="52"/>
      <c r="C785" s="3192">
        <f t="shared" si="116"/>
        <v>1</v>
      </c>
      <c r="D785" s="2559"/>
      <c r="E785" s="3192">
        <f t="shared" si="117"/>
        <v>0.02</v>
      </c>
      <c r="F785" s="2559"/>
      <c r="G785" s="3192">
        <f t="shared" si="118"/>
        <v>0</v>
      </c>
      <c r="H785" s="631"/>
      <c r="I785" s="3192">
        <f t="shared" si="119"/>
        <v>1</v>
      </c>
      <c r="J785" s="631"/>
      <c r="K785" s="3192">
        <f t="shared" si="120"/>
        <v>1</v>
      </c>
      <c r="L785" s="631"/>
      <c r="M785" s="3192">
        <f t="shared" si="121"/>
        <v>1</v>
      </c>
      <c r="N785" s="631"/>
      <c r="O785" s="3192">
        <f t="shared" si="122"/>
        <v>1</v>
      </c>
      <c r="P785" s="3194"/>
      <c r="Q785" s="3192">
        <f t="shared" si="123"/>
        <v>0</v>
      </c>
      <c r="R785" s="3192">
        <f t="shared" si="124"/>
        <v>0</v>
      </c>
      <c r="S785" s="898">
        <f t="shared" si="115"/>
        <v>0</v>
      </c>
      <c r="T785" s="3190">
        <f>面积表!A780</f>
        <v>0</v>
      </c>
    </row>
    <row r="786" spans="1:20">
      <c r="A786" s="3169"/>
      <c r="B786" s="52"/>
      <c r="C786" s="3192">
        <f t="shared" si="116"/>
        <v>1</v>
      </c>
      <c r="D786" s="2559"/>
      <c r="E786" s="3192">
        <f t="shared" si="117"/>
        <v>0.02</v>
      </c>
      <c r="F786" s="2559"/>
      <c r="G786" s="3192">
        <f t="shared" si="118"/>
        <v>0</v>
      </c>
      <c r="H786" s="631"/>
      <c r="I786" s="3192">
        <f t="shared" si="119"/>
        <v>1</v>
      </c>
      <c r="J786" s="631"/>
      <c r="K786" s="3192">
        <f t="shared" si="120"/>
        <v>1</v>
      </c>
      <c r="L786" s="631"/>
      <c r="M786" s="3192">
        <f t="shared" si="121"/>
        <v>1</v>
      </c>
      <c r="N786" s="631"/>
      <c r="O786" s="3192">
        <f t="shared" si="122"/>
        <v>1</v>
      </c>
      <c r="P786" s="3194"/>
      <c r="Q786" s="3192">
        <f t="shared" si="123"/>
        <v>0</v>
      </c>
      <c r="R786" s="3192">
        <f t="shared" si="124"/>
        <v>0</v>
      </c>
      <c r="S786" s="898">
        <f t="shared" si="115"/>
        <v>0</v>
      </c>
      <c r="T786" s="3190">
        <f>面积表!A781</f>
        <v>0</v>
      </c>
    </row>
    <row r="787" spans="1:20">
      <c r="A787" s="3169"/>
      <c r="B787" s="52"/>
      <c r="C787" s="3192">
        <f t="shared" si="116"/>
        <v>1</v>
      </c>
      <c r="D787" s="2559"/>
      <c r="E787" s="3192">
        <f t="shared" si="117"/>
        <v>0.02</v>
      </c>
      <c r="F787" s="2559"/>
      <c r="G787" s="3192">
        <f t="shared" si="118"/>
        <v>0</v>
      </c>
      <c r="H787" s="631"/>
      <c r="I787" s="3192">
        <f t="shared" si="119"/>
        <v>1</v>
      </c>
      <c r="J787" s="631"/>
      <c r="K787" s="3192">
        <f t="shared" si="120"/>
        <v>1</v>
      </c>
      <c r="L787" s="631"/>
      <c r="M787" s="3192">
        <f t="shared" si="121"/>
        <v>1</v>
      </c>
      <c r="N787" s="631"/>
      <c r="O787" s="3192">
        <f t="shared" si="122"/>
        <v>1</v>
      </c>
      <c r="P787" s="3194"/>
      <c r="Q787" s="3192">
        <f t="shared" si="123"/>
        <v>0</v>
      </c>
      <c r="R787" s="3192">
        <f t="shared" si="124"/>
        <v>0</v>
      </c>
      <c r="S787" s="898">
        <f t="shared" si="115"/>
        <v>0</v>
      </c>
      <c r="T787" s="3190">
        <f>面积表!A782</f>
        <v>0</v>
      </c>
    </row>
    <row r="788" spans="1:20">
      <c r="A788" s="3169"/>
      <c r="B788" s="52"/>
      <c r="C788" s="3192">
        <f t="shared" si="116"/>
        <v>1</v>
      </c>
      <c r="D788" s="2559"/>
      <c r="E788" s="3192">
        <f t="shared" si="117"/>
        <v>0.02</v>
      </c>
      <c r="F788" s="2559"/>
      <c r="G788" s="3192">
        <f t="shared" si="118"/>
        <v>0</v>
      </c>
      <c r="H788" s="631"/>
      <c r="I788" s="3192">
        <f t="shared" si="119"/>
        <v>1</v>
      </c>
      <c r="J788" s="631"/>
      <c r="K788" s="3192">
        <f t="shared" si="120"/>
        <v>1</v>
      </c>
      <c r="L788" s="631"/>
      <c r="M788" s="3192">
        <f t="shared" si="121"/>
        <v>1</v>
      </c>
      <c r="N788" s="631"/>
      <c r="O788" s="3192">
        <f t="shared" si="122"/>
        <v>1</v>
      </c>
      <c r="P788" s="3194"/>
      <c r="Q788" s="3192">
        <f t="shared" si="123"/>
        <v>0</v>
      </c>
      <c r="R788" s="3192">
        <f t="shared" si="124"/>
        <v>0</v>
      </c>
      <c r="S788" s="898">
        <f t="shared" si="115"/>
        <v>0</v>
      </c>
      <c r="T788" s="3190">
        <f>面积表!A783</f>
        <v>0</v>
      </c>
    </row>
    <row r="789" spans="1:20">
      <c r="A789" s="3169"/>
      <c r="B789" s="52"/>
      <c r="C789" s="3192">
        <f t="shared" si="116"/>
        <v>1</v>
      </c>
      <c r="D789" s="2559"/>
      <c r="E789" s="3192">
        <f t="shared" si="117"/>
        <v>0.02</v>
      </c>
      <c r="F789" s="2559"/>
      <c r="G789" s="3192">
        <f t="shared" si="118"/>
        <v>0</v>
      </c>
      <c r="H789" s="631"/>
      <c r="I789" s="3192">
        <f t="shared" si="119"/>
        <v>1</v>
      </c>
      <c r="J789" s="631"/>
      <c r="K789" s="3192">
        <f t="shared" si="120"/>
        <v>1</v>
      </c>
      <c r="L789" s="631"/>
      <c r="M789" s="3192">
        <f t="shared" si="121"/>
        <v>1</v>
      </c>
      <c r="N789" s="631"/>
      <c r="O789" s="3192">
        <f t="shared" si="122"/>
        <v>1</v>
      </c>
      <c r="P789" s="3194"/>
      <c r="Q789" s="3192">
        <f t="shared" si="123"/>
        <v>0</v>
      </c>
      <c r="R789" s="3192">
        <f t="shared" si="124"/>
        <v>0</v>
      </c>
      <c r="S789" s="898">
        <f t="shared" si="115"/>
        <v>0</v>
      </c>
      <c r="T789" s="3190">
        <f>面积表!A784</f>
        <v>0</v>
      </c>
    </row>
    <row r="790" spans="1:20">
      <c r="A790" s="3169"/>
      <c r="B790" s="52"/>
      <c r="C790" s="3192">
        <f t="shared" si="116"/>
        <v>1</v>
      </c>
      <c r="D790" s="2559"/>
      <c r="E790" s="3192">
        <f t="shared" si="117"/>
        <v>0.02</v>
      </c>
      <c r="F790" s="2559"/>
      <c r="G790" s="3192">
        <f t="shared" si="118"/>
        <v>0</v>
      </c>
      <c r="H790" s="631"/>
      <c r="I790" s="3192">
        <f t="shared" si="119"/>
        <v>1</v>
      </c>
      <c r="J790" s="631"/>
      <c r="K790" s="3192">
        <f t="shared" si="120"/>
        <v>1</v>
      </c>
      <c r="L790" s="631"/>
      <c r="M790" s="3192">
        <f t="shared" si="121"/>
        <v>1</v>
      </c>
      <c r="N790" s="631"/>
      <c r="O790" s="3192">
        <f t="shared" si="122"/>
        <v>1</v>
      </c>
      <c r="P790" s="3194"/>
      <c r="Q790" s="3192">
        <f t="shared" si="123"/>
        <v>0</v>
      </c>
      <c r="R790" s="3192">
        <f t="shared" si="124"/>
        <v>0</v>
      </c>
      <c r="S790" s="898">
        <f t="shared" si="115"/>
        <v>0</v>
      </c>
      <c r="T790" s="3190">
        <f>面积表!A785</f>
        <v>0</v>
      </c>
    </row>
    <row r="791" spans="1:20">
      <c r="A791" s="3169"/>
      <c r="B791" s="52"/>
      <c r="C791" s="3192">
        <f t="shared" si="116"/>
        <v>1</v>
      </c>
      <c r="D791" s="2559"/>
      <c r="E791" s="3192">
        <f t="shared" si="117"/>
        <v>0.02</v>
      </c>
      <c r="F791" s="2559"/>
      <c r="G791" s="3192">
        <f t="shared" si="118"/>
        <v>0</v>
      </c>
      <c r="H791" s="631"/>
      <c r="I791" s="3192">
        <f t="shared" si="119"/>
        <v>1</v>
      </c>
      <c r="J791" s="631"/>
      <c r="K791" s="3192">
        <f t="shared" si="120"/>
        <v>1</v>
      </c>
      <c r="L791" s="631"/>
      <c r="M791" s="3192">
        <f t="shared" si="121"/>
        <v>1</v>
      </c>
      <c r="N791" s="631"/>
      <c r="O791" s="3192">
        <f t="shared" si="122"/>
        <v>1</v>
      </c>
      <c r="P791" s="3194"/>
      <c r="Q791" s="3192">
        <f t="shared" si="123"/>
        <v>0</v>
      </c>
      <c r="R791" s="3192">
        <f t="shared" si="124"/>
        <v>0</v>
      </c>
      <c r="S791" s="898">
        <f t="shared" si="115"/>
        <v>0</v>
      </c>
      <c r="T791" s="3190">
        <f>面积表!A786</f>
        <v>0</v>
      </c>
    </row>
    <row r="792" spans="1:20">
      <c r="A792" s="3169"/>
      <c r="B792" s="52"/>
      <c r="C792" s="3192">
        <f t="shared" si="116"/>
        <v>1</v>
      </c>
      <c r="D792" s="2559"/>
      <c r="E792" s="3192">
        <f t="shared" si="117"/>
        <v>0.02</v>
      </c>
      <c r="F792" s="2559"/>
      <c r="G792" s="3192">
        <f t="shared" si="118"/>
        <v>0</v>
      </c>
      <c r="H792" s="631"/>
      <c r="I792" s="3192">
        <f t="shared" si="119"/>
        <v>1</v>
      </c>
      <c r="J792" s="631"/>
      <c r="K792" s="3192">
        <f t="shared" si="120"/>
        <v>1</v>
      </c>
      <c r="L792" s="631"/>
      <c r="M792" s="3192">
        <f t="shared" si="121"/>
        <v>1</v>
      </c>
      <c r="N792" s="631"/>
      <c r="O792" s="3192">
        <f t="shared" si="122"/>
        <v>1</v>
      </c>
      <c r="P792" s="3194"/>
      <c r="Q792" s="3192">
        <f t="shared" si="123"/>
        <v>0</v>
      </c>
      <c r="R792" s="3192">
        <f t="shared" si="124"/>
        <v>0</v>
      </c>
      <c r="S792" s="898">
        <f t="shared" ref="S792:S855" si="125">ROUND(R792*B792/10000,0)</f>
        <v>0</v>
      </c>
      <c r="T792" s="3190">
        <f>面积表!A787</f>
        <v>0</v>
      </c>
    </row>
    <row r="793" spans="1:20">
      <c r="A793" s="3169"/>
      <c r="B793" s="52"/>
      <c r="C793" s="3192">
        <f t="shared" si="116"/>
        <v>1</v>
      </c>
      <c r="D793" s="2559"/>
      <c r="E793" s="3192">
        <f t="shared" si="117"/>
        <v>0.02</v>
      </c>
      <c r="F793" s="2559"/>
      <c r="G793" s="3192">
        <f t="shared" si="118"/>
        <v>0</v>
      </c>
      <c r="H793" s="631"/>
      <c r="I793" s="3192">
        <f t="shared" si="119"/>
        <v>1</v>
      </c>
      <c r="J793" s="631"/>
      <c r="K793" s="3192">
        <f t="shared" si="120"/>
        <v>1</v>
      </c>
      <c r="L793" s="631"/>
      <c r="M793" s="3192">
        <f t="shared" si="121"/>
        <v>1</v>
      </c>
      <c r="N793" s="631"/>
      <c r="O793" s="3192">
        <f t="shared" si="122"/>
        <v>1</v>
      </c>
      <c r="P793" s="3194"/>
      <c r="Q793" s="3192">
        <f t="shared" si="123"/>
        <v>0</v>
      </c>
      <c r="R793" s="3192">
        <f t="shared" si="124"/>
        <v>0</v>
      </c>
      <c r="S793" s="898">
        <f t="shared" si="125"/>
        <v>0</v>
      </c>
      <c r="T793" s="3190">
        <f>面积表!A788</f>
        <v>0</v>
      </c>
    </row>
    <row r="794" spans="1:20">
      <c r="A794" s="3169"/>
      <c r="B794" s="52"/>
      <c r="C794" s="3192">
        <f t="shared" ref="C794:C857" si="126">IF(B794="",1,(LOOKUP(B794,$3:$3,$4:$4)-LOOKUP($B$24,$3:$3,$4:$4)+100)/100)</f>
        <v>1</v>
      </c>
      <c r="D794" s="2559"/>
      <c r="E794" s="3192">
        <f t="shared" ref="E794:E857" si="127">(SUMIF($5:$5,D794,$6:$6)-SUMIF($5:$5,$D$24,$6:$6)+100)/100</f>
        <v>0.02</v>
      </c>
      <c r="F794" s="2559"/>
      <c r="G794" s="3192">
        <f t="shared" ref="G794:G857" si="128">(SUMIF($7:$7,F794,$8:$8)-SUMIF($7:$7,$F$24,$8:$8)+100)/100</f>
        <v>0</v>
      </c>
      <c r="H794" s="631"/>
      <c r="I794" s="3192">
        <f t="shared" ref="I794:I857" si="129">(SUMIF($9:$9,H794,$10:$10)-SUMIF($9:$9,$H$24,$10:$10)+100)/100</f>
        <v>1</v>
      </c>
      <c r="J794" s="631"/>
      <c r="K794" s="3192">
        <f t="shared" ref="K794:K857" si="130">(SUMIF($11:$11,J794,$12:$12)-SUMIF($11:$11,$J$24,$12:$12)+100)/100</f>
        <v>1</v>
      </c>
      <c r="L794" s="631"/>
      <c r="M794" s="3192">
        <f t="shared" ref="M794:M857" si="131">(SUMIF($13:$13,L794,$14:$14)-SUMIF($13:$13,$L$24,$14:$14)+100)/100</f>
        <v>1</v>
      </c>
      <c r="N794" s="631"/>
      <c r="O794" s="3192">
        <f t="shared" ref="O794:O857" si="132">(SUMIF($15:$15,N794,$16:$16)-SUMIF($15:$15,$N$24,$16:$16)+100)/100</f>
        <v>1</v>
      </c>
      <c r="P794" s="3194"/>
      <c r="Q794" s="3192">
        <f t="shared" ref="Q794:Q857" si="133">(SUMIF($17:$17,P794,$18:$18)-SUMIF($17:$17,$P$24,$18:$18)+100)/100</f>
        <v>0</v>
      </c>
      <c r="R794" s="3192">
        <f t="shared" ref="R794:R857" si="134">IF(B794="",0,ROUND($R$24*C794*E794*G794*I794*K794*M794*O794*Q794,0))</f>
        <v>0</v>
      </c>
      <c r="S794" s="898">
        <f t="shared" si="125"/>
        <v>0</v>
      </c>
      <c r="T794" s="3190">
        <f>面积表!A789</f>
        <v>0</v>
      </c>
    </row>
    <row r="795" spans="1:20">
      <c r="A795" s="3169"/>
      <c r="B795" s="52"/>
      <c r="C795" s="3192">
        <f t="shared" si="126"/>
        <v>1</v>
      </c>
      <c r="D795" s="2559"/>
      <c r="E795" s="3192">
        <f t="shared" si="127"/>
        <v>0.02</v>
      </c>
      <c r="F795" s="2559"/>
      <c r="G795" s="3192">
        <f t="shared" si="128"/>
        <v>0</v>
      </c>
      <c r="H795" s="631"/>
      <c r="I795" s="3192">
        <f t="shared" si="129"/>
        <v>1</v>
      </c>
      <c r="J795" s="631"/>
      <c r="K795" s="3192">
        <f t="shared" si="130"/>
        <v>1</v>
      </c>
      <c r="L795" s="631"/>
      <c r="M795" s="3192">
        <f t="shared" si="131"/>
        <v>1</v>
      </c>
      <c r="N795" s="631"/>
      <c r="O795" s="3192">
        <f t="shared" si="132"/>
        <v>1</v>
      </c>
      <c r="P795" s="3194"/>
      <c r="Q795" s="3192">
        <f t="shared" si="133"/>
        <v>0</v>
      </c>
      <c r="R795" s="3192">
        <f t="shared" si="134"/>
        <v>0</v>
      </c>
      <c r="S795" s="898">
        <f t="shared" si="125"/>
        <v>0</v>
      </c>
      <c r="T795" s="3190">
        <f>面积表!A790</f>
        <v>0</v>
      </c>
    </row>
    <row r="796" spans="1:20">
      <c r="A796" s="3169"/>
      <c r="B796" s="52"/>
      <c r="C796" s="3192">
        <f t="shared" si="126"/>
        <v>1</v>
      </c>
      <c r="D796" s="2559"/>
      <c r="E796" s="3192">
        <f t="shared" si="127"/>
        <v>0.02</v>
      </c>
      <c r="F796" s="2559"/>
      <c r="G796" s="3192">
        <f t="shared" si="128"/>
        <v>0</v>
      </c>
      <c r="H796" s="631"/>
      <c r="I796" s="3192">
        <f t="shared" si="129"/>
        <v>1</v>
      </c>
      <c r="J796" s="631"/>
      <c r="K796" s="3192">
        <f t="shared" si="130"/>
        <v>1</v>
      </c>
      <c r="L796" s="631"/>
      <c r="M796" s="3192">
        <f t="shared" si="131"/>
        <v>1</v>
      </c>
      <c r="N796" s="631"/>
      <c r="O796" s="3192">
        <f t="shared" si="132"/>
        <v>1</v>
      </c>
      <c r="P796" s="3194"/>
      <c r="Q796" s="3192">
        <f t="shared" si="133"/>
        <v>0</v>
      </c>
      <c r="R796" s="3192">
        <f t="shared" si="134"/>
        <v>0</v>
      </c>
      <c r="S796" s="898">
        <f t="shared" si="125"/>
        <v>0</v>
      </c>
      <c r="T796" s="3190">
        <f>面积表!A791</f>
        <v>0</v>
      </c>
    </row>
    <row r="797" spans="1:20">
      <c r="A797" s="3169"/>
      <c r="B797" s="52"/>
      <c r="C797" s="3192">
        <f t="shared" si="126"/>
        <v>1</v>
      </c>
      <c r="D797" s="2559"/>
      <c r="E797" s="3192">
        <f t="shared" si="127"/>
        <v>0.02</v>
      </c>
      <c r="F797" s="2559"/>
      <c r="G797" s="3192">
        <f t="shared" si="128"/>
        <v>0</v>
      </c>
      <c r="H797" s="631"/>
      <c r="I797" s="3192">
        <f t="shared" si="129"/>
        <v>1</v>
      </c>
      <c r="J797" s="631"/>
      <c r="K797" s="3192">
        <f t="shared" si="130"/>
        <v>1</v>
      </c>
      <c r="L797" s="631"/>
      <c r="M797" s="3192">
        <f t="shared" si="131"/>
        <v>1</v>
      </c>
      <c r="N797" s="631"/>
      <c r="O797" s="3192">
        <f t="shared" si="132"/>
        <v>1</v>
      </c>
      <c r="P797" s="3194"/>
      <c r="Q797" s="3192">
        <f t="shared" si="133"/>
        <v>0</v>
      </c>
      <c r="R797" s="3192">
        <f t="shared" si="134"/>
        <v>0</v>
      </c>
      <c r="S797" s="898">
        <f t="shared" si="125"/>
        <v>0</v>
      </c>
      <c r="T797" s="3190">
        <f>面积表!A792</f>
        <v>0</v>
      </c>
    </row>
    <row r="798" spans="1:20">
      <c r="A798" s="3169"/>
      <c r="B798" s="52"/>
      <c r="C798" s="3192">
        <f t="shared" si="126"/>
        <v>1</v>
      </c>
      <c r="D798" s="2559"/>
      <c r="E798" s="3192">
        <f t="shared" si="127"/>
        <v>0.02</v>
      </c>
      <c r="F798" s="2559"/>
      <c r="G798" s="3192">
        <f t="shared" si="128"/>
        <v>0</v>
      </c>
      <c r="H798" s="631"/>
      <c r="I798" s="3192">
        <f t="shared" si="129"/>
        <v>1</v>
      </c>
      <c r="J798" s="631"/>
      <c r="K798" s="3192">
        <f t="shared" si="130"/>
        <v>1</v>
      </c>
      <c r="L798" s="631"/>
      <c r="M798" s="3192">
        <f t="shared" si="131"/>
        <v>1</v>
      </c>
      <c r="N798" s="631"/>
      <c r="O798" s="3192">
        <f t="shared" si="132"/>
        <v>1</v>
      </c>
      <c r="P798" s="3194"/>
      <c r="Q798" s="3192">
        <f t="shared" si="133"/>
        <v>0</v>
      </c>
      <c r="R798" s="3192">
        <f t="shared" si="134"/>
        <v>0</v>
      </c>
      <c r="S798" s="898">
        <f t="shared" si="125"/>
        <v>0</v>
      </c>
      <c r="T798" s="3190">
        <f>面积表!A793</f>
        <v>0</v>
      </c>
    </row>
    <row r="799" spans="1:20">
      <c r="A799" s="3169"/>
      <c r="B799" s="52"/>
      <c r="C799" s="3192">
        <f t="shared" si="126"/>
        <v>1</v>
      </c>
      <c r="D799" s="2559"/>
      <c r="E799" s="3192">
        <f t="shared" si="127"/>
        <v>0.02</v>
      </c>
      <c r="F799" s="2559"/>
      <c r="G799" s="3192">
        <f t="shared" si="128"/>
        <v>0</v>
      </c>
      <c r="H799" s="631"/>
      <c r="I799" s="3192">
        <f t="shared" si="129"/>
        <v>1</v>
      </c>
      <c r="J799" s="631"/>
      <c r="K799" s="3192">
        <f t="shared" si="130"/>
        <v>1</v>
      </c>
      <c r="L799" s="631"/>
      <c r="M799" s="3192">
        <f t="shared" si="131"/>
        <v>1</v>
      </c>
      <c r="N799" s="631"/>
      <c r="O799" s="3192">
        <f t="shared" si="132"/>
        <v>1</v>
      </c>
      <c r="P799" s="3194"/>
      <c r="Q799" s="3192">
        <f t="shared" si="133"/>
        <v>0</v>
      </c>
      <c r="R799" s="3192">
        <f t="shared" si="134"/>
        <v>0</v>
      </c>
      <c r="S799" s="898">
        <f t="shared" si="125"/>
        <v>0</v>
      </c>
      <c r="T799" s="3190">
        <f>面积表!A794</f>
        <v>0</v>
      </c>
    </row>
    <row r="800" spans="1:20">
      <c r="A800" s="3169"/>
      <c r="B800" s="52"/>
      <c r="C800" s="3192">
        <f t="shared" si="126"/>
        <v>1</v>
      </c>
      <c r="D800" s="2559"/>
      <c r="E800" s="3192">
        <f t="shared" si="127"/>
        <v>0.02</v>
      </c>
      <c r="F800" s="2559"/>
      <c r="G800" s="3192">
        <f t="shared" si="128"/>
        <v>0</v>
      </c>
      <c r="H800" s="631"/>
      <c r="I800" s="3192">
        <f t="shared" si="129"/>
        <v>1</v>
      </c>
      <c r="J800" s="631"/>
      <c r="K800" s="3192">
        <f t="shared" si="130"/>
        <v>1</v>
      </c>
      <c r="L800" s="631"/>
      <c r="M800" s="3192">
        <f t="shared" si="131"/>
        <v>1</v>
      </c>
      <c r="N800" s="631"/>
      <c r="O800" s="3192">
        <f t="shared" si="132"/>
        <v>1</v>
      </c>
      <c r="P800" s="3194"/>
      <c r="Q800" s="3192">
        <f t="shared" si="133"/>
        <v>0</v>
      </c>
      <c r="R800" s="3192">
        <f t="shared" si="134"/>
        <v>0</v>
      </c>
      <c r="S800" s="898">
        <f t="shared" si="125"/>
        <v>0</v>
      </c>
      <c r="T800" s="3190">
        <f>面积表!A795</f>
        <v>0</v>
      </c>
    </row>
    <row r="801" spans="1:20">
      <c r="A801" s="3169"/>
      <c r="B801" s="52"/>
      <c r="C801" s="3192">
        <f t="shared" si="126"/>
        <v>1</v>
      </c>
      <c r="D801" s="2559"/>
      <c r="E801" s="3192">
        <f t="shared" si="127"/>
        <v>0.02</v>
      </c>
      <c r="F801" s="2559"/>
      <c r="G801" s="3192">
        <f t="shared" si="128"/>
        <v>0</v>
      </c>
      <c r="H801" s="631"/>
      <c r="I801" s="3192">
        <f t="shared" si="129"/>
        <v>1</v>
      </c>
      <c r="J801" s="631"/>
      <c r="K801" s="3192">
        <f t="shared" si="130"/>
        <v>1</v>
      </c>
      <c r="L801" s="631"/>
      <c r="M801" s="3192">
        <f t="shared" si="131"/>
        <v>1</v>
      </c>
      <c r="N801" s="631"/>
      <c r="O801" s="3192">
        <f t="shared" si="132"/>
        <v>1</v>
      </c>
      <c r="P801" s="3194"/>
      <c r="Q801" s="3192">
        <f t="shared" si="133"/>
        <v>0</v>
      </c>
      <c r="R801" s="3192">
        <f t="shared" si="134"/>
        <v>0</v>
      </c>
      <c r="S801" s="898">
        <f t="shared" si="125"/>
        <v>0</v>
      </c>
      <c r="T801" s="3190">
        <f>面积表!A796</f>
        <v>0</v>
      </c>
    </row>
    <row r="802" spans="1:20">
      <c r="A802" s="3169"/>
      <c r="B802" s="52"/>
      <c r="C802" s="3192">
        <f t="shared" si="126"/>
        <v>1</v>
      </c>
      <c r="D802" s="2559"/>
      <c r="E802" s="3192">
        <f t="shared" si="127"/>
        <v>0.02</v>
      </c>
      <c r="F802" s="2559"/>
      <c r="G802" s="3192">
        <f t="shared" si="128"/>
        <v>0</v>
      </c>
      <c r="H802" s="631"/>
      <c r="I802" s="3192">
        <f t="shared" si="129"/>
        <v>1</v>
      </c>
      <c r="J802" s="631"/>
      <c r="K802" s="3192">
        <f t="shared" si="130"/>
        <v>1</v>
      </c>
      <c r="L802" s="631"/>
      <c r="M802" s="3192">
        <f t="shared" si="131"/>
        <v>1</v>
      </c>
      <c r="N802" s="631"/>
      <c r="O802" s="3192">
        <f t="shared" si="132"/>
        <v>1</v>
      </c>
      <c r="P802" s="3194"/>
      <c r="Q802" s="3192">
        <f t="shared" si="133"/>
        <v>0</v>
      </c>
      <c r="R802" s="3192">
        <f t="shared" si="134"/>
        <v>0</v>
      </c>
      <c r="S802" s="898">
        <f t="shared" si="125"/>
        <v>0</v>
      </c>
      <c r="T802" s="3190">
        <f>面积表!A797</f>
        <v>0</v>
      </c>
    </row>
    <row r="803" spans="1:20">
      <c r="A803" s="3169"/>
      <c r="B803" s="52"/>
      <c r="C803" s="3192">
        <f t="shared" si="126"/>
        <v>1</v>
      </c>
      <c r="D803" s="2559"/>
      <c r="E803" s="3192">
        <f t="shared" si="127"/>
        <v>0.02</v>
      </c>
      <c r="F803" s="2559"/>
      <c r="G803" s="3192">
        <f t="shared" si="128"/>
        <v>0</v>
      </c>
      <c r="H803" s="631"/>
      <c r="I803" s="3192">
        <f t="shared" si="129"/>
        <v>1</v>
      </c>
      <c r="J803" s="631"/>
      <c r="K803" s="3192">
        <f t="shared" si="130"/>
        <v>1</v>
      </c>
      <c r="L803" s="631"/>
      <c r="M803" s="3192">
        <f t="shared" si="131"/>
        <v>1</v>
      </c>
      <c r="N803" s="631"/>
      <c r="O803" s="3192">
        <f t="shared" si="132"/>
        <v>1</v>
      </c>
      <c r="P803" s="3194"/>
      <c r="Q803" s="3192">
        <f t="shared" si="133"/>
        <v>0</v>
      </c>
      <c r="R803" s="3192">
        <f t="shared" si="134"/>
        <v>0</v>
      </c>
      <c r="S803" s="898">
        <f t="shared" si="125"/>
        <v>0</v>
      </c>
      <c r="T803" s="3190">
        <f>面积表!A798</f>
        <v>0</v>
      </c>
    </row>
    <row r="804" spans="1:20">
      <c r="A804" s="3169"/>
      <c r="B804" s="52"/>
      <c r="C804" s="3192">
        <f t="shared" si="126"/>
        <v>1</v>
      </c>
      <c r="D804" s="2559"/>
      <c r="E804" s="3192">
        <f t="shared" si="127"/>
        <v>0.02</v>
      </c>
      <c r="F804" s="2559"/>
      <c r="G804" s="3192">
        <f t="shared" si="128"/>
        <v>0</v>
      </c>
      <c r="H804" s="631"/>
      <c r="I804" s="3192">
        <f t="shared" si="129"/>
        <v>1</v>
      </c>
      <c r="J804" s="631"/>
      <c r="K804" s="3192">
        <f t="shared" si="130"/>
        <v>1</v>
      </c>
      <c r="L804" s="631"/>
      <c r="M804" s="3192">
        <f t="shared" si="131"/>
        <v>1</v>
      </c>
      <c r="N804" s="631"/>
      <c r="O804" s="3192">
        <f t="shared" si="132"/>
        <v>1</v>
      </c>
      <c r="P804" s="3194"/>
      <c r="Q804" s="3192">
        <f t="shared" si="133"/>
        <v>0</v>
      </c>
      <c r="R804" s="3192">
        <f t="shared" si="134"/>
        <v>0</v>
      </c>
      <c r="S804" s="898">
        <f t="shared" si="125"/>
        <v>0</v>
      </c>
      <c r="T804" s="3190">
        <f>面积表!A799</f>
        <v>0</v>
      </c>
    </row>
    <row r="805" spans="1:20">
      <c r="A805" s="3169"/>
      <c r="B805" s="52"/>
      <c r="C805" s="3192">
        <f t="shared" si="126"/>
        <v>1</v>
      </c>
      <c r="D805" s="2559"/>
      <c r="E805" s="3192">
        <f t="shared" si="127"/>
        <v>0.02</v>
      </c>
      <c r="F805" s="2559"/>
      <c r="G805" s="3192">
        <f t="shared" si="128"/>
        <v>0</v>
      </c>
      <c r="H805" s="631"/>
      <c r="I805" s="3192">
        <f t="shared" si="129"/>
        <v>1</v>
      </c>
      <c r="J805" s="631"/>
      <c r="K805" s="3192">
        <f t="shared" si="130"/>
        <v>1</v>
      </c>
      <c r="L805" s="631"/>
      <c r="M805" s="3192">
        <f t="shared" si="131"/>
        <v>1</v>
      </c>
      <c r="N805" s="631"/>
      <c r="O805" s="3192">
        <f t="shared" si="132"/>
        <v>1</v>
      </c>
      <c r="P805" s="3194"/>
      <c r="Q805" s="3192">
        <f t="shared" si="133"/>
        <v>0</v>
      </c>
      <c r="R805" s="3192">
        <f t="shared" si="134"/>
        <v>0</v>
      </c>
      <c r="S805" s="898">
        <f t="shared" si="125"/>
        <v>0</v>
      </c>
      <c r="T805" s="3190">
        <f>面积表!A800</f>
        <v>0</v>
      </c>
    </row>
    <row r="806" spans="1:20">
      <c r="A806" s="3169"/>
      <c r="B806" s="52"/>
      <c r="C806" s="3192">
        <f t="shared" si="126"/>
        <v>1</v>
      </c>
      <c r="D806" s="2559"/>
      <c r="E806" s="3192">
        <f t="shared" si="127"/>
        <v>0.02</v>
      </c>
      <c r="F806" s="2559"/>
      <c r="G806" s="3192">
        <f t="shared" si="128"/>
        <v>0</v>
      </c>
      <c r="H806" s="631"/>
      <c r="I806" s="3192">
        <f t="shared" si="129"/>
        <v>1</v>
      </c>
      <c r="J806" s="631"/>
      <c r="K806" s="3192">
        <f t="shared" si="130"/>
        <v>1</v>
      </c>
      <c r="L806" s="631"/>
      <c r="M806" s="3192">
        <f t="shared" si="131"/>
        <v>1</v>
      </c>
      <c r="N806" s="631"/>
      <c r="O806" s="3192">
        <f t="shared" si="132"/>
        <v>1</v>
      </c>
      <c r="P806" s="3194"/>
      <c r="Q806" s="3192">
        <f t="shared" si="133"/>
        <v>0</v>
      </c>
      <c r="R806" s="3192">
        <f t="shared" si="134"/>
        <v>0</v>
      </c>
      <c r="S806" s="898">
        <f t="shared" si="125"/>
        <v>0</v>
      </c>
      <c r="T806" s="3190">
        <f>面积表!A801</f>
        <v>0</v>
      </c>
    </row>
    <row r="807" spans="1:20">
      <c r="A807" s="3169"/>
      <c r="B807" s="52"/>
      <c r="C807" s="3192">
        <f t="shared" si="126"/>
        <v>1</v>
      </c>
      <c r="D807" s="2559"/>
      <c r="E807" s="3192">
        <f t="shared" si="127"/>
        <v>0.02</v>
      </c>
      <c r="F807" s="2559"/>
      <c r="G807" s="3192">
        <f t="shared" si="128"/>
        <v>0</v>
      </c>
      <c r="H807" s="631"/>
      <c r="I807" s="3192">
        <f t="shared" si="129"/>
        <v>1</v>
      </c>
      <c r="J807" s="631"/>
      <c r="K807" s="3192">
        <f t="shared" si="130"/>
        <v>1</v>
      </c>
      <c r="L807" s="631"/>
      <c r="M807" s="3192">
        <f t="shared" si="131"/>
        <v>1</v>
      </c>
      <c r="N807" s="631"/>
      <c r="O807" s="3192">
        <f t="shared" si="132"/>
        <v>1</v>
      </c>
      <c r="P807" s="3194"/>
      <c r="Q807" s="3192">
        <f t="shared" si="133"/>
        <v>0</v>
      </c>
      <c r="R807" s="3192">
        <f t="shared" si="134"/>
        <v>0</v>
      </c>
      <c r="S807" s="898">
        <f t="shared" si="125"/>
        <v>0</v>
      </c>
      <c r="T807" s="3190">
        <f>面积表!A802</f>
        <v>0</v>
      </c>
    </row>
    <row r="808" spans="1:20">
      <c r="A808" s="3169"/>
      <c r="B808" s="52"/>
      <c r="C808" s="3192">
        <f t="shared" si="126"/>
        <v>1</v>
      </c>
      <c r="D808" s="2559"/>
      <c r="E808" s="3192">
        <f t="shared" si="127"/>
        <v>0.02</v>
      </c>
      <c r="F808" s="2559"/>
      <c r="G808" s="3192">
        <f t="shared" si="128"/>
        <v>0</v>
      </c>
      <c r="H808" s="631"/>
      <c r="I808" s="3192">
        <f t="shared" si="129"/>
        <v>1</v>
      </c>
      <c r="J808" s="631"/>
      <c r="K808" s="3192">
        <f t="shared" si="130"/>
        <v>1</v>
      </c>
      <c r="L808" s="631"/>
      <c r="M808" s="3192">
        <f t="shared" si="131"/>
        <v>1</v>
      </c>
      <c r="N808" s="631"/>
      <c r="O808" s="3192">
        <f t="shared" si="132"/>
        <v>1</v>
      </c>
      <c r="P808" s="3194"/>
      <c r="Q808" s="3192">
        <f t="shared" si="133"/>
        <v>0</v>
      </c>
      <c r="R808" s="3192">
        <f t="shared" si="134"/>
        <v>0</v>
      </c>
      <c r="S808" s="898">
        <f t="shared" si="125"/>
        <v>0</v>
      </c>
      <c r="T808" s="3190">
        <f>面积表!A803</f>
        <v>0</v>
      </c>
    </row>
    <row r="809" spans="1:20">
      <c r="A809" s="3169"/>
      <c r="B809" s="52"/>
      <c r="C809" s="3192">
        <f t="shared" si="126"/>
        <v>1</v>
      </c>
      <c r="D809" s="2559"/>
      <c r="E809" s="3192">
        <f t="shared" si="127"/>
        <v>0.02</v>
      </c>
      <c r="F809" s="2559"/>
      <c r="G809" s="3192">
        <f t="shared" si="128"/>
        <v>0</v>
      </c>
      <c r="H809" s="631"/>
      <c r="I809" s="3192">
        <f t="shared" si="129"/>
        <v>1</v>
      </c>
      <c r="J809" s="631"/>
      <c r="K809" s="3192">
        <f t="shared" si="130"/>
        <v>1</v>
      </c>
      <c r="L809" s="631"/>
      <c r="M809" s="3192">
        <f t="shared" si="131"/>
        <v>1</v>
      </c>
      <c r="N809" s="631"/>
      <c r="O809" s="3192">
        <f t="shared" si="132"/>
        <v>1</v>
      </c>
      <c r="P809" s="3194"/>
      <c r="Q809" s="3192">
        <f t="shared" si="133"/>
        <v>0</v>
      </c>
      <c r="R809" s="3192">
        <f t="shared" si="134"/>
        <v>0</v>
      </c>
      <c r="S809" s="898">
        <f t="shared" si="125"/>
        <v>0</v>
      </c>
      <c r="T809" s="3190">
        <f>面积表!A804</f>
        <v>0</v>
      </c>
    </row>
    <row r="810" spans="1:20">
      <c r="A810" s="3169"/>
      <c r="B810" s="52"/>
      <c r="C810" s="3192">
        <f t="shared" si="126"/>
        <v>1</v>
      </c>
      <c r="D810" s="2559"/>
      <c r="E810" s="3192">
        <f t="shared" si="127"/>
        <v>0.02</v>
      </c>
      <c r="F810" s="2559"/>
      <c r="G810" s="3192">
        <f t="shared" si="128"/>
        <v>0</v>
      </c>
      <c r="H810" s="631"/>
      <c r="I810" s="3192">
        <f t="shared" si="129"/>
        <v>1</v>
      </c>
      <c r="J810" s="631"/>
      <c r="K810" s="3192">
        <f t="shared" si="130"/>
        <v>1</v>
      </c>
      <c r="L810" s="631"/>
      <c r="M810" s="3192">
        <f t="shared" si="131"/>
        <v>1</v>
      </c>
      <c r="N810" s="631"/>
      <c r="O810" s="3192">
        <f t="shared" si="132"/>
        <v>1</v>
      </c>
      <c r="P810" s="3194"/>
      <c r="Q810" s="3192">
        <f t="shared" si="133"/>
        <v>0</v>
      </c>
      <c r="R810" s="3192">
        <f t="shared" si="134"/>
        <v>0</v>
      </c>
      <c r="S810" s="898">
        <f t="shared" si="125"/>
        <v>0</v>
      </c>
      <c r="T810" s="3190">
        <f>面积表!A805</f>
        <v>0</v>
      </c>
    </row>
    <row r="811" spans="1:20">
      <c r="A811" s="3169"/>
      <c r="B811" s="52"/>
      <c r="C811" s="3192">
        <f t="shared" si="126"/>
        <v>1</v>
      </c>
      <c r="D811" s="2559"/>
      <c r="E811" s="3192">
        <f t="shared" si="127"/>
        <v>0.02</v>
      </c>
      <c r="F811" s="2559"/>
      <c r="G811" s="3192">
        <f t="shared" si="128"/>
        <v>0</v>
      </c>
      <c r="H811" s="631"/>
      <c r="I811" s="3192">
        <f t="shared" si="129"/>
        <v>1</v>
      </c>
      <c r="J811" s="631"/>
      <c r="K811" s="3192">
        <f t="shared" si="130"/>
        <v>1</v>
      </c>
      <c r="L811" s="631"/>
      <c r="M811" s="3192">
        <f t="shared" si="131"/>
        <v>1</v>
      </c>
      <c r="N811" s="631"/>
      <c r="O811" s="3192">
        <f t="shared" si="132"/>
        <v>1</v>
      </c>
      <c r="P811" s="3194"/>
      <c r="Q811" s="3192">
        <f t="shared" si="133"/>
        <v>0</v>
      </c>
      <c r="R811" s="3192">
        <f t="shared" si="134"/>
        <v>0</v>
      </c>
      <c r="S811" s="898">
        <f t="shared" si="125"/>
        <v>0</v>
      </c>
      <c r="T811" s="3190">
        <f>面积表!A806</f>
        <v>0</v>
      </c>
    </row>
    <row r="812" spans="1:20">
      <c r="A812" s="3169"/>
      <c r="B812" s="52"/>
      <c r="C812" s="3192">
        <f t="shared" si="126"/>
        <v>1</v>
      </c>
      <c r="D812" s="2559"/>
      <c r="E812" s="3192">
        <f t="shared" si="127"/>
        <v>0.02</v>
      </c>
      <c r="F812" s="2559"/>
      <c r="G812" s="3192">
        <f t="shared" si="128"/>
        <v>0</v>
      </c>
      <c r="H812" s="631"/>
      <c r="I812" s="3192">
        <f t="shared" si="129"/>
        <v>1</v>
      </c>
      <c r="J812" s="631"/>
      <c r="K812" s="3192">
        <f t="shared" si="130"/>
        <v>1</v>
      </c>
      <c r="L812" s="631"/>
      <c r="M812" s="3192">
        <f t="shared" si="131"/>
        <v>1</v>
      </c>
      <c r="N812" s="631"/>
      <c r="O812" s="3192">
        <f t="shared" si="132"/>
        <v>1</v>
      </c>
      <c r="P812" s="3194"/>
      <c r="Q812" s="3192">
        <f t="shared" si="133"/>
        <v>0</v>
      </c>
      <c r="R812" s="3192">
        <f t="shared" si="134"/>
        <v>0</v>
      </c>
      <c r="S812" s="898">
        <f t="shared" si="125"/>
        <v>0</v>
      </c>
      <c r="T812" s="3190">
        <f>面积表!A807</f>
        <v>0</v>
      </c>
    </row>
    <row r="813" spans="1:20">
      <c r="A813" s="3169"/>
      <c r="B813" s="52"/>
      <c r="C813" s="3192">
        <f t="shared" si="126"/>
        <v>1</v>
      </c>
      <c r="D813" s="2559"/>
      <c r="E813" s="3192">
        <f t="shared" si="127"/>
        <v>0.02</v>
      </c>
      <c r="F813" s="2559"/>
      <c r="G813" s="3192">
        <f t="shared" si="128"/>
        <v>0</v>
      </c>
      <c r="H813" s="631"/>
      <c r="I813" s="3192">
        <f t="shared" si="129"/>
        <v>1</v>
      </c>
      <c r="J813" s="631"/>
      <c r="K813" s="3192">
        <f t="shared" si="130"/>
        <v>1</v>
      </c>
      <c r="L813" s="631"/>
      <c r="M813" s="3192">
        <f t="shared" si="131"/>
        <v>1</v>
      </c>
      <c r="N813" s="631"/>
      <c r="O813" s="3192">
        <f t="shared" si="132"/>
        <v>1</v>
      </c>
      <c r="P813" s="3194"/>
      <c r="Q813" s="3192">
        <f t="shared" si="133"/>
        <v>0</v>
      </c>
      <c r="R813" s="3192">
        <f t="shared" si="134"/>
        <v>0</v>
      </c>
      <c r="S813" s="898">
        <f t="shared" si="125"/>
        <v>0</v>
      </c>
      <c r="T813" s="3190">
        <f>面积表!A808</f>
        <v>0</v>
      </c>
    </row>
    <row r="814" spans="1:20">
      <c r="A814" s="3169"/>
      <c r="B814" s="52"/>
      <c r="C814" s="3192">
        <f t="shared" si="126"/>
        <v>1</v>
      </c>
      <c r="D814" s="2559"/>
      <c r="E814" s="3192">
        <f t="shared" si="127"/>
        <v>0.02</v>
      </c>
      <c r="F814" s="2559"/>
      <c r="G814" s="3192">
        <f t="shared" si="128"/>
        <v>0</v>
      </c>
      <c r="H814" s="631"/>
      <c r="I814" s="3192">
        <f t="shared" si="129"/>
        <v>1</v>
      </c>
      <c r="J814" s="631"/>
      <c r="K814" s="3192">
        <f t="shared" si="130"/>
        <v>1</v>
      </c>
      <c r="L814" s="631"/>
      <c r="M814" s="3192">
        <f t="shared" si="131"/>
        <v>1</v>
      </c>
      <c r="N814" s="631"/>
      <c r="O814" s="3192">
        <f t="shared" si="132"/>
        <v>1</v>
      </c>
      <c r="P814" s="3194"/>
      <c r="Q814" s="3192">
        <f t="shared" si="133"/>
        <v>0</v>
      </c>
      <c r="R814" s="3192">
        <f t="shared" si="134"/>
        <v>0</v>
      </c>
      <c r="S814" s="898">
        <f t="shared" si="125"/>
        <v>0</v>
      </c>
      <c r="T814" s="3190">
        <f>面积表!A809</f>
        <v>0</v>
      </c>
    </row>
    <row r="815" spans="1:20">
      <c r="A815" s="3169"/>
      <c r="B815" s="52"/>
      <c r="C815" s="3192">
        <f t="shared" si="126"/>
        <v>1</v>
      </c>
      <c r="D815" s="2559"/>
      <c r="E815" s="3192">
        <f t="shared" si="127"/>
        <v>0.02</v>
      </c>
      <c r="F815" s="2559"/>
      <c r="G815" s="3192">
        <f t="shared" si="128"/>
        <v>0</v>
      </c>
      <c r="H815" s="631"/>
      <c r="I815" s="3192">
        <f t="shared" si="129"/>
        <v>1</v>
      </c>
      <c r="J815" s="631"/>
      <c r="K815" s="3192">
        <f t="shared" si="130"/>
        <v>1</v>
      </c>
      <c r="L815" s="631"/>
      <c r="M815" s="3192">
        <f t="shared" si="131"/>
        <v>1</v>
      </c>
      <c r="N815" s="631"/>
      <c r="O815" s="3192">
        <f t="shared" si="132"/>
        <v>1</v>
      </c>
      <c r="P815" s="3194"/>
      <c r="Q815" s="3192">
        <f t="shared" si="133"/>
        <v>0</v>
      </c>
      <c r="R815" s="3192">
        <f t="shared" si="134"/>
        <v>0</v>
      </c>
      <c r="S815" s="898">
        <f t="shared" si="125"/>
        <v>0</v>
      </c>
      <c r="T815" s="3190">
        <f>面积表!A810</f>
        <v>0</v>
      </c>
    </row>
    <row r="816" spans="1:20">
      <c r="A816" s="3169"/>
      <c r="B816" s="52"/>
      <c r="C816" s="3192">
        <f t="shared" si="126"/>
        <v>1</v>
      </c>
      <c r="D816" s="2559"/>
      <c r="E816" s="3192">
        <f t="shared" si="127"/>
        <v>0.02</v>
      </c>
      <c r="F816" s="2559"/>
      <c r="G816" s="3192">
        <f t="shared" si="128"/>
        <v>0</v>
      </c>
      <c r="H816" s="631"/>
      <c r="I816" s="3192">
        <f t="shared" si="129"/>
        <v>1</v>
      </c>
      <c r="J816" s="631"/>
      <c r="K816" s="3192">
        <f t="shared" si="130"/>
        <v>1</v>
      </c>
      <c r="L816" s="631"/>
      <c r="M816" s="3192">
        <f t="shared" si="131"/>
        <v>1</v>
      </c>
      <c r="N816" s="631"/>
      <c r="O816" s="3192">
        <f t="shared" si="132"/>
        <v>1</v>
      </c>
      <c r="P816" s="3194"/>
      <c r="Q816" s="3192">
        <f t="shared" si="133"/>
        <v>0</v>
      </c>
      <c r="R816" s="3192">
        <f t="shared" si="134"/>
        <v>0</v>
      </c>
      <c r="S816" s="898">
        <f t="shared" si="125"/>
        <v>0</v>
      </c>
      <c r="T816" s="3190">
        <f>面积表!A811</f>
        <v>0</v>
      </c>
    </row>
    <row r="817" spans="1:20">
      <c r="A817" s="3169"/>
      <c r="B817" s="52"/>
      <c r="C817" s="3192">
        <f t="shared" si="126"/>
        <v>1</v>
      </c>
      <c r="D817" s="2559"/>
      <c r="E817" s="3192">
        <f t="shared" si="127"/>
        <v>0.02</v>
      </c>
      <c r="F817" s="2559"/>
      <c r="G817" s="3192">
        <f t="shared" si="128"/>
        <v>0</v>
      </c>
      <c r="H817" s="631"/>
      <c r="I817" s="3192">
        <f t="shared" si="129"/>
        <v>1</v>
      </c>
      <c r="J817" s="631"/>
      <c r="K817" s="3192">
        <f t="shared" si="130"/>
        <v>1</v>
      </c>
      <c r="L817" s="631"/>
      <c r="M817" s="3192">
        <f t="shared" si="131"/>
        <v>1</v>
      </c>
      <c r="N817" s="631"/>
      <c r="O817" s="3192">
        <f t="shared" si="132"/>
        <v>1</v>
      </c>
      <c r="P817" s="3194"/>
      <c r="Q817" s="3192">
        <f t="shared" si="133"/>
        <v>0</v>
      </c>
      <c r="R817" s="3192">
        <f t="shared" si="134"/>
        <v>0</v>
      </c>
      <c r="S817" s="898">
        <f t="shared" si="125"/>
        <v>0</v>
      </c>
      <c r="T817" s="3190">
        <f>面积表!A812</f>
        <v>0</v>
      </c>
    </row>
    <row r="818" spans="1:20">
      <c r="A818" s="3169"/>
      <c r="B818" s="52"/>
      <c r="C818" s="3192">
        <f t="shared" si="126"/>
        <v>1</v>
      </c>
      <c r="D818" s="2559"/>
      <c r="E818" s="3192">
        <f t="shared" si="127"/>
        <v>0.02</v>
      </c>
      <c r="F818" s="2559"/>
      <c r="G818" s="3192">
        <f t="shared" si="128"/>
        <v>0</v>
      </c>
      <c r="H818" s="631"/>
      <c r="I818" s="3192">
        <f t="shared" si="129"/>
        <v>1</v>
      </c>
      <c r="J818" s="631"/>
      <c r="K818" s="3192">
        <f t="shared" si="130"/>
        <v>1</v>
      </c>
      <c r="L818" s="631"/>
      <c r="M818" s="3192">
        <f t="shared" si="131"/>
        <v>1</v>
      </c>
      <c r="N818" s="631"/>
      <c r="O818" s="3192">
        <f t="shared" si="132"/>
        <v>1</v>
      </c>
      <c r="P818" s="3194"/>
      <c r="Q818" s="3192">
        <f t="shared" si="133"/>
        <v>0</v>
      </c>
      <c r="R818" s="3192">
        <f t="shared" si="134"/>
        <v>0</v>
      </c>
      <c r="S818" s="898">
        <f t="shared" si="125"/>
        <v>0</v>
      </c>
      <c r="T818" s="3190">
        <f>面积表!A813</f>
        <v>0</v>
      </c>
    </row>
    <row r="819" spans="1:20">
      <c r="A819" s="3169"/>
      <c r="B819" s="52"/>
      <c r="C819" s="3192">
        <f t="shared" si="126"/>
        <v>1</v>
      </c>
      <c r="D819" s="2559"/>
      <c r="E819" s="3192">
        <f t="shared" si="127"/>
        <v>0.02</v>
      </c>
      <c r="F819" s="2559"/>
      <c r="G819" s="3192">
        <f t="shared" si="128"/>
        <v>0</v>
      </c>
      <c r="H819" s="631"/>
      <c r="I819" s="3192">
        <f t="shared" si="129"/>
        <v>1</v>
      </c>
      <c r="J819" s="631"/>
      <c r="K819" s="3192">
        <f t="shared" si="130"/>
        <v>1</v>
      </c>
      <c r="L819" s="631"/>
      <c r="M819" s="3192">
        <f t="shared" si="131"/>
        <v>1</v>
      </c>
      <c r="N819" s="631"/>
      <c r="O819" s="3192">
        <f t="shared" si="132"/>
        <v>1</v>
      </c>
      <c r="P819" s="3194"/>
      <c r="Q819" s="3192">
        <f t="shared" si="133"/>
        <v>0</v>
      </c>
      <c r="R819" s="3192">
        <f t="shared" si="134"/>
        <v>0</v>
      </c>
      <c r="S819" s="898">
        <f t="shared" si="125"/>
        <v>0</v>
      </c>
      <c r="T819" s="3190">
        <f>面积表!A814</f>
        <v>0</v>
      </c>
    </row>
    <row r="820" spans="1:20">
      <c r="A820" s="3169"/>
      <c r="B820" s="52"/>
      <c r="C820" s="3192">
        <f t="shared" si="126"/>
        <v>1</v>
      </c>
      <c r="D820" s="2559"/>
      <c r="E820" s="3192">
        <f t="shared" si="127"/>
        <v>0.02</v>
      </c>
      <c r="F820" s="2559"/>
      <c r="G820" s="3192">
        <f t="shared" si="128"/>
        <v>0</v>
      </c>
      <c r="H820" s="631"/>
      <c r="I820" s="3192">
        <f t="shared" si="129"/>
        <v>1</v>
      </c>
      <c r="J820" s="631"/>
      <c r="K820" s="3192">
        <f t="shared" si="130"/>
        <v>1</v>
      </c>
      <c r="L820" s="631"/>
      <c r="M820" s="3192">
        <f t="shared" si="131"/>
        <v>1</v>
      </c>
      <c r="N820" s="631"/>
      <c r="O820" s="3192">
        <f t="shared" si="132"/>
        <v>1</v>
      </c>
      <c r="P820" s="3194"/>
      <c r="Q820" s="3192">
        <f t="shared" si="133"/>
        <v>0</v>
      </c>
      <c r="R820" s="3192">
        <f t="shared" si="134"/>
        <v>0</v>
      </c>
      <c r="S820" s="898">
        <f t="shared" si="125"/>
        <v>0</v>
      </c>
      <c r="T820" s="3190">
        <f>面积表!A815</f>
        <v>0</v>
      </c>
    </row>
    <row r="821" spans="1:20">
      <c r="A821" s="3169"/>
      <c r="B821" s="52"/>
      <c r="C821" s="3192">
        <f t="shared" si="126"/>
        <v>1</v>
      </c>
      <c r="D821" s="2559"/>
      <c r="E821" s="3192">
        <f t="shared" si="127"/>
        <v>0.02</v>
      </c>
      <c r="F821" s="2559"/>
      <c r="G821" s="3192">
        <f t="shared" si="128"/>
        <v>0</v>
      </c>
      <c r="H821" s="631"/>
      <c r="I821" s="3192">
        <f t="shared" si="129"/>
        <v>1</v>
      </c>
      <c r="J821" s="631"/>
      <c r="K821" s="3192">
        <f t="shared" si="130"/>
        <v>1</v>
      </c>
      <c r="L821" s="631"/>
      <c r="M821" s="3192">
        <f t="shared" si="131"/>
        <v>1</v>
      </c>
      <c r="N821" s="631"/>
      <c r="O821" s="3192">
        <f t="shared" si="132"/>
        <v>1</v>
      </c>
      <c r="P821" s="3194"/>
      <c r="Q821" s="3192">
        <f t="shared" si="133"/>
        <v>0</v>
      </c>
      <c r="R821" s="3192">
        <f t="shared" si="134"/>
        <v>0</v>
      </c>
      <c r="S821" s="898">
        <f t="shared" si="125"/>
        <v>0</v>
      </c>
      <c r="T821" s="3190">
        <f>面积表!A816</f>
        <v>0</v>
      </c>
    </row>
    <row r="822" spans="1:20">
      <c r="A822" s="3169"/>
      <c r="B822" s="52"/>
      <c r="C822" s="3192">
        <f t="shared" si="126"/>
        <v>1</v>
      </c>
      <c r="D822" s="2559"/>
      <c r="E822" s="3192">
        <f t="shared" si="127"/>
        <v>0.02</v>
      </c>
      <c r="F822" s="2559"/>
      <c r="G822" s="3192">
        <f t="shared" si="128"/>
        <v>0</v>
      </c>
      <c r="H822" s="631"/>
      <c r="I822" s="3192">
        <f t="shared" si="129"/>
        <v>1</v>
      </c>
      <c r="J822" s="631"/>
      <c r="K822" s="3192">
        <f t="shared" si="130"/>
        <v>1</v>
      </c>
      <c r="L822" s="631"/>
      <c r="M822" s="3192">
        <f t="shared" si="131"/>
        <v>1</v>
      </c>
      <c r="N822" s="631"/>
      <c r="O822" s="3192">
        <f t="shared" si="132"/>
        <v>1</v>
      </c>
      <c r="P822" s="3194"/>
      <c r="Q822" s="3192">
        <f t="shared" si="133"/>
        <v>0</v>
      </c>
      <c r="R822" s="3192">
        <f t="shared" si="134"/>
        <v>0</v>
      </c>
      <c r="S822" s="898">
        <f t="shared" si="125"/>
        <v>0</v>
      </c>
      <c r="T822" s="3190">
        <f>面积表!A817</f>
        <v>0</v>
      </c>
    </row>
    <row r="823" spans="1:20">
      <c r="A823" s="3169"/>
      <c r="B823" s="52"/>
      <c r="C823" s="3192">
        <f t="shared" si="126"/>
        <v>1</v>
      </c>
      <c r="D823" s="2559"/>
      <c r="E823" s="3192">
        <f t="shared" si="127"/>
        <v>0.02</v>
      </c>
      <c r="F823" s="2559"/>
      <c r="G823" s="3192">
        <f t="shared" si="128"/>
        <v>0</v>
      </c>
      <c r="H823" s="631"/>
      <c r="I823" s="3192">
        <f t="shared" si="129"/>
        <v>1</v>
      </c>
      <c r="J823" s="631"/>
      <c r="K823" s="3192">
        <f t="shared" si="130"/>
        <v>1</v>
      </c>
      <c r="L823" s="631"/>
      <c r="M823" s="3192">
        <f t="shared" si="131"/>
        <v>1</v>
      </c>
      <c r="N823" s="631"/>
      <c r="O823" s="3192">
        <f t="shared" si="132"/>
        <v>1</v>
      </c>
      <c r="P823" s="3194"/>
      <c r="Q823" s="3192">
        <f t="shared" si="133"/>
        <v>0</v>
      </c>
      <c r="R823" s="3192">
        <f t="shared" si="134"/>
        <v>0</v>
      </c>
      <c r="S823" s="898">
        <f t="shared" si="125"/>
        <v>0</v>
      </c>
      <c r="T823" s="3190">
        <f>面积表!A818</f>
        <v>0</v>
      </c>
    </row>
    <row r="824" spans="1:20">
      <c r="A824" s="3169"/>
      <c r="B824" s="52"/>
      <c r="C824" s="3192">
        <f t="shared" si="126"/>
        <v>1</v>
      </c>
      <c r="D824" s="2559"/>
      <c r="E824" s="3192">
        <f t="shared" si="127"/>
        <v>0.02</v>
      </c>
      <c r="F824" s="2559"/>
      <c r="G824" s="3192">
        <f t="shared" si="128"/>
        <v>0</v>
      </c>
      <c r="H824" s="631"/>
      <c r="I824" s="3192">
        <f t="shared" si="129"/>
        <v>1</v>
      </c>
      <c r="J824" s="631"/>
      <c r="K824" s="3192">
        <f t="shared" si="130"/>
        <v>1</v>
      </c>
      <c r="L824" s="631"/>
      <c r="M824" s="3192">
        <f t="shared" si="131"/>
        <v>1</v>
      </c>
      <c r="N824" s="631"/>
      <c r="O824" s="3192">
        <f t="shared" si="132"/>
        <v>1</v>
      </c>
      <c r="P824" s="3194"/>
      <c r="Q824" s="3192">
        <f t="shared" si="133"/>
        <v>0</v>
      </c>
      <c r="R824" s="3192">
        <f t="shared" si="134"/>
        <v>0</v>
      </c>
      <c r="S824" s="898">
        <f t="shared" si="125"/>
        <v>0</v>
      </c>
      <c r="T824" s="3190">
        <f>面积表!A819</f>
        <v>0</v>
      </c>
    </row>
    <row r="825" spans="1:20">
      <c r="A825" s="3169"/>
      <c r="B825" s="52"/>
      <c r="C825" s="3192">
        <f t="shared" si="126"/>
        <v>1</v>
      </c>
      <c r="D825" s="2559"/>
      <c r="E825" s="3192">
        <f t="shared" si="127"/>
        <v>0.02</v>
      </c>
      <c r="F825" s="2559"/>
      <c r="G825" s="3192">
        <f t="shared" si="128"/>
        <v>0</v>
      </c>
      <c r="H825" s="631"/>
      <c r="I825" s="3192">
        <f t="shared" si="129"/>
        <v>1</v>
      </c>
      <c r="J825" s="631"/>
      <c r="K825" s="3192">
        <f t="shared" si="130"/>
        <v>1</v>
      </c>
      <c r="L825" s="631"/>
      <c r="M825" s="3192">
        <f t="shared" si="131"/>
        <v>1</v>
      </c>
      <c r="N825" s="631"/>
      <c r="O825" s="3192">
        <f t="shared" si="132"/>
        <v>1</v>
      </c>
      <c r="P825" s="3194"/>
      <c r="Q825" s="3192">
        <f t="shared" si="133"/>
        <v>0</v>
      </c>
      <c r="R825" s="3192">
        <f t="shared" si="134"/>
        <v>0</v>
      </c>
      <c r="S825" s="898">
        <f t="shared" si="125"/>
        <v>0</v>
      </c>
      <c r="T825" s="3190">
        <f>面积表!A820</f>
        <v>0</v>
      </c>
    </row>
    <row r="826" spans="1:20">
      <c r="A826" s="3169"/>
      <c r="B826" s="52"/>
      <c r="C826" s="3192">
        <f t="shared" si="126"/>
        <v>1</v>
      </c>
      <c r="D826" s="2559"/>
      <c r="E826" s="3192">
        <f t="shared" si="127"/>
        <v>0.02</v>
      </c>
      <c r="F826" s="2559"/>
      <c r="G826" s="3192">
        <f t="shared" si="128"/>
        <v>0</v>
      </c>
      <c r="H826" s="631"/>
      <c r="I826" s="3192">
        <f t="shared" si="129"/>
        <v>1</v>
      </c>
      <c r="J826" s="631"/>
      <c r="K826" s="3192">
        <f t="shared" si="130"/>
        <v>1</v>
      </c>
      <c r="L826" s="631"/>
      <c r="M826" s="3192">
        <f t="shared" si="131"/>
        <v>1</v>
      </c>
      <c r="N826" s="631"/>
      <c r="O826" s="3192">
        <f t="shared" si="132"/>
        <v>1</v>
      </c>
      <c r="P826" s="3194"/>
      <c r="Q826" s="3192">
        <f t="shared" si="133"/>
        <v>0</v>
      </c>
      <c r="R826" s="3192">
        <f t="shared" si="134"/>
        <v>0</v>
      </c>
      <c r="S826" s="898">
        <f t="shared" si="125"/>
        <v>0</v>
      </c>
      <c r="T826" s="3190">
        <f>面积表!A821</f>
        <v>0</v>
      </c>
    </row>
    <row r="827" spans="1:20">
      <c r="A827" s="3169"/>
      <c r="B827" s="52"/>
      <c r="C827" s="3192">
        <f t="shared" si="126"/>
        <v>1</v>
      </c>
      <c r="D827" s="2559"/>
      <c r="E827" s="3192">
        <f t="shared" si="127"/>
        <v>0.02</v>
      </c>
      <c r="F827" s="2559"/>
      <c r="G827" s="3192">
        <f t="shared" si="128"/>
        <v>0</v>
      </c>
      <c r="H827" s="631"/>
      <c r="I827" s="3192">
        <f t="shared" si="129"/>
        <v>1</v>
      </c>
      <c r="J827" s="631"/>
      <c r="K827" s="3192">
        <f t="shared" si="130"/>
        <v>1</v>
      </c>
      <c r="L827" s="631"/>
      <c r="M827" s="3192">
        <f t="shared" si="131"/>
        <v>1</v>
      </c>
      <c r="N827" s="631"/>
      <c r="O827" s="3192">
        <f t="shared" si="132"/>
        <v>1</v>
      </c>
      <c r="P827" s="3194"/>
      <c r="Q827" s="3192">
        <f t="shared" si="133"/>
        <v>0</v>
      </c>
      <c r="R827" s="3192">
        <f t="shared" si="134"/>
        <v>0</v>
      </c>
      <c r="S827" s="898">
        <f t="shared" si="125"/>
        <v>0</v>
      </c>
      <c r="T827" s="3190">
        <f>面积表!A822</f>
        <v>0</v>
      </c>
    </row>
    <row r="828" spans="1:20">
      <c r="A828" s="3169"/>
      <c r="B828" s="52"/>
      <c r="C828" s="3192">
        <f t="shared" si="126"/>
        <v>1</v>
      </c>
      <c r="D828" s="2559"/>
      <c r="E828" s="3192">
        <f t="shared" si="127"/>
        <v>0.02</v>
      </c>
      <c r="F828" s="2559"/>
      <c r="G828" s="3192">
        <f t="shared" si="128"/>
        <v>0</v>
      </c>
      <c r="H828" s="631"/>
      <c r="I828" s="3192">
        <f t="shared" si="129"/>
        <v>1</v>
      </c>
      <c r="J828" s="631"/>
      <c r="K828" s="3192">
        <f t="shared" si="130"/>
        <v>1</v>
      </c>
      <c r="L828" s="631"/>
      <c r="M828" s="3192">
        <f t="shared" si="131"/>
        <v>1</v>
      </c>
      <c r="N828" s="631"/>
      <c r="O828" s="3192">
        <f t="shared" si="132"/>
        <v>1</v>
      </c>
      <c r="P828" s="3194"/>
      <c r="Q828" s="3192">
        <f t="shared" si="133"/>
        <v>0</v>
      </c>
      <c r="R828" s="3192">
        <f t="shared" si="134"/>
        <v>0</v>
      </c>
      <c r="S828" s="898">
        <f t="shared" si="125"/>
        <v>0</v>
      </c>
      <c r="T828" s="3190">
        <f>面积表!A823</f>
        <v>0</v>
      </c>
    </row>
    <row r="829" spans="1:20">
      <c r="A829" s="3169"/>
      <c r="B829" s="52"/>
      <c r="C829" s="3192">
        <f t="shared" si="126"/>
        <v>1</v>
      </c>
      <c r="D829" s="2559"/>
      <c r="E829" s="3192">
        <f t="shared" si="127"/>
        <v>0.02</v>
      </c>
      <c r="F829" s="2559"/>
      <c r="G829" s="3192">
        <f t="shared" si="128"/>
        <v>0</v>
      </c>
      <c r="H829" s="631"/>
      <c r="I829" s="3192">
        <f t="shared" si="129"/>
        <v>1</v>
      </c>
      <c r="J829" s="631"/>
      <c r="K829" s="3192">
        <f t="shared" si="130"/>
        <v>1</v>
      </c>
      <c r="L829" s="631"/>
      <c r="M829" s="3192">
        <f t="shared" si="131"/>
        <v>1</v>
      </c>
      <c r="N829" s="631"/>
      <c r="O829" s="3192">
        <f t="shared" si="132"/>
        <v>1</v>
      </c>
      <c r="P829" s="3194"/>
      <c r="Q829" s="3192">
        <f t="shared" si="133"/>
        <v>0</v>
      </c>
      <c r="R829" s="3192">
        <f t="shared" si="134"/>
        <v>0</v>
      </c>
      <c r="S829" s="898">
        <f t="shared" si="125"/>
        <v>0</v>
      </c>
      <c r="T829" s="3190">
        <f>面积表!A824</f>
        <v>0</v>
      </c>
    </row>
    <row r="830" spans="1:20">
      <c r="A830" s="3169"/>
      <c r="B830" s="52"/>
      <c r="C830" s="3192">
        <f t="shared" si="126"/>
        <v>1</v>
      </c>
      <c r="D830" s="2559"/>
      <c r="E830" s="3192">
        <f t="shared" si="127"/>
        <v>0.02</v>
      </c>
      <c r="F830" s="2559"/>
      <c r="G830" s="3192">
        <f t="shared" si="128"/>
        <v>0</v>
      </c>
      <c r="H830" s="631"/>
      <c r="I830" s="3192">
        <f t="shared" si="129"/>
        <v>1</v>
      </c>
      <c r="J830" s="631"/>
      <c r="K830" s="3192">
        <f t="shared" si="130"/>
        <v>1</v>
      </c>
      <c r="L830" s="631"/>
      <c r="M830" s="3192">
        <f t="shared" si="131"/>
        <v>1</v>
      </c>
      <c r="N830" s="631"/>
      <c r="O830" s="3192">
        <f t="shared" si="132"/>
        <v>1</v>
      </c>
      <c r="P830" s="3194"/>
      <c r="Q830" s="3192">
        <f t="shared" si="133"/>
        <v>0</v>
      </c>
      <c r="R830" s="3192">
        <f t="shared" si="134"/>
        <v>0</v>
      </c>
      <c r="S830" s="898">
        <f t="shared" si="125"/>
        <v>0</v>
      </c>
      <c r="T830" s="3190">
        <f>面积表!A825</f>
        <v>0</v>
      </c>
    </row>
    <row r="831" spans="1:20">
      <c r="A831" s="3169"/>
      <c r="B831" s="52"/>
      <c r="C831" s="3192">
        <f t="shared" si="126"/>
        <v>1</v>
      </c>
      <c r="D831" s="2559"/>
      <c r="E831" s="3192">
        <f t="shared" si="127"/>
        <v>0.02</v>
      </c>
      <c r="F831" s="2559"/>
      <c r="G831" s="3192">
        <f t="shared" si="128"/>
        <v>0</v>
      </c>
      <c r="H831" s="631"/>
      <c r="I831" s="3192">
        <f t="shared" si="129"/>
        <v>1</v>
      </c>
      <c r="J831" s="631"/>
      <c r="K831" s="3192">
        <f t="shared" si="130"/>
        <v>1</v>
      </c>
      <c r="L831" s="631"/>
      <c r="M831" s="3192">
        <f t="shared" si="131"/>
        <v>1</v>
      </c>
      <c r="N831" s="631"/>
      <c r="O831" s="3192">
        <f t="shared" si="132"/>
        <v>1</v>
      </c>
      <c r="P831" s="3194"/>
      <c r="Q831" s="3192">
        <f t="shared" si="133"/>
        <v>0</v>
      </c>
      <c r="R831" s="3192">
        <f t="shared" si="134"/>
        <v>0</v>
      </c>
      <c r="S831" s="898">
        <f t="shared" si="125"/>
        <v>0</v>
      </c>
      <c r="T831" s="3190">
        <f>面积表!A826</f>
        <v>0</v>
      </c>
    </row>
    <row r="832" spans="1:20">
      <c r="A832" s="3169"/>
      <c r="B832" s="52"/>
      <c r="C832" s="3192">
        <f t="shared" si="126"/>
        <v>1</v>
      </c>
      <c r="D832" s="2559"/>
      <c r="E832" s="3192">
        <f t="shared" si="127"/>
        <v>0.02</v>
      </c>
      <c r="F832" s="2559"/>
      <c r="G832" s="3192">
        <f t="shared" si="128"/>
        <v>0</v>
      </c>
      <c r="H832" s="631"/>
      <c r="I832" s="3192">
        <f t="shared" si="129"/>
        <v>1</v>
      </c>
      <c r="J832" s="631"/>
      <c r="K832" s="3192">
        <f t="shared" si="130"/>
        <v>1</v>
      </c>
      <c r="L832" s="631"/>
      <c r="M832" s="3192">
        <f t="shared" si="131"/>
        <v>1</v>
      </c>
      <c r="N832" s="631"/>
      <c r="O832" s="3192">
        <f t="shared" si="132"/>
        <v>1</v>
      </c>
      <c r="P832" s="3194"/>
      <c r="Q832" s="3192">
        <f t="shared" si="133"/>
        <v>0</v>
      </c>
      <c r="R832" s="3192">
        <f t="shared" si="134"/>
        <v>0</v>
      </c>
      <c r="S832" s="898">
        <f t="shared" si="125"/>
        <v>0</v>
      </c>
      <c r="T832" s="3190">
        <f>面积表!A827</f>
        <v>0</v>
      </c>
    </row>
    <row r="833" spans="1:20">
      <c r="A833" s="3169"/>
      <c r="B833" s="52"/>
      <c r="C833" s="3192">
        <f t="shared" si="126"/>
        <v>1</v>
      </c>
      <c r="D833" s="2559"/>
      <c r="E833" s="3192">
        <f t="shared" si="127"/>
        <v>0.02</v>
      </c>
      <c r="F833" s="2559"/>
      <c r="G833" s="3192">
        <f t="shared" si="128"/>
        <v>0</v>
      </c>
      <c r="H833" s="631"/>
      <c r="I833" s="3192">
        <f t="shared" si="129"/>
        <v>1</v>
      </c>
      <c r="J833" s="631"/>
      <c r="K833" s="3192">
        <f t="shared" si="130"/>
        <v>1</v>
      </c>
      <c r="L833" s="631"/>
      <c r="M833" s="3192">
        <f t="shared" si="131"/>
        <v>1</v>
      </c>
      <c r="N833" s="631"/>
      <c r="O833" s="3192">
        <f t="shared" si="132"/>
        <v>1</v>
      </c>
      <c r="P833" s="3194"/>
      <c r="Q833" s="3192">
        <f t="shared" si="133"/>
        <v>0</v>
      </c>
      <c r="R833" s="3192">
        <f t="shared" si="134"/>
        <v>0</v>
      </c>
      <c r="S833" s="898">
        <f t="shared" si="125"/>
        <v>0</v>
      </c>
      <c r="T833" s="3190">
        <f>面积表!A828</f>
        <v>0</v>
      </c>
    </row>
    <row r="834" spans="1:20">
      <c r="A834" s="3169"/>
      <c r="B834" s="52"/>
      <c r="C834" s="3192">
        <f t="shared" si="126"/>
        <v>1</v>
      </c>
      <c r="D834" s="2559"/>
      <c r="E834" s="3192">
        <f t="shared" si="127"/>
        <v>0.02</v>
      </c>
      <c r="F834" s="2559"/>
      <c r="G834" s="3192">
        <f t="shared" si="128"/>
        <v>0</v>
      </c>
      <c r="H834" s="631"/>
      <c r="I834" s="3192">
        <f t="shared" si="129"/>
        <v>1</v>
      </c>
      <c r="J834" s="631"/>
      <c r="K834" s="3192">
        <f t="shared" si="130"/>
        <v>1</v>
      </c>
      <c r="L834" s="631"/>
      <c r="M834" s="3192">
        <f t="shared" si="131"/>
        <v>1</v>
      </c>
      <c r="N834" s="631"/>
      <c r="O834" s="3192">
        <f t="shared" si="132"/>
        <v>1</v>
      </c>
      <c r="P834" s="3194"/>
      <c r="Q834" s="3192">
        <f t="shared" si="133"/>
        <v>0</v>
      </c>
      <c r="R834" s="3192">
        <f t="shared" si="134"/>
        <v>0</v>
      </c>
      <c r="S834" s="898">
        <f t="shared" si="125"/>
        <v>0</v>
      </c>
      <c r="T834" s="3190">
        <f>面积表!A829</f>
        <v>0</v>
      </c>
    </row>
    <row r="835" spans="1:20">
      <c r="A835" s="3169"/>
      <c r="B835" s="52"/>
      <c r="C835" s="3192">
        <f t="shared" si="126"/>
        <v>1</v>
      </c>
      <c r="D835" s="2559"/>
      <c r="E835" s="3192">
        <f t="shared" si="127"/>
        <v>0.02</v>
      </c>
      <c r="F835" s="2559"/>
      <c r="G835" s="3192">
        <f t="shared" si="128"/>
        <v>0</v>
      </c>
      <c r="H835" s="631"/>
      <c r="I835" s="3192">
        <f t="shared" si="129"/>
        <v>1</v>
      </c>
      <c r="J835" s="631"/>
      <c r="K835" s="3192">
        <f t="shared" si="130"/>
        <v>1</v>
      </c>
      <c r="L835" s="631"/>
      <c r="M835" s="3192">
        <f t="shared" si="131"/>
        <v>1</v>
      </c>
      <c r="N835" s="631"/>
      <c r="O835" s="3192">
        <f t="shared" si="132"/>
        <v>1</v>
      </c>
      <c r="P835" s="3194"/>
      <c r="Q835" s="3192">
        <f t="shared" si="133"/>
        <v>0</v>
      </c>
      <c r="R835" s="3192">
        <f t="shared" si="134"/>
        <v>0</v>
      </c>
      <c r="S835" s="898">
        <f t="shared" si="125"/>
        <v>0</v>
      </c>
      <c r="T835" s="3190">
        <f>面积表!A830</f>
        <v>0</v>
      </c>
    </row>
    <row r="836" spans="1:20">
      <c r="A836" s="3169"/>
      <c r="B836" s="52"/>
      <c r="C836" s="3192">
        <f t="shared" si="126"/>
        <v>1</v>
      </c>
      <c r="D836" s="2559"/>
      <c r="E836" s="3192">
        <f t="shared" si="127"/>
        <v>0.02</v>
      </c>
      <c r="F836" s="2559"/>
      <c r="G836" s="3192">
        <f t="shared" si="128"/>
        <v>0</v>
      </c>
      <c r="H836" s="631"/>
      <c r="I836" s="3192">
        <f t="shared" si="129"/>
        <v>1</v>
      </c>
      <c r="J836" s="631"/>
      <c r="K836" s="3192">
        <f t="shared" si="130"/>
        <v>1</v>
      </c>
      <c r="L836" s="631"/>
      <c r="M836" s="3192">
        <f t="shared" si="131"/>
        <v>1</v>
      </c>
      <c r="N836" s="631"/>
      <c r="O836" s="3192">
        <f t="shared" si="132"/>
        <v>1</v>
      </c>
      <c r="P836" s="3194"/>
      <c r="Q836" s="3192">
        <f t="shared" si="133"/>
        <v>0</v>
      </c>
      <c r="R836" s="3192">
        <f t="shared" si="134"/>
        <v>0</v>
      </c>
      <c r="S836" s="898">
        <f t="shared" si="125"/>
        <v>0</v>
      </c>
      <c r="T836" s="3190">
        <f>面积表!A831</f>
        <v>0</v>
      </c>
    </row>
    <row r="837" spans="1:20">
      <c r="A837" s="3169"/>
      <c r="B837" s="52"/>
      <c r="C837" s="3192">
        <f t="shared" si="126"/>
        <v>1</v>
      </c>
      <c r="D837" s="2559"/>
      <c r="E837" s="3192">
        <f t="shared" si="127"/>
        <v>0.02</v>
      </c>
      <c r="F837" s="2559"/>
      <c r="G837" s="3192">
        <f t="shared" si="128"/>
        <v>0</v>
      </c>
      <c r="H837" s="631"/>
      <c r="I837" s="3192">
        <f t="shared" si="129"/>
        <v>1</v>
      </c>
      <c r="J837" s="631"/>
      <c r="K837" s="3192">
        <f t="shared" si="130"/>
        <v>1</v>
      </c>
      <c r="L837" s="631"/>
      <c r="M837" s="3192">
        <f t="shared" si="131"/>
        <v>1</v>
      </c>
      <c r="N837" s="631"/>
      <c r="O837" s="3192">
        <f t="shared" si="132"/>
        <v>1</v>
      </c>
      <c r="P837" s="3194"/>
      <c r="Q837" s="3192">
        <f t="shared" si="133"/>
        <v>0</v>
      </c>
      <c r="R837" s="3192">
        <f t="shared" si="134"/>
        <v>0</v>
      </c>
      <c r="S837" s="898">
        <f t="shared" si="125"/>
        <v>0</v>
      </c>
      <c r="T837" s="3190">
        <f>面积表!A832</f>
        <v>0</v>
      </c>
    </row>
    <row r="838" spans="1:20">
      <c r="A838" s="3169"/>
      <c r="B838" s="52"/>
      <c r="C838" s="3192">
        <f t="shared" si="126"/>
        <v>1</v>
      </c>
      <c r="D838" s="2559"/>
      <c r="E838" s="3192">
        <f t="shared" si="127"/>
        <v>0.02</v>
      </c>
      <c r="F838" s="2559"/>
      <c r="G838" s="3192">
        <f t="shared" si="128"/>
        <v>0</v>
      </c>
      <c r="H838" s="631"/>
      <c r="I838" s="3192">
        <f t="shared" si="129"/>
        <v>1</v>
      </c>
      <c r="J838" s="631"/>
      <c r="K838" s="3192">
        <f t="shared" si="130"/>
        <v>1</v>
      </c>
      <c r="L838" s="631"/>
      <c r="M838" s="3192">
        <f t="shared" si="131"/>
        <v>1</v>
      </c>
      <c r="N838" s="631"/>
      <c r="O838" s="3192">
        <f t="shared" si="132"/>
        <v>1</v>
      </c>
      <c r="P838" s="3194"/>
      <c r="Q838" s="3192">
        <f t="shared" si="133"/>
        <v>0</v>
      </c>
      <c r="R838" s="3192">
        <f t="shared" si="134"/>
        <v>0</v>
      </c>
      <c r="S838" s="898">
        <f t="shared" si="125"/>
        <v>0</v>
      </c>
      <c r="T838" s="3190">
        <f>面积表!A833</f>
        <v>0</v>
      </c>
    </row>
    <row r="839" spans="1:20">
      <c r="A839" s="3169"/>
      <c r="B839" s="52"/>
      <c r="C839" s="3192">
        <f t="shared" si="126"/>
        <v>1</v>
      </c>
      <c r="D839" s="2559"/>
      <c r="E839" s="3192">
        <f t="shared" si="127"/>
        <v>0.02</v>
      </c>
      <c r="F839" s="2559"/>
      <c r="G839" s="3192">
        <f t="shared" si="128"/>
        <v>0</v>
      </c>
      <c r="H839" s="631"/>
      <c r="I839" s="3192">
        <f t="shared" si="129"/>
        <v>1</v>
      </c>
      <c r="J839" s="631"/>
      <c r="K839" s="3192">
        <f t="shared" si="130"/>
        <v>1</v>
      </c>
      <c r="L839" s="631"/>
      <c r="M839" s="3192">
        <f t="shared" si="131"/>
        <v>1</v>
      </c>
      <c r="N839" s="631"/>
      <c r="O839" s="3192">
        <f t="shared" si="132"/>
        <v>1</v>
      </c>
      <c r="P839" s="3194"/>
      <c r="Q839" s="3192">
        <f t="shared" si="133"/>
        <v>0</v>
      </c>
      <c r="R839" s="3192">
        <f t="shared" si="134"/>
        <v>0</v>
      </c>
      <c r="S839" s="898">
        <f t="shared" si="125"/>
        <v>0</v>
      </c>
      <c r="T839" s="3190">
        <f>面积表!A834</f>
        <v>0</v>
      </c>
    </row>
    <row r="840" spans="1:20">
      <c r="A840" s="3169"/>
      <c r="B840" s="52"/>
      <c r="C840" s="3192">
        <f t="shared" si="126"/>
        <v>1</v>
      </c>
      <c r="D840" s="2559"/>
      <c r="E840" s="3192">
        <f t="shared" si="127"/>
        <v>0.02</v>
      </c>
      <c r="F840" s="2559"/>
      <c r="G840" s="3192">
        <f t="shared" si="128"/>
        <v>0</v>
      </c>
      <c r="H840" s="631"/>
      <c r="I840" s="3192">
        <f t="shared" si="129"/>
        <v>1</v>
      </c>
      <c r="J840" s="631"/>
      <c r="K840" s="3192">
        <f t="shared" si="130"/>
        <v>1</v>
      </c>
      <c r="L840" s="631"/>
      <c r="M840" s="3192">
        <f t="shared" si="131"/>
        <v>1</v>
      </c>
      <c r="N840" s="631"/>
      <c r="O840" s="3192">
        <f t="shared" si="132"/>
        <v>1</v>
      </c>
      <c r="P840" s="3194"/>
      <c r="Q840" s="3192">
        <f t="shared" si="133"/>
        <v>0</v>
      </c>
      <c r="R840" s="3192">
        <f t="shared" si="134"/>
        <v>0</v>
      </c>
      <c r="S840" s="898">
        <f t="shared" si="125"/>
        <v>0</v>
      </c>
      <c r="T840" s="3190">
        <f>面积表!A835</f>
        <v>0</v>
      </c>
    </row>
    <row r="841" spans="1:20">
      <c r="A841" s="3169"/>
      <c r="B841" s="52"/>
      <c r="C841" s="3192">
        <f t="shared" si="126"/>
        <v>1</v>
      </c>
      <c r="D841" s="2559"/>
      <c r="E841" s="3192">
        <f t="shared" si="127"/>
        <v>0.02</v>
      </c>
      <c r="F841" s="2559"/>
      <c r="G841" s="3192">
        <f t="shared" si="128"/>
        <v>0</v>
      </c>
      <c r="H841" s="631"/>
      <c r="I841" s="3192">
        <f t="shared" si="129"/>
        <v>1</v>
      </c>
      <c r="J841" s="631"/>
      <c r="K841" s="3192">
        <f t="shared" si="130"/>
        <v>1</v>
      </c>
      <c r="L841" s="631"/>
      <c r="M841" s="3192">
        <f t="shared" si="131"/>
        <v>1</v>
      </c>
      <c r="N841" s="631"/>
      <c r="O841" s="3192">
        <f t="shared" si="132"/>
        <v>1</v>
      </c>
      <c r="P841" s="3194"/>
      <c r="Q841" s="3192">
        <f t="shared" si="133"/>
        <v>0</v>
      </c>
      <c r="R841" s="3192">
        <f t="shared" si="134"/>
        <v>0</v>
      </c>
      <c r="S841" s="898">
        <f t="shared" si="125"/>
        <v>0</v>
      </c>
      <c r="T841" s="3190">
        <f>面积表!A836</f>
        <v>0</v>
      </c>
    </row>
    <row r="842" spans="1:20">
      <c r="A842" s="3169"/>
      <c r="B842" s="52"/>
      <c r="C842" s="3192">
        <f t="shared" si="126"/>
        <v>1</v>
      </c>
      <c r="D842" s="2559"/>
      <c r="E842" s="3192">
        <f t="shared" si="127"/>
        <v>0.02</v>
      </c>
      <c r="F842" s="2559"/>
      <c r="G842" s="3192">
        <f t="shared" si="128"/>
        <v>0</v>
      </c>
      <c r="H842" s="631"/>
      <c r="I842" s="3192">
        <f t="shared" si="129"/>
        <v>1</v>
      </c>
      <c r="J842" s="631"/>
      <c r="K842" s="3192">
        <f t="shared" si="130"/>
        <v>1</v>
      </c>
      <c r="L842" s="631"/>
      <c r="M842" s="3192">
        <f t="shared" si="131"/>
        <v>1</v>
      </c>
      <c r="N842" s="631"/>
      <c r="O842" s="3192">
        <f t="shared" si="132"/>
        <v>1</v>
      </c>
      <c r="P842" s="3194"/>
      <c r="Q842" s="3192">
        <f t="shared" si="133"/>
        <v>0</v>
      </c>
      <c r="R842" s="3192">
        <f t="shared" si="134"/>
        <v>0</v>
      </c>
      <c r="S842" s="898">
        <f t="shared" si="125"/>
        <v>0</v>
      </c>
      <c r="T842" s="3190">
        <f>面积表!A837</f>
        <v>0</v>
      </c>
    </row>
    <row r="843" spans="1:20">
      <c r="A843" s="3169"/>
      <c r="B843" s="52"/>
      <c r="C843" s="3192">
        <f t="shared" si="126"/>
        <v>1</v>
      </c>
      <c r="D843" s="2559"/>
      <c r="E843" s="3192">
        <f t="shared" si="127"/>
        <v>0.02</v>
      </c>
      <c r="F843" s="2559"/>
      <c r="G843" s="3192">
        <f t="shared" si="128"/>
        <v>0</v>
      </c>
      <c r="H843" s="631"/>
      <c r="I843" s="3192">
        <f t="shared" si="129"/>
        <v>1</v>
      </c>
      <c r="J843" s="631"/>
      <c r="K843" s="3192">
        <f t="shared" si="130"/>
        <v>1</v>
      </c>
      <c r="L843" s="631"/>
      <c r="M843" s="3192">
        <f t="shared" si="131"/>
        <v>1</v>
      </c>
      <c r="N843" s="631"/>
      <c r="O843" s="3192">
        <f t="shared" si="132"/>
        <v>1</v>
      </c>
      <c r="P843" s="3194"/>
      <c r="Q843" s="3192">
        <f t="shared" si="133"/>
        <v>0</v>
      </c>
      <c r="R843" s="3192">
        <f t="shared" si="134"/>
        <v>0</v>
      </c>
      <c r="S843" s="898">
        <f t="shared" si="125"/>
        <v>0</v>
      </c>
      <c r="T843" s="3190">
        <f>面积表!A838</f>
        <v>0</v>
      </c>
    </row>
    <row r="844" spans="1:20">
      <c r="A844" s="3169"/>
      <c r="B844" s="52"/>
      <c r="C844" s="3192">
        <f t="shared" si="126"/>
        <v>1</v>
      </c>
      <c r="D844" s="2559"/>
      <c r="E844" s="3192">
        <f t="shared" si="127"/>
        <v>0.02</v>
      </c>
      <c r="F844" s="2559"/>
      <c r="G844" s="3192">
        <f t="shared" si="128"/>
        <v>0</v>
      </c>
      <c r="H844" s="631"/>
      <c r="I844" s="3192">
        <f t="shared" si="129"/>
        <v>1</v>
      </c>
      <c r="J844" s="631"/>
      <c r="K844" s="3192">
        <f t="shared" si="130"/>
        <v>1</v>
      </c>
      <c r="L844" s="631"/>
      <c r="M844" s="3192">
        <f t="shared" si="131"/>
        <v>1</v>
      </c>
      <c r="N844" s="631"/>
      <c r="O844" s="3192">
        <f t="shared" si="132"/>
        <v>1</v>
      </c>
      <c r="P844" s="3194"/>
      <c r="Q844" s="3192">
        <f t="shared" si="133"/>
        <v>0</v>
      </c>
      <c r="R844" s="3192">
        <f t="shared" si="134"/>
        <v>0</v>
      </c>
      <c r="S844" s="898">
        <f t="shared" si="125"/>
        <v>0</v>
      </c>
      <c r="T844" s="3190">
        <f>面积表!A839</f>
        <v>0</v>
      </c>
    </row>
    <row r="845" spans="1:20">
      <c r="A845" s="3169"/>
      <c r="B845" s="52"/>
      <c r="C845" s="3192">
        <f t="shared" si="126"/>
        <v>1</v>
      </c>
      <c r="D845" s="2559"/>
      <c r="E845" s="3192">
        <f t="shared" si="127"/>
        <v>0.02</v>
      </c>
      <c r="F845" s="2559"/>
      <c r="G845" s="3192">
        <f t="shared" si="128"/>
        <v>0</v>
      </c>
      <c r="H845" s="631"/>
      <c r="I845" s="3192">
        <f t="shared" si="129"/>
        <v>1</v>
      </c>
      <c r="J845" s="631"/>
      <c r="K845" s="3192">
        <f t="shared" si="130"/>
        <v>1</v>
      </c>
      <c r="L845" s="631"/>
      <c r="M845" s="3192">
        <f t="shared" si="131"/>
        <v>1</v>
      </c>
      <c r="N845" s="631"/>
      <c r="O845" s="3192">
        <f t="shared" si="132"/>
        <v>1</v>
      </c>
      <c r="P845" s="3194"/>
      <c r="Q845" s="3192">
        <f t="shared" si="133"/>
        <v>0</v>
      </c>
      <c r="R845" s="3192">
        <f t="shared" si="134"/>
        <v>0</v>
      </c>
      <c r="S845" s="898">
        <f t="shared" si="125"/>
        <v>0</v>
      </c>
      <c r="T845" s="3190">
        <f>面积表!A840</f>
        <v>0</v>
      </c>
    </row>
    <row r="846" spans="1:20">
      <c r="A846" s="3169"/>
      <c r="B846" s="52"/>
      <c r="C846" s="3192">
        <f t="shared" si="126"/>
        <v>1</v>
      </c>
      <c r="D846" s="2559"/>
      <c r="E846" s="3192">
        <f t="shared" si="127"/>
        <v>0.02</v>
      </c>
      <c r="F846" s="2559"/>
      <c r="G846" s="3192">
        <f t="shared" si="128"/>
        <v>0</v>
      </c>
      <c r="H846" s="631"/>
      <c r="I846" s="3192">
        <f t="shared" si="129"/>
        <v>1</v>
      </c>
      <c r="J846" s="631"/>
      <c r="K846" s="3192">
        <f t="shared" si="130"/>
        <v>1</v>
      </c>
      <c r="L846" s="631"/>
      <c r="M846" s="3192">
        <f t="shared" si="131"/>
        <v>1</v>
      </c>
      <c r="N846" s="631"/>
      <c r="O846" s="3192">
        <f t="shared" si="132"/>
        <v>1</v>
      </c>
      <c r="P846" s="3194"/>
      <c r="Q846" s="3192">
        <f t="shared" si="133"/>
        <v>0</v>
      </c>
      <c r="R846" s="3192">
        <f t="shared" si="134"/>
        <v>0</v>
      </c>
      <c r="S846" s="898">
        <f t="shared" si="125"/>
        <v>0</v>
      </c>
      <c r="T846" s="3190">
        <f>面积表!A841</f>
        <v>0</v>
      </c>
    </row>
    <row r="847" spans="1:20">
      <c r="A847" s="3169"/>
      <c r="B847" s="52"/>
      <c r="C847" s="3192">
        <f t="shared" si="126"/>
        <v>1</v>
      </c>
      <c r="D847" s="2559"/>
      <c r="E847" s="3192">
        <f t="shared" si="127"/>
        <v>0.02</v>
      </c>
      <c r="F847" s="2559"/>
      <c r="G847" s="3192">
        <f t="shared" si="128"/>
        <v>0</v>
      </c>
      <c r="H847" s="631"/>
      <c r="I847" s="3192">
        <f t="shared" si="129"/>
        <v>1</v>
      </c>
      <c r="J847" s="631"/>
      <c r="K847" s="3192">
        <f t="shared" si="130"/>
        <v>1</v>
      </c>
      <c r="L847" s="631"/>
      <c r="M847" s="3192">
        <f t="shared" si="131"/>
        <v>1</v>
      </c>
      <c r="N847" s="631"/>
      <c r="O847" s="3192">
        <f t="shared" si="132"/>
        <v>1</v>
      </c>
      <c r="P847" s="3194"/>
      <c r="Q847" s="3192">
        <f t="shared" si="133"/>
        <v>0</v>
      </c>
      <c r="R847" s="3192">
        <f t="shared" si="134"/>
        <v>0</v>
      </c>
      <c r="S847" s="898">
        <f t="shared" si="125"/>
        <v>0</v>
      </c>
      <c r="T847" s="3190">
        <f>面积表!A842</f>
        <v>0</v>
      </c>
    </row>
    <row r="848" spans="1:20">
      <c r="A848" s="3169"/>
      <c r="B848" s="52"/>
      <c r="C848" s="3192">
        <f t="shared" si="126"/>
        <v>1</v>
      </c>
      <c r="D848" s="2559"/>
      <c r="E848" s="3192">
        <f t="shared" si="127"/>
        <v>0.02</v>
      </c>
      <c r="F848" s="2559"/>
      <c r="G848" s="3192">
        <f t="shared" si="128"/>
        <v>0</v>
      </c>
      <c r="H848" s="631"/>
      <c r="I848" s="3192">
        <f t="shared" si="129"/>
        <v>1</v>
      </c>
      <c r="J848" s="631"/>
      <c r="K848" s="3192">
        <f t="shared" si="130"/>
        <v>1</v>
      </c>
      <c r="L848" s="631"/>
      <c r="M848" s="3192">
        <f t="shared" si="131"/>
        <v>1</v>
      </c>
      <c r="N848" s="631"/>
      <c r="O848" s="3192">
        <f t="shared" si="132"/>
        <v>1</v>
      </c>
      <c r="P848" s="3194"/>
      <c r="Q848" s="3192">
        <f t="shared" si="133"/>
        <v>0</v>
      </c>
      <c r="R848" s="3192">
        <f t="shared" si="134"/>
        <v>0</v>
      </c>
      <c r="S848" s="898">
        <f t="shared" si="125"/>
        <v>0</v>
      </c>
      <c r="T848" s="3190">
        <f>面积表!A843</f>
        <v>0</v>
      </c>
    </row>
    <row r="849" spans="1:20">
      <c r="A849" s="3169"/>
      <c r="B849" s="52"/>
      <c r="C849" s="3192">
        <f t="shared" si="126"/>
        <v>1</v>
      </c>
      <c r="D849" s="2559"/>
      <c r="E849" s="3192">
        <f t="shared" si="127"/>
        <v>0.02</v>
      </c>
      <c r="F849" s="2559"/>
      <c r="G849" s="3192">
        <f t="shared" si="128"/>
        <v>0</v>
      </c>
      <c r="H849" s="631"/>
      <c r="I849" s="3192">
        <f t="shared" si="129"/>
        <v>1</v>
      </c>
      <c r="J849" s="631"/>
      <c r="K849" s="3192">
        <f t="shared" si="130"/>
        <v>1</v>
      </c>
      <c r="L849" s="631"/>
      <c r="M849" s="3192">
        <f t="shared" si="131"/>
        <v>1</v>
      </c>
      <c r="N849" s="631"/>
      <c r="O849" s="3192">
        <f t="shared" si="132"/>
        <v>1</v>
      </c>
      <c r="P849" s="3194"/>
      <c r="Q849" s="3192">
        <f t="shared" si="133"/>
        <v>0</v>
      </c>
      <c r="R849" s="3192">
        <f t="shared" si="134"/>
        <v>0</v>
      </c>
      <c r="S849" s="898">
        <f t="shared" si="125"/>
        <v>0</v>
      </c>
      <c r="T849" s="3190">
        <f>面积表!A844</f>
        <v>0</v>
      </c>
    </row>
    <row r="850" spans="1:20">
      <c r="A850" s="3169"/>
      <c r="B850" s="52"/>
      <c r="C850" s="3192">
        <f t="shared" si="126"/>
        <v>1</v>
      </c>
      <c r="D850" s="2559"/>
      <c r="E850" s="3192">
        <f t="shared" si="127"/>
        <v>0.02</v>
      </c>
      <c r="F850" s="2559"/>
      <c r="G850" s="3192">
        <f t="shared" si="128"/>
        <v>0</v>
      </c>
      <c r="H850" s="631"/>
      <c r="I850" s="3192">
        <f t="shared" si="129"/>
        <v>1</v>
      </c>
      <c r="J850" s="631"/>
      <c r="K850" s="3192">
        <f t="shared" si="130"/>
        <v>1</v>
      </c>
      <c r="L850" s="631"/>
      <c r="M850" s="3192">
        <f t="shared" si="131"/>
        <v>1</v>
      </c>
      <c r="N850" s="631"/>
      <c r="O850" s="3192">
        <f t="shared" si="132"/>
        <v>1</v>
      </c>
      <c r="P850" s="3194"/>
      <c r="Q850" s="3192">
        <f t="shared" si="133"/>
        <v>0</v>
      </c>
      <c r="R850" s="3192">
        <f t="shared" si="134"/>
        <v>0</v>
      </c>
      <c r="S850" s="898">
        <f t="shared" si="125"/>
        <v>0</v>
      </c>
      <c r="T850" s="3190">
        <f>面积表!A845</f>
        <v>0</v>
      </c>
    </row>
    <row r="851" spans="1:20">
      <c r="A851" s="3169"/>
      <c r="B851" s="52"/>
      <c r="C851" s="3192">
        <f t="shared" si="126"/>
        <v>1</v>
      </c>
      <c r="D851" s="2559"/>
      <c r="E851" s="3192">
        <f t="shared" si="127"/>
        <v>0.02</v>
      </c>
      <c r="F851" s="2559"/>
      <c r="G851" s="3192">
        <f t="shared" si="128"/>
        <v>0</v>
      </c>
      <c r="H851" s="631"/>
      <c r="I851" s="3192">
        <f t="shared" si="129"/>
        <v>1</v>
      </c>
      <c r="J851" s="631"/>
      <c r="K851" s="3192">
        <f t="shared" si="130"/>
        <v>1</v>
      </c>
      <c r="L851" s="631"/>
      <c r="M851" s="3192">
        <f t="shared" si="131"/>
        <v>1</v>
      </c>
      <c r="N851" s="631"/>
      <c r="O851" s="3192">
        <f t="shared" si="132"/>
        <v>1</v>
      </c>
      <c r="P851" s="3194"/>
      <c r="Q851" s="3192">
        <f t="shared" si="133"/>
        <v>0</v>
      </c>
      <c r="R851" s="3192">
        <f t="shared" si="134"/>
        <v>0</v>
      </c>
      <c r="S851" s="898">
        <f t="shared" si="125"/>
        <v>0</v>
      </c>
      <c r="T851" s="3190">
        <f>面积表!A846</f>
        <v>0</v>
      </c>
    </row>
    <row r="852" spans="1:20">
      <c r="A852" s="3169"/>
      <c r="B852" s="52"/>
      <c r="C852" s="3192">
        <f t="shared" si="126"/>
        <v>1</v>
      </c>
      <c r="D852" s="2559"/>
      <c r="E852" s="3192">
        <f t="shared" si="127"/>
        <v>0.02</v>
      </c>
      <c r="F852" s="2559"/>
      <c r="G852" s="3192">
        <f t="shared" si="128"/>
        <v>0</v>
      </c>
      <c r="H852" s="631"/>
      <c r="I852" s="3192">
        <f t="shared" si="129"/>
        <v>1</v>
      </c>
      <c r="J852" s="631"/>
      <c r="K852" s="3192">
        <f t="shared" si="130"/>
        <v>1</v>
      </c>
      <c r="L852" s="631"/>
      <c r="M852" s="3192">
        <f t="shared" si="131"/>
        <v>1</v>
      </c>
      <c r="N852" s="631"/>
      <c r="O852" s="3192">
        <f t="shared" si="132"/>
        <v>1</v>
      </c>
      <c r="P852" s="3194"/>
      <c r="Q852" s="3192">
        <f t="shared" si="133"/>
        <v>0</v>
      </c>
      <c r="R852" s="3192">
        <f t="shared" si="134"/>
        <v>0</v>
      </c>
      <c r="S852" s="898">
        <f t="shared" si="125"/>
        <v>0</v>
      </c>
      <c r="T852" s="3190">
        <f>面积表!A847</f>
        <v>0</v>
      </c>
    </row>
    <row r="853" spans="1:20">
      <c r="A853" s="3169"/>
      <c r="B853" s="52"/>
      <c r="C853" s="3192">
        <f t="shared" si="126"/>
        <v>1</v>
      </c>
      <c r="D853" s="2559"/>
      <c r="E853" s="3192">
        <f t="shared" si="127"/>
        <v>0.02</v>
      </c>
      <c r="F853" s="2559"/>
      <c r="G853" s="3192">
        <f t="shared" si="128"/>
        <v>0</v>
      </c>
      <c r="H853" s="631"/>
      <c r="I853" s="3192">
        <f t="shared" si="129"/>
        <v>1</v>
      </c>
      <c r="J853" s="631"/>
      <c r="K853" s="3192">
        <f t="shared" si="130"/>
        <v>1</v>
      </c>
      <c r="L853" s="631"/>
      <c r="M853" s="3192">
        <f t="shared" si="131"/>
        <v>1</v>
      </c>
      <c r="N853" s="631"/>
      <c r="O853" s="3192">
        <f t="shared" si="132"/>
        <v>1</v>
      </c>
      <c r="P853" s="3194"/>
      <c r="Q853" s="3192">
        <f t="shared" si="133"/>
        <v>0</v>
      </c>
      <c r="R853" s="3192">
        <f t="shared" si="134"/>
        <v>0</v>
      </c>
      <c r="S853" s="898">
        <f t="shared" si="125"/>
        <v>0</v>
      </c>
      <c r="T853" s="3190">
        <f>面积表!A848</f>
        <v>0</v>
      </c>
    </row>
    <row r="854" spans="1:20">
      <c r="A854" s="3169"/>
      <c r="B854" s="52"/>
      <c r="C854" s="3192">
        <f t="shared" si="126"/>
        <v>1</v>
      </c>
      <c r="D854" s="2559"/>
      <c r="E854" s="3192">
        <f t="shared" si="127"/>
        <v>0.02</v>
      </c>
      <c r="F854" s="2559"/>
      <c r="G854" s="3192">
        <f t="shared" si="128"/>
        <v>0</v>
      </c>
      <c r="H854" s="631"/>
      <c r="I854" s="3192">
        <f t="shared" si="129"/>
        <v>1</v>
      </c>
      <c r="J854" s="631"/>
      <c r="K854" s="3192">
        <f t="shared" si="130"/>
        <v>1</v>
      </c>
      <c r="L854" s="631"/>
      <c r="M854" s="3192">
        <f t="shared" si="131"/>
        <v>1</v>
      </c>
      <c r="N854" s="631"/>
      <c r="O854" s="3192">
        <f t="shared" si="132"/>
        <v>1</v>
      </c>
      <c r="P854" s="3194"/>
      <c r="Q854" s="3192">
        <f t="shared" si="133"/>
        <v>0</v>
      </c>
      <c r="R854" s="3192">
        <f t="shared" si="134"/>
        <v>0</v>
      </c>
      <c r="S854" s="898">
        <f t="shared" si="125"/>
        <v>0</v>
      </c>
      <c r="T854" s="3190">
        <f>面积表!A849</f>
        <v>0</v>
      </c>
    </row>
    <row r="855" spans="1:20">
      <c r="A855" s="3169"/>
      <c r="B855" s="52"/>
      <c r="C855" s="3192">
        <f t="shared" si="126"/>
        <v>1</v>
      </c>
      <c r="D855" s="2559"/>
      <c r="E855" s="3192">
        <f t="shared" si="127"/>
        <v>0.02</v>
      </c>
      <c r="F855" s="2559"/>
      <c r="G855" s="3192">
        <f t="shared" si="128"/>
        <v>0</v>
      </c>
      <c r="H855" s="631"/>
      <c r="I855" s="3192">
        <f t="shared" si="129"/>
        <v>1</v>
      </c>
      <c r="J855" s="631"/>
      <c r="K855" s="3192">
        <f t="shared" si="130"/>
        <v>1</v>
      </c>
      <c r="L855" s="631"/>
      <c r="M855" s="3192">
        <f t="shared" si="131"/>
        <v>1</v>
      </c>
      <c r="N855" s="631"/>
      <c r="O855" s="3192">
        <f t="shared" si="132"/>
        <v>1</v>
      </c>
      <c r="P855" s="3194"/>
      <c r="Q855" s="3192">
        <f t="shared" si="133"/>
        <v>0</v>
      </c>
      <c r="R855" s="3192">
        <f t="shared" si="134"/>
        <v>0</v>
      </c>
      <c r="S855" s="898">
        <f t="shared" si="125"/>
        <v>0</v>
      </c>
      <c r="T855" s="3190">
        <f>面积表!A850</f>
        <v>0</v>
      </c>
    </row>
    <row r="856" spans="1:20">
      <c r="A856" s="3169"/>
      <c r="B856" s="52"/>
      <c r="C856" s="3192">
        <f t="shared" si="126"/>
        <v>1</v>
      </c>
      <c r="D856" s="2559"/>
      <c r="E856" s="3192">
        <f t="shared" si="127"/>
        <v>0.02</v>
      </c>
      <c r="F856" s="2559"/>
      <c r="G856" s="3192">
        <f t="shared" si="128"/>
        <v>0</v>
      </c>
      <c r="H856" s="631"/>
      <c r="I856" s="3192">
        <f t="shared" si="129"/>
        <v>1</v>
      </c>
      <c r="J856" s="631"/>
      <c r="K856" s="3192">
        <f t="shared" si="130"/>
        <v>1</v>
      </c>
      <c r="L856" s="631"/>
      <c r="M856" s="3192">
        <f t="shared" si="131"/>
        <v>1</v>
      </c>
      <c r="N856" s="631"/>
      <c r="O856" s="3192">
        <f t="shared" si="132"/>
        <v>1</v>
      </c>
      <c r="P856" s="3194"/>
      <c r="Q856" s="3192">
        <f t="shared" si="133"/>
        <v>0</v>
      </c>
      <c r="R856" s="3192">
        <f t="shared" si="134"/>
        <v>0</v>
      </c>
      <c r="S856" s="898">
        <f t="shared" ref="S856:S919" si="135">ROUND(R856*B856/10000,0)</f>
        <v>0</v>
      </c>
      <c r="T856" s="3190">
        <f>面积表!A851</f>
        <v>0</v>
      </c>
    </row>
    <row r="857" spans="1:20">
      <c r="A857" s="3169"/>
      <c r="B857" s="52"/>
      <c r="C857" s="3192">
        <f t="shared" si="126"/>
        <v>1</v>
      </c>
      <c r="D857" s="2559"/>
      <c r="E857" s="3192">
        <f t="shared" si="127"/>
        <v>0.02</v>
      </c>
      <c r="F857" s="2559"/>
      <c r="G857" s="3192">
        <f t="shared" si="128"/>
        <v>0</v>
      </c>
      <c r="H857" s="631"/>
      <c r="I857" s="3192">
        <f t="shared" si="129"/>
        <v>1</v>
      </c>
      <c r="J857" s="631"/>
      <c r="K857" s="3192">
        <f t="shared" si="130"/>
        <v>1</v>
      </c>
      <c r="L857" s="631"/>
      <c r="M857" s="3192">
        <f t="shared" si="131"/>
        <v>1</v>
      </c>
      <c r="N857" s="631"/>
      <c r="O857" s="3192">
        <f t="shared" si="132"/>
        <v>1</v>
      </c>
      <c r="P857" s="3194"/>
      <c r="Q857" s="3192">
        <f t="shared" si="133"/>
        <v>0</v>
      </c>
      <c r="R857" s="3192">
        <f t="shared" si="134"/>
        <v>0</v>
      </c>
      <c r="S857" s="898">
        <f t="shared" si="135"/>
        <v>0</v>
      </c>
      <c r="T857" s="3190">
        <f>面积表!A852</f>
        <v>0</v>
      </c>
    </row>
    <row r="858" spans="1:20">
      <c r="A858" s="3169"/>
      <c r="B858" s="52"/>
      <c r="C858" s="3192">
        <f t="shared" ref="C858:C921" si="136">IF(B858="",1,(LOOKUP(B858,$3:$3,$4:$4)-LOOKUP($B$24,$3:$3,$4:$4)+100)/100)</f>
        <v>1</v>
      </c>
      <c r="D858" s="2559"/>
      <c r="E858" s="3192">
        <f t="shared" ref="E858:E921" si="137">(SUMIF($5:$5,D858,$6:$6)-SUMIF($5:$5,$D$24,$6:$6)+100)/100</f>
        <v>0.02</v>
      </c>
      <c r="F858" s="2559"/>
      <c r="G858" s="3192">
        <f t="shared" ref="G858:G921" si="138">(SUMIF($7:$7,F858,$8:$8)-SUMIF($7:$7,$F$24,$8:$8)+100)/100</f>
        <v>0</v>
      </c>
      <c r="H858" s="631"/>
      <c r="I858" s="3192">
        <f t="shared" ref="I858:I921" si="139">(SUMIF($9:$9,H858,$10:$10)-SUMIF($9:$9,$H$24,$10:$10)+100)/100</f>
        <v>1</v>
      </c>
      <c r="J858" s="631"/>
      <c r="K858" s="3192">
        <f t="shared" ref="K858:K921" si="140">(SUMIF($11:$11,J858,$12:$12)-SUMIF($11:$11,$J$24,$12:$12)+100)/100</f>
        <v>1</v>
      </c>
      <c r="L858" s="631"/>
      <c r="M858" s="3192">
        <f t="shared" ref="M858:M921" si="141">(SUMIF($13:$13,L858,$14:$14)-SUMIF($13:$13,$L$24,$14:$14)+100)/100</f>
        <v>1</v>
      </c>
      <c r="N858" s="631"/>
      <c r="O858" s="3192">
        <f t="shared" ref="O858:O921" si="142">(SUMIF($15:$15,N858,$16:$16)-SUMIF($15:$15,$N$24,$16:$16)+100)/100</f>
        <v>1</v>
      </c>
      <c r="P858" s="3194"/>
      <c r="Q858" s="3192">
        <f t="shared" ref="Q858:Q921" si="143">(SUMIF($17:$17,P858,$18:$18)-SUMIF($17:$17,$P$24,$18:$18)+100)/100</f>
        <v>0</v>
      </c>
      <c r="R858" s="3192">
        <f t="shared" ref="R858:R921" si="144">IF(B858="",0,ROUND($R$24*C858*E858*G858*I858*K858*M858*O858*Q858,0))</f>
        <v>0</v>
      </c>
      <c r="S858" s="898">
        <f t="shared" si="135"/>
        <v>0</v>
      </c>
      <c r="T858" s="3190">
        <f>面积表!A853</f>
        <v>0</v>
      </c>
    </row>
    <row r="859" spans="1:20">
      <c r="A859" s="3169"/>
      <c r="B859" s="52"/>
      <c r="C859" s="3192">
        <f t="shared" si="136"/>
        <v>1</v>
      </c>
      <c r="D859" s="2559"/>
      <c r="E859" s="3192">
        <f t="shared" si="137"/>
        <v>0.02</v>
      </c>
      <c r="F859" s="2559"/>
      <c r="G859" s="3192">
        <f t="shared" si="138"/>
        <v>0</v>
      </c>
      <c r="H859" s="631"/>
      <c r="I859" s="3192">
        <f t="shared" si="139"/>
        <v>1</v>
      </c>
      <c r="J859" s="631"/>
      <c r="K859" s="3192">
        <f t="shared" si="140"/>
        <v>1</v>
      </c>
      <c r="L859" s="631"/>
      <c r="M859" s="3192">
        <f t="shared" si="141"/>
        <v>1</v>
      </c>
      <c r="N859" s="631"/>
      <c r="O859" s="3192">
        <f t="shared" si="142"/>
        <v>1</v>
      </c>
      <c r="P859" s="3194"/>
      <c r="Q859" s="3192">
        <f t="shared" si="143"/>
        <v>0</v>
      </c>
      <c r="R859" s="3192">
        <f t="shared" si="144"/>
        <v>0</v>
      </c>
      <c r="S859" s="898">
        <f t="shared" si="135"/>
        <v>0</v>
      </c>
      <c r="T859" s="3190">
        <f>面积表!A854</f>
        <v>0</v>
      </c>
    </row>
    <row r="860" spans="1:20">
      <c r="A860" s="3169"/>
      <c r="B860" s="52"/>
      <c r="C860" s="3192">
        <f t="shared" si="136"/>
        <v>1</v>
      </c>
      <c r="D860" s="2559"/>
      <c r="E860" s="3192">
        <f t="shared" si="137"/>
        <v>0.02</v>
      </c>
      <c r="F860" s="2559"/>
      <c r="G860" s="3192">
        <f t="shared" si="138"/>
        <v>0</v>
      </c>
      <c r="H860" s="631"/>
      <c r="I860" s="3192">
        <f t="shared" si="139"/>
        <v>1</v>
      </c>
      <c r="J860" s="631"/>
      <c r="K860" s="3192">
        <f t="shared" si="140"/>
        <v>1</v>
      </c>
      <c r="L860" s="631"/>
      <c r="M860" s="3192">
        <f t="shared" si="141"/>
        <v>1</v>
      </c>
      <c r="N860" s="631"/>
      <c r="O860" s="3192">
        <f t="shared" si="142"/>
        <v>1</v>
      </c>
      <c r="P860" s="3194"/>
      <c r="Q860" s="3192">
        <f t="shared" si="143"/>
        <v>0</v>
      </c>
      <c r="R860" s="3192">
        <f t="shared" si="144"/>
        <v>0</v>
      </c>
      <c r="S860" s="898">
        <f t="shared" si="135"/>
        <v>0</v>
      </c>
      <c r="T860" s="3190">
        <f>面积表!A855</f>
        <v>0</v>
      </c>
    </row>
    <row r="861" spans="1:20">
      <c r="A861" s="3169"/>
      <c r="B861" s="52"/>
      <c r="C861" s="3192">
        <f t="shared" si="136"/>
        <v>1</v>
      </c>
      <c r="D861" s="2559"/>
      <c r="E861" s="3192">
        <f t="shared" si="137"/>
        <v>0.02</v>
      </c>
      <c r="F861" s="2559"/>
      <c r="G861" s="3192">
        <f t="shared" si="138"/>
        <v>0</v>
      </c>
      <c r="H861" s="631"/>
      <c r="I861" s="3192">
        <f t="shared" si="139"/>
        <v>1</v>
      </c>
      <c r="J861" s="631"/>
      <c r="K861" s="3192">
        <f t="shared" si="140"/>
        <v>1</v>
      </c>
      <c r="L861" s="631"/>
      <c r="M861" s="3192">
        <f t="shared" si="141"/>
        <v>1</v>
      </c>
      <c r="N861" s="631"/>
      <c r="O861" s="3192">
        <f t="shared" si="142"/>
        <v>1</v>
      </c>
      <c r="P861" s="3194"/>
      <c r="Q861" s="3192">
        <f t="shared" si="143"/>
        <v>0</v>
      </c>
      <c r="R861" s="3192">
        <f t="shared" si="144"/>
        <v>0</v>
      </c>
      <c r="S861" s="898">
        <f t="shared" si="135"/>
        <v>0</v>
      </c>
      <c r="T861" s="3190">
        <f>面积表!A856</f>
        <v>0</v>
      </c>
    </row>
    <row r="862" spans="1:20">
      <c r="A862" s="3169"/>
      <c r="B862" s="52"/>
      <c r="C862" s="3192">
        <f t="shared" si="136"/>
        <v>1</v>
      </c>
      <c r="D862" s="2559"/>
      <c r="E862" s="3192">
        <f t="shared" si="137"/>
        <v>0.02</v>
      </c>
      <c r="F862" s="2559"/>
      <c r="G862" s="3192">
        <f t="shared" si="138"/>
        <v>0</v>
      </c>
      <c r="H862" s="631"/>
      <c r="I862" s="3192">
        <f t="shared" si="139"/>
        <v>1</v>
      </c>
      <c r="J862" s="631"/>
      <c r="K862" s="3192">
        <f t="shared" si="140"/>
        <v>1</v>
      </c>
      <c r="L862" s="631"/>
      <c r="M862" s="3192">
        <f t="shared" si="141"/>
        <v>1</v>
      </c>
      <c r="N862" s="631"/>
      <c r="O862" s="3192">
        <f t="shared" si="142"/>
        <v>1</v>
      </c>
      <c r="P862" s="3194"/>
      <c r="Q862" s="3192">
        <f t="shared" si="143"/>
        <v>0</v>
      </c>
      <c r="R862" s="3192">
        <f t="shared" si="144"/>
        <v>0</v>
      </c>
      <c r="S862" s="898">
        <f t="shared" si="135"/>
        <v>0</v>
      </c>
      <c r="T862" s="3190">
        <f>面积表!A857</f>
        <v>0</v>
      </c>
    </row>
    <row r="863" spans="1:20">
      <c r="A863" s="3169"/>
      <c r="B863" s="52"/>
      <c r="C863" s="3192">
        <f t="shared" si="136"/>
        <v>1</v>
      </c>
      <c r="D863" s="2559"/>
      <c r="E863" s="3192">
        <f t="shared" si="137"/>
        <v>0.02</v>
      </c>
      <c r="F863" s="2559"/>
      <c r="G863" s="3192">
        <f t="shared" si="138"/>
        <v>0</v>
      </c>
      <c r="H863" s="631"/>
      <c r="I863" s="3192">
        <f t="shared" si="139"/>
        <v>1</v>
      </c>
      <c r="J863" s="631"/>
      <c r="K863" s="3192">
        <f t="shared" si="140"/>
        <v>1</v>
      </c>
      <c r="L863" s="631"/>
      <c r="M863" s="3192">
        <f t="shared" si="141"/>
        <v>1</v>
      </c>
      <c r="N863" s="631"/>
      <c r="O863" s="3192">
        <f t="shared" si="142"/>
        <v>1</v>
      </c>
      <c r="P863" s="3194"/>
      <c r="Q863" s="3192">
        <f t="shared" si="143"/>
        <v>0</v>
      </c>
      <c r="R863" s="3192">
        <f t="shared" si="144"/>
        <v>0</v>
      </c>
      <c r="S863" s="898">
        <f t="shared" si="135"/>
        <v>0</v>
      </c>
      <c r="T863" s="3190">
        <f>面积表!A858</f>
        <v>0</v>
      </c>
    </row>
    <row r="864" spans="1:20">
      <c r="A864" s="3169"/>
      <c r="B864" s="52"/>
      <c r="C864" s="3192">
        <f t="shared" si="136"/>
        <v>1</v>
      </c>
      <c r="D864" s="2559"/>
      <c r="E864" s="3192">
        <f t="shared" si="137"/>
        <v>0.02</v>
      </c>
      <c r="F864" s="2559"/>
      <c r="G864" s="3192">
        <f t="shared" si="138"/>
        <v>0</v>
      </c>
      <c r="H864" s="631"/>
      <c r="I864" s="3192">
        <f t="shared" si="139"/>
        <v>1</v>
      </c>
      <c r="J864" s="631"/>
      <c r="K864" s="3192">
        <f t="shared" si="140"/>
        <v>1</v>
      </c>
      <c r="L864" s="631"/>
      <c r="M864" s="3192">
        <f t="shared" si="141"/>
        <v>1</v>
      </c>
      <c r="N864" s="631"/>
      <c r="O864" s="3192">
        <f t="shared" si="142"/>
        <v>1</v>
      </c>
      <c r="P864" s="3194"/>
      <c r="Q864" s="3192">
        <f t="shared" si="143"/>
        <v>0</v>
      </c>
      <c r="R864" s="3192">
        <f t="shared" si="144"/>
        <v>0</v>
      </c>
      <c r="S864" s="898">
        <f t="shared" si="135"/>
        <v>0</v>
      </c>
      <c r="T864" s="3190">
        <f>面积表!A859</f>
        <v>0</v>
      </c>
    </row>
    <row r="865" spans="1:20">
      <c r="A865" s="3169"/>
      <c r="B865" s="52"/>
      <c r="C865" s="3192">
        <f t="shared" si="136"/>
        <v>1</v>
      </c>
      <c r="D865" s="2559"/>
      <c r="E865" s="3192">
        <f t="shared" si="137"/>
        <v>0.02</v>
      </c>
      <c r="F865" s="2559"/>
      <c r="G865" s="3192">
        <f t="shared" si="138"/>
        <v>0</v>
      </c>
      <c r="H865" s="631"/>
      <c r="I865" s="3192">
        <f t="shared" si="139"/>
        <v>1</v>
      </c>
      <c r="J865" s="631"/>
      <c r="K865" s="3192">
        <f t="shared" si="140"/>
        <v>1</v>
      </c>
      <c r="L865" s="631"/>
      <c r="M865" s="3192">
        <f t="shared" si="141"/>
        <v>1</v>
      </c>
      <c r="N865" s="631"/>
      <c r="O865" s="3192">
        <f t="shared" si="142"/>
        <v>1</v>
      </c>
      <c r="P865" s="3194"/>
      <c r="Q865" s="3192">
        <f t="shared" si="143"/>
        <v>0</v>
      </c>
      <c r="R865" s="3192">
        <f t="shared" si="144"/>
        <v>0</v>
      </c>
      <c r="S865" s="898">
        <f t="shared" si="135"/>
        <v>0</v>
      </c>
      <c r="T865" s="3190">
        <f>面积表!A860</f>
        <v>0</v>
      </c>
    </row>
    <row r="866" spans="1:20">
      <c r="A866" s="3169"/>
      <c r="B866" s="52"/>
      <c r="C866" s="3192">
        <f t="shared" si="136"/>
        <v>1</v>
      </c>
      <c r="D866" s="2559"/>
      <c r="E866" s="3192">
        <f t="shared" si="137"/>
        <v>0.02</v>
      </c>
      <c r="F866" s="2559"/>
      <c r="G866" s="3192">
        <f t="shared" si="138"/>
        <v>0</v>
      </c>
      <c r="H866" s="631"/>
      <c r="I866" s="3192">
        <f t="shared" si="139"/>
        <v>1</v>
      </c>
      <c r="J866" s="631"/>
      <c r="K866" s="3192">
        <f t="shared" si="140"/>
        <v>1</v>
      </c>
      <c r="L866" s="631"/>
      <c r="M866" s="3192">
        <f t="shared" si="141"/>
        <v>1</v>
      </c>
      <c r="N866" s="631"/>
      <c r="O866" s="3192">
        <f t="shared" si="142"/>
        <v>1</v>
      </c>
      <c r="P866" s="3194"/>
      <c r="Q866" s="3192">
        <f t="shared" si="143"/>
        <v>0</v>
      </c>
      <c r="R866" s="3192">
        <f t="shared" si="144"/>
        <v>0</v>
      </c>
      <c r="S866" s="898">
        <f t="shared" si="135"/>
        <v>0</v>
      </c>
      <c r="T866" s="3190">
        <f>面积表!A861</f>
        <v>0</v>
      </c>
    </row>
    <row r="867" spans="1:20">
      <c r="A867" s="3169"/>
      <c r="B867" s="52"/>
      <c r="C867" s="3192">
        <f t="shared" si="136"/>
        <v>1</v>
      </c>
      <c r="D867" s="2559"/>
      <c r="E867" s="3192">
        <f t="shared" si="137"/>
        <v>0.02</v>
      </c>
      <c r="F867" s="2559"/>
      <c r="G867" s="3192">
        <f t="shared" si="138"/>
        <v>0</v>
      </c>
      <c r="H867" s="631"/>
      <c r="I867" s="3192">
        <f t="shared" si="139"/>
        <v>1</v>
      </c>
      <c r="J867" s="631"/>
      <c r="K867" s="3192">
        <f t="shared" si="140"/>
        <v>1</v>
      </c>
      <c r="L867" s="631"/>
      <c r="M867" s="3192">
        <f t="shared" si="141"/>
        <v>1</v>
      </c>
      <c r="N867" s="631"/>
      <c r="O867" s="3192">
        <f t="shared" si="142"/>
        <v>1</v>
      </c>
      <c r="P867" s="3194"/>
      <c r="Q867" s="3192">
        <f t="shared" si="143"/>
        <v>0</v>
      </c>
      <c r="R867" s="3192">
        <f t="shared" si="144"/>
        <v>0</v>
      </c>
      <c r="S867" s="898">
        <f t="shared" si="135"/>
        <v>0</v>
      </c>
      <c r="T867" s="3190">
        <f>面积表!A862</f>
        <v>0</v>
      </c>
    </row>
    <row r="868" spans="1:20">
      <c r="A868" s="3169"/>
      <c r="B868" s="52"/>
      <c r="C868" s="3192">
        <f t="shared" si="136"/>
        <v>1</v>
      </c>
      <c r="D868" s="2559"/>
      <c r="E868" s="3192">
        <f t="shared" si="137"/>
        <v>0.02</v>
      </c>
      <c r="F868" s="2559"/>
      <c r="G868" s="3192">
        <f t="shared" si="138"/>
        <v>0</v>
      </c>
      <c r="H868" s="631"/>
      <c r="I868" s="3192">
        <f t="shared" si="139"/>
        <v>1</v>
      </c>
      <c r="J868" s="631"/>
      <c r="K868" s="3192">
        <f t="shared" si="140"/>
        <v>1</v>
      </c>
      <c r="L868" s="631"/>
      <c r="M868" s="3192">
        <f t="shared" si="141"/>
        <v>1</v>
      </c>
      <c r="N868" s="631"/>
      <c r="O868" s="3192">
        <f t="shared" si="142"/>
        <v>1</v>
      </c>
      <c r="P868" s="3194"/>
      <c r="Q868" s="3192">
        <f t="shared" si="143"/>
        <v>0</v>
      </c>
      <c r="R868" s="3192">
        <f t="shared" si="144"/>
        <v>0</v>
      </c>
      <c r="S868" s="898">
        <f t="shared" si="135"/>
        <v>0</v>
      </c>
      <c r="T868" s="3190">
        <f>面积表!A863</f>
        <v>0</v>
      </c>
    </row>
    <row r="869" spans="1:20">
      <c r="A869" s="3169"/>
      <c r="B869" s="52"/>
      <c r="C869" s="3192">
        <f t="shared" si="136"/>
        <v>1</v>
      </c>
      <c r="D869" s="2559"/>
      <c r="E869" s="3192">
        <f t="shared" si="137"/>
        <v>0.02</v>
      </c>
      <c r="F869" s="2559"/>
      <c r="G869" s="3192">
        <f t="shared" si="138"/>
        <v>0</v>
      </c>
      <c r="H869" s="631"/>
      <c r="I869" s="3192">
        <f t="shared" si="139"/>
        <v>1</v>
      </c>
      <c r="J869" s="631"/>
      <c r="K869" s="3192">
        <f t="shared" si="140"/>
        <v>1</v>
      </c>
      <c r="L869" s="631"/>
      <c r="M869" s="3192">
        <f t="shared" si="141"/>
        <v>1</v>
      </c>
      <c r="N869" s="631"/>
      <c r="O869" s="3192">
        <f t="shared" si="142"/>
        <v>1</v>
      </c>
      <c r="P869" s="3194"/>
      <c r="Q869" s="3192">
        <f t="shared" si="143"/>
        <v>0</v>
      </c>
      <c r="R869" s="3192">
        <f t="shared" si="144"/>
        <v>0</v>
      </c>
      <c r="S869" s="898">
        <f t="shared" si="135"/>
        <v>0</v>
      </c>
      <c r="T869" s="3190">
        <f>面积表!A864</f>
        <v>0</v>
      </c>
    </row>
    <row r="870" spans="1:20">
      <c r="A870" s="3169"/>
      <c r="B870" s="52"/>
      <c r="C870" s="3192">
        <f t="shared" si="136"/>
        <v>1</v>
      </c>
      <c r="D870" s="2559"/>
      <c r="E870" s="3192">
        <f t="shared" si="137"/>
        <v>0.02</v>
      </c>
      <c r="F870" s="2559"/>
      <c r="G870" s="3192">
        <f t="shared" si="138"/>
        <v>0</v>
      </c>
      <c r="H870" s="631"/>
      <c r="I870" s="3192">
        <f t="shared" si="139"/>
        <v>1</v>
      </c>
      <c r="J870" s="631"/>
      <c r="K870" s="3192">
        <f t="shared" si="140"/>
        <v>1</v>
      </c>
      <c r="L870" s="631"/>
      <c r="M870" s="3192">
        <f t="shared" si="141"/>
        <v>1</v>
      </c>
      <c r="N870" s="631"/>
      <c r="O870" s="3192">
        <f t="shared" si="142"/>
        <v>1</v>
      </c>
      <c r="P870" s="3194"/>
      <c r="Q870" s="3192">
        <f t="shared" si="143"/>
        <v>0</v>
      </c>
      <c r="R870" s="3192">
        <f t="shared" si="144"/>
        <v>0</v>
      </c>
      <c r="S870" s="898">
        <f t="shared" si="135"/>
        <v>0</v>
      </c>
      <c r="T870" s="3190">
        <f>面积表!A865</f>
        <v>0</v>
      </c>
    </row>
    <row r="871" spans="1:20">
      <c r="A871" s="3169"/>
      <c r="B871" s="52"/>
      <c r="C871" s="3192">
        <f t="shared" si="136"/>
        <v>1</v>
      </c>
      <c r="D871" s="2559"/>
      <c r="E871" s="3192">
        <f t="shared" si="137"/>
        <v>0.02</v>
      </c>
      <c r="F871" s="2559"/>
      <c r="G871" s="3192">
        <f t="shared" si="138"/>
        <v>0</v>
      </c>
      <c r="H871" s="631"/>
      <c r="I871" s="3192">
        <f t="shared" si="139"/>
        <v>1</v>
      </c>
      <c r="J871" s="631"/>
      <c r="K871" s="3192">
        <f t="shared" si="140"/>
        <v>1</v>
      </c>
      <c r="L871" s="631"/>
      <c r="M871" s="3192">
        <f t="shared" si="141"/>
        <v>1</v>
      </c>
      <c r="N871" s="631"/>
      <c r="O871" s="3192">
        <f t="shared" si="142"/>
        <v>1</v>
      </c>
      <c r="P871" s="3194"/>
      <c r="Q871" s="3192">
        <f t="shared" si="143"/>
        <v>0</v>
      </c>
      <c r="R871" s="3192">
        <f t="shared" si="144"/>
        <v>0</v>
      </c>
      <c r="S871" s="898">
        <f t="shared" si="135"/>
        <v>0</v>
      </c>
      <c r="T871" s="3190">
        <f>面积表!A866</f>
        <v>0</v>
      </c>
    </row>
    <row r="872" spans="1:20">
      <c r="A872" s="3169"/>
      <c r="B872" s="52"/>
      <c r="C872" s="3192">
        <f t="shared" si="136"/>
        <v>1</v>
      </c>
      <c r="D872" s="2559"/>
      <c r="E872" s="3192">
        <f t="shared" si="137"/>
        <v>0.02</v>
      </c>
      <c r="F872" s="2559"/>
      <c r="G872" s="3192">
        <f t="shared" si="138"/>
        <v>0</v>
      </c>
      <c r="H872" s="631"/>
      <c r="I872" s="3192">
        <f t="shared" si="139"/>
        <v>1</v>
      </c>
      <c r="J872" s="631"/>
      <c r="K872" s="3192">
        <f t="shared" si="140"/>
        <v>1</v>
      </c>
      <c r="L872" s="631"/>
      <c r="M872" s="3192">
        <f t="shared" si="141"/>
        <v>1</v>
      </c>
      <c r="N872" s="631"/>
      <c r="O872" s="3192">
        <f t="shared" si="142"/>
        <v>1</v>
      </c>
      <c r="P872" s="3194"/>
      <c r="Q872" s="3192">
        <f t="shared" si="143"/>
        <v>0</v>
      </c>
      <c r="R872" s="3192">
        <f t="shared" si="144"/>
        <v>0</v>
      </c>
      <c r="S872" s="898">
        <f t="shared" si="135"/>
        <v>0</v>
      </c>
      <c r="T872" s="3190">
        <f>面积表!A867</f>
        <v>0</v>
      </c>
    </row>
    <row r="873" spans="1:20">
      <c r="A873" s="3169"/>
      <c r="B873" s="52"/>
      <c r="C873" s="3192">
        <f t="shared" si="136"/>
        <v>1</v>
      </c>
      <c r="D873" s="2559"/>
      <c r="E873" s="3192">
        <f t="shared" si="137"/>
        <v>0.02</v>
      </c>
      <c r="F873" s="2559"/>
      <c r="G873" s="3192">
        <f t="shared" si="138"/>
        <v>0</v>
      </c>
      <c r="H873" s="631"/>
      <c r="I873" s="3192">
        <f t="shared" si="139"/>
        <v>1</v>
      </c>
      <c r="J873" s="631"/>
      <c r="K873" s="3192">
        <f t="shared" si="140"/>
        <v>1</v>
      </c>
      <c r="L873" s="631"/>
      <c r="M873" s="3192">
        <f t="shared" si="141"/>
        <v>1</v>
      </c>
      <c r="N873" s="631"/>
      <c r="O873" s="3192">
        <f t="shared" si="142"/>
        <v>1</v>
      </c>
      <c r="P873" s="3194"/>
      <c r="Q873" s="3192">
        <f t="shared" si="143"/>
        <v>0</v>
      </c>
      <c r="R873" s="3192">
        <f t="shared" si="144"/>
        <v>0</v>
      </c>
      <c r="S873" s="898">
        <f t="shared" si="135"/>
        <v>0</v>
      </c>
      <c r="T873" s="3190">
        <f>面积表!A868</f>
        <v>0</v>
      </c>
    </row>
    <row r="874" spans="1:20">
      <c r="A874" s="3169"/>
      <c r="B874" s="52"/>
      <c r="C874" s="3192">
        <f t="shared" si="136"/>
        <v>1</v>
      </c>
      <c r="D874" s="2559"/>
      <c r="E874" s="3192">
        <f t="shared" si="137"/>
        <v>0.02</v>
      </c>
      <c r="F874" s="2559"/>
      <c r="G874" s="3192">
        <f t="shared" si="138"/>
        <v>0</v>
      </c>
      <c r="H874" s="631"/>
      <c r="I874" s="3192">
        <f t="shared" si="139"/>
        <v>1</v>
      </c>
      <c r="J874" s="631"/>
      <c r="K874" s="3192">
        <f t="shared" si="140"/>
        <v>1</v>
      </c>
      <c r="L874" s="631"/>
      <c r="M874" s="3192">
        <f t="shared" si="141"/>
        <v>1</v>
      </c>
      <c r="N874" s="631"/>
      <c r="O874" s="3192">
        <f t="shared" si="142"/>
        <v>1</v>
      </c>
      <c r="P874" s="3194"/>
      <c r="Q874" s="3192">
        <f t="shared" si="143"/>
        <v>0</v>
      </c>
      <c r="R874" s="3192">
        <f t="shared" si="144"/>
        <v>0</v>
      </c>
      <c r="S874" s="898">
        <f t="shared" si="135"/>
        <v>0</v>
      </c>
      <c r="T874" s="3190">
        <f>面积表!A869</f>
        <v>0</v>
      </c>
    </row>
    <row r="875" spans="1:20">
      <c r="A875" s="3169"/>
      <c r="B875" s="52"/>
      <c r="C875" s="3192">
        <f t="shared" si="136"/>
        <v>1</v>
      </c>
      <c r="D875" s="2559"/>
      <c r="E875" s="3192">
        <f t="shared" si="137"/>
        <v>0.02</v>
      </c>
      <c r="F875" s="2559"/>
      <c r="G875" s="3192">
        <f t="shared" si="138"/>
        <v>0</v>
      </c>
      <c r="H875" s="631"/>
      <c r="I875" s="3192">
        <f t="shared" si="139"/>
        <v>1</v>
      </c>
      <c r="J875" s="631"/>
      <c r="K875" s="3192">
        <f t="shared" si="140"/>
        <v>1</v>
      </c>
      <c r="L875" s="631"/>
      <c r="M875" s="3192">
        <f t="shared" si="141"/>
        <v>1</v>
      </c>
      <c r="N875" s="631"/>
      <c r="O875" s="3192">
        <f t="shared" si="142"/>
        <v>1</v>
      </c>
      <c r="P875" s="3194"/>
      <c r="Q875" s="3192">
        <f t="shared" si="143"/>
        <v>0</v>
      </c>
      <c r="R875" s="3192">
        <f t="shared" si="144"/>
        <v>0</v>
      </c>
      <c r="S875" s="898">
        <f t="shared" si="135"/>
        <v>0</v>
      </c>
      <c r="T875" s="3190">
        <f>面积表!A870</f>
        <v>0</v>
      </c>
    </row>
    <row r="876" spans="1:20">
      <c r="A876" s="3169"/>
      <c r="B876" s="52"/>
      <c r="C876" s="3192">
        <f t="shared" si="136"/>
        <v>1</v>
      </c>
      <c r="D876" s="2559"/>
      <c r="E876" s="3192">
        <f t="shared" si="137"/>
        <v>0.02</v>
      </c>
      <c r="F876" s="2559"/>
      <c r="G876" s="3192">
        <f t="shared" si="138"/>
        <v>0</v>
      </c>
      <c r="H876" s="631"/>
      <c r="I876" s="3192">
        <f t="shared" si="139"/>
        <v>1</v>
      </c>
      <c r="J876" s="631"/>
      <c r="K876" s="3192">
        <f t="shared" si="140"/>
        <v>1</v>
      </c>
      <c r="L876" s="631"/>
      <c r="M876" s="3192">
        <f t="shared" si="141"/>
        <v>1</v>
      </c>
      <c r="N876" s="631"/>
      <c r="O876" s="3192">
        <f t="shared" si="142"/>
        <v>1</v>
      </c>
      <c r="P876" s="3194"/>
      <c r="Q876" s="3192">
        <f t="shared" si="143"/>
        <v>0</v>
      </c>
      <c r="R876" s="3192">
        <f t="shared" si="144"/>
        <v>0</v>
      </c>
      <c r="S876" s="898">
        <f t="shared" si="135"/>
        <v>0</v>
      </c>
      <c r="T876" s="3190">
        <f>面积表!A871</f>
        <v>0</v>
      </c>
    </row>
    <row r="877" spans="1:20">
      <c r="A877" s="3169"/>
      <c r="B877" s="52"/>
      <c r="C877" s="3192">
        <f t="shared" si="136"/>
        <v>1</v>
      </c>
      <c r="D877" s="2559"/>
      <c r="E877" s="3192">
        <f t="shared" si="137"/>
        <v>0.02</v>
      </c>
      <c r="F877" s="2559"/>
      <c r="G877" s="3192">
        <f t="shared" si="138"/>
        <v>0</v>
      </c>
      <c r="H877" s="631"/>
      <c r="I877" s="3192">
        <f t="shared" si="139"/>
        <v>1</v>
      </c>
      <c r="J877" s="631"/>
      <c r="K877" s="3192">
        <f t="shared" si="140"/>
        <v>1</v>
      </c>
      <c r="L877" s="631"/>
      <c r="M877" s="3192">
        <f t="shared" si="141"/>
        <v>1</v>
      </c>
      <c r="N877" s="631"/>
      <c r="O877" s="3192">
        <f t="shared" si="142"/>
        <v>1</v>
      </c>
      <c r="P877" s="3194"/>
      <c r="Q877" s="3192">
        <f t="shared" si="143"/>
        <v>0</v>
      </c>
      <c r="R877" s="3192">
        <f t="shared" si="144"/>
        <v>0</v>
      </c>
      <c r="S877" s="898">
        <f t="shared" si="135"/>
        <v>0</v>
      </c>
      <c r="T877" s="3190">
        <f>面积表!A872</f>
        <v>0</v>
      </c>
    </row>
    <row r="878" spans="1:20">
      <c r="A878" s="3169"/>
      <c r="B878" s="52"/>
      <c r="C878" s="3192">
        <f t="shared" si="136"/>
        <v>1</v>
      </c>
      <c r="D878" s="2559"/>
      <c r="E878" s="3192">
        <f t="shared" si="137"/>
        <v>0.02</v>
      </c>
      <c r="F878" s="2559"/>
      <c r="G878" s="3192">
        <f t="shared" si="138"/>
        <v>0</v>
      </c>
      <c r="H878" s="631"/>
      <c r="I878" s="3192">
        <f t="shared" si="139"/>
        <v>1</v>
      </c>
      <c r="J878" s="631"/>
      <c r="K878" s="3192">
        <f t="shared" si="140"/>
        <v>1</v>
      </c>
      <c r="L878" s="631"/>
      <c r="M878" s="3192">
        <f t="shared" si="141"/>
        <v>1</v>
      </c>
      <c r="N878" s="631"/>
      <c r="O878" s="3192">
        <f t="shared" si="142"/>
        <v>1</v>
      </c>
      <c r="P878" s="3194"/>
      <c r="Q878" s="3192">
        <f t="shared" si="143"/>
        <v>0</v>
      </c>
      <c r="R878" s="3192">
        <f t="shared" si="144"/>
        <v>0</v>
      </c>
      <c r="S878" s="898">
        <f t="shared" si="135"/>
        <v>0</v>
      </c>
      <c r="T878" s="3190">
        <f>面积表!A873</f>
        <v>0</v>
      </c>
    </row>
    <row r="879" spans="1:20">
      <c r="A879" s="3169"/>
      <c r="B879" s="52"/>
      <c r="C879" s="3192">
        <f t="shared" si="136"/>
        <v>1</v>
      </c>
      <c r="D879" s="2559"/>
      <c r="E879" s="3192">
        <f t="shared" si="137"/>
        <v>0.02</v>
      </c>
      <c r="F879" s="2559"/>
      <c r="G879" s="3192">
        <f t="shared" si="138"/>
        <v>0</v>
      </c>
      <c r="H879" s="631"/>
      <c r="I879" s="3192">
        <f t="shared" si="139"/>
        <v>1</v>
      </c>
      <c r="J879" s="631"/>
      <c r="K879" s="3192">
        <f t="shared" si="140"/>
        <v>1</v>
      </c>
      <c r="L879" s="631"/>
      <c r="M879" s="3192">
        <f t="shared" si="141"/>
        <v>1</v>
      </c>
      <c r="N879" s="631"/>
      <c r="O879" s="3192">
        <f t="shared" si="142"/>
        <v>1</v>
      </c>
      <c r="P879" s="3194"/>
      <c r="Q879" s="3192">
        <f t="shared" si="143"/>
        <v>0</v>
      </c>
      <c r="R879" s="3192">
        <f t="shared" si="144"/>
        <v>0</v>
      </c>
      <c r="S879" s="898">
        <f t="shared" si="135"/>
        <v>0</v>
      </c>
      <c r="T879" s="3190">
        <f>面积表!A874</f>
        <v>0</v>
      </c>
    </row>
    <row r="880" spans="1:20">
      <c r="A880" s="3169"/>
      <c r="B880" s="52"/>
      <c r="C880" s="3192">
        <f t="shared" si="136"/>
        <v>1</v>
      </c>
      <c r="D880" s="2559"/>
      <c r="E880" s="3192">
        <f t="shared" si="137"/>
        <v>0.02</v>
      </c>
      <c r="F880" s="2559"/>
      <c r="G880" s="3192">
        <f t="shared" si="138"/>
        <v>0</v>
      </c>
      <c r="H880" s="631"/>
      <c r="I880" s="3192">
        <f t="shared" si="139"/>
        <v>1</v>
      </c>
      <c r="J880" s="631"/>
      <c r="K880" s="3192">
        <f t="shared" si="140"/>
        <v>1</v>
      </c>
      <c r="L880" s="631"/>
      <c r="M880" s="3192">
        <f t="shared" si="141"/>
        <v>1</v>
      </c>
      <c r="N880" s="631"/>
      <c r="O880" s="3192">
        <f t="shared" si="142"/>
        <v>1</v>
      </c>
      <c r="P880" s="3194"/>
      <c r="Q880" s="3192">
        <f t="shared" si="143"/>
        <v>0</v>
      </c>
      <c r="R880" s="3192">
        <f t="shared" si="144"/>
        <v>0</v>
      </c>
      <c r="S880" s="898">
        <f t="shared" si="135"/>
        <v>0</v>
      </c>
      <c r="T880" s="3190">
        <f>面积表!A875</f>
        <v>0</v>
      </c>
    </row>
    <row r="881" spans="1:20">
      <c r="A881" s="3169"/>
      <c r="B881" s="52"/>
      <c r="C881" s="3192">
        <f t="shared" si="136"/>
        <v>1</v>
      </c>
      <c r="D881" s="2559"/>
      <c r="E881" s="3192">
        <f t="shared" si="137"/>
        <v>0.02</v>
      </c>
      <c r="F881" s="2559"/>
      <c r="G881" s="3192">
        <f t="shared" si="138"/>
        <v>0</v>
      </c>
      <c r="H881" s="631"/>
      <c r="I881" s="3192">
        <f t="shared" si="139"/>
        <v>1</v>
      </c>
      <c r="J881" s="631"/>
      <c r="K881" s="3192">
        <f t="shared" si="140"/>
        <v>1</v>
      </c>
      <c r="L881" s="631"/>
      <c r="M881" s="3192">
        <f t="shared" si="141"/>
        <v>1</v>
      </c>
      <c r="N881" s="631"/>
      <c r="O881" s="3192">
        <f t="shared" si="142"/>
        <v>1</v>
      </c>
      <c r="P881" s="3194"/>
      <c r="Q881" s="3192">
        <f t="shared" si="143"/>
        <v>0</v>
      </c>
      <c r="R881" s="3192">
        <f t="shared" si="144"/>
        <v>0</v>
      </c>
      <c r="S881" s="898">
        <f t="shared" si="135"/>
        <v>0</v>
      </c>
      <c r="T881" s="3190">
        <f>面积表!A876</f>
        <v>0</v>
      </c>
    </row>
    <row r="882" spans="1:20">
      <c r="A882" s="3169"/>
      <c r="B882" s="52"/>
      <c r="C882" s="3192">
        <f t="shared" si="136"/>
        <v>1</v>
      </c>
      <c r="D882" s="2559"/>
      <c r="E882" s="3192">
        <f t="shared" si="137"/>
        <v>0.02</v>
      </c>
      <c r="F882" s="2559"/>
      <c r="G882" s="3192">
        <f t="shared" si="138"/>
        <v>0</v>
      </c>
      <c r="H882" s="631"/>
      <c r="I882" s="3192">
        <f t="shared" si="139"/>
        <v>1</v>
      </c>
      <c r="J882" s="631"/>
      <c r="K882" s="3192">
        <f t="shared" si="140"/>
        <v>1</v>
      </c>
      <c r="L882" s="631"/>
      <c r="M882" s="3192">
        <f t="shared" si="141"/>
        <v>1</v>
      </c>
      <c r="N882" s="631"/>
      <c r="O882" s="3192">
        <f t="shared" si="142"/>
        <v>1</v>
      </c>
      <c r="P882" s="3194"/>
      <c r="Q882" s="3192">
        <f t="shared" si="143"/>
        <v>0</v>
      </c>
      <c r="R882" s="3192">
        <f t="shared" si="144"/>
        <v>0</v>
      </c>
      <c r="S882" s="898">
        <f t="shared" si="135"/>
        <v>0</v>
      </c>
      <c r="T882" s="3190">
        <f>面积表!A877</f>
        <v>0</v>
      </c>
    </row>
    <row r="883" spans="1:20">
      <c r="A883" s="3169"/>
      <c r="B883" s="52"/>
      <c r="C883" s="3192">
        <f t="shared" si="136"/>
        <v>1</v>
      </c>
      <c r="D883" s="2559"/>
      <c r="E883" s="3192">
        <f t="shared" si="137"/>
        <v>0.02</v>
      </c>
      <c r="F883" s="2559"/>
      <c r="G883" s="3192">
        <f t="shared" si="138"/>
        <v>0</v>
      </c>
      <c r="H883" s="631"/>
      <c r="I883" s="3192">
        <f t="shared" si="139"/>
        <v>1</v>
      </c>
      <c r="J883" s="631"/>
      <c r="K883" s="3192">
        <f t="shared" si="140"/>
        <v>1</v>
      </c>
      <c r="L883" s="631"/>
      <c r="M883" s="3192">
        <f t="shared" si="141"/>
        <v>1</v>
      </c>
      <c r="N883" s="631"/>
      <c r="O883" s="3192">
        <f t="shared" si="142"/>
        <v>1</v>
      </c>
      <c r="P883" s="3194"/>
      <c r="Q883" s="3192">
        <f t="shared" si="143"/>
        <v>0</v>
      </c>
      <c r="R883" s="3192">
        <f t="shared" si="144"/>
        <v>0</v>
      </c>
      <c r="S883" s="898">
        <f t="shared" si="135"/>
        <v>0</v>
      </c>
      <c r="T883" s="3190">
        <f>面积表!A878</f>
        <v>0</v>
      </c>
    </row>
    <row r="884" spans="1:20">
      <c r="A884" s="3169"/>
      <c r="B884" s="52"/>
      <c r="C884" s="3192">
        <f t="shared" si="136"/>
        <v>1</v>
      </c>
      <c r="D884" s="2559"/>
      <c r="E884" s="3192">
        <f t="shared" si="137"/>
        <v>0.02</v>
      </c>
      <c r="F884" s="2559"/>
      <c r="G884" s="3192">
        <f t="shared" si="138"/>
        <v>0</v>
      </c>
      <c r="H884" s="631"/>
      <c r="I884" s="3192">
        <f t="shared" si="139"/>
        <v>1</v>
      </c>
      <c r="J884" s="631"/>
      <c r="K884" s="3192">
        <f t="shared" si="140"/>
        <v>1</v>
      </c>
      <c r="L884" s="631"/>
      <c r="M884" s="3192">
        <f t="shared" si="141"/>
        <v>1</v>
      </c>
      <c r="N884" s="631"/>
      <c r="O884" s="3192">
        <f t="shared" si="142"/>
        <v>1</v>
      </c>
      <c r="P884" s="3194"/>
      <c r="Q884" s="3192">
        <f t="shared" si="143"/>
        <v>0</v>
      </c>
      <c r="R884" s="3192">
        <f t="shared" si="144"/>
        <v>0</v>
      </c>
      <c r="S884" s="898">
        <f t="shared" si="135"/>
        <v>0</v>
      </c>
      <c r="T884" s="3190">
        <f>面积表!A879</f>
        <v>0</v>
      </c>
    </row>
    <row r="885" spans="1:20">
      <c r="A885" s="3169"/>
      <c r="B885" s="52"/>
      <c r="C885" s="3192">
        <f t="shared" si="136"/>
        <v>1</v>
      </c>
      <c r="D885" s="2559"/>
      <c r="E885" s="3192">
        <f t="shared" si="137"/>
        <v>0.02</v>
      </c>
      <c r="F885" s="2559"/>
      <c r="G885" s="3192">
        <f t="shared" si="138"/>
        <v>0</v>
      </c>
      <c r="H885" s="631"/>
      <c r="I885" s="3192">
        <f t="shared" si="139"/>
        <v>1</v>
      </c>
      <c r="J885" s="631"/>
      <c r="K885" s="3192">
        <f t="shared" si="140"/>
        <v>1</v>
      </c>
      <c r="L885" s="631"/>
      <c r="M885" s="3192">
        <f t="shared" si="141"/>
        <v>1</v>
      </c>
      <c r="N885" s="631"/>
      <c r="O885" s="3192">
        <f t="shared" si="142"/>
        <v>1</v>
      </c>
      <c r="P885" s="3194"/>
      <c r="Q885" s="3192">
        <f t="shared" si="143"/>
        <v>0</v>
      </c>
      <c r="R885" s="3192">
        <f t="shared" si="144"/>
        <v>0</v>
      </c>
      <c r="S885" s="898">
        <f t="shared" si="135"/>
        <v>0</v>
      </c>
      <c r="T885" s="3190">
        <f>面积表!A880</f>
        <v>0</v>
      </c>
    </row>
    <row r="886" spans="1:20">
      <c r="A886" s="3169"/>
      <c r="B886" s="52"/>
      <c r="C886" s="3192">
        <f t="shared" si="136"/>
        <v>1</v>
      </c>
      <c r="D886" s="2559"/>
      <c r="E886" s="3192">
        <f t="shared" si="137"/>
        <v>0.02</v>
      </c>
      <c r="F886" s="2559"/>
      <c r="G886" s="3192">
        <f t="shared" si="138"/>
        <v>0</v>
      </c>
      <c r="H886" s="631"/>
      <c r="I886" s="3192">
        <f t="shared" si="139"/>
        <v>1</v>
      </c>
      <c r="J886" s="631"/>
      <c r="K886" s="3192">
        <f t="shared" si="140"/>
        <v>1</v>
      </c>
      <c r="L886" s="631"/>
      <c r="M886" s="3192">
        <f t="shared" si="141"/>
        <v>1</v>
      </c>
      <c r="N886" s="631"/>
      <c r="O886" s="3192">
        <f t="shared" si="142"/>
        <v>1</v>
      </c>
      <c r="P886" s="3194"/>
      <c r="Q886" s="3192">
        <f t="shared" si="143"/>
        <v>0</v>
      </c>
      <c r="R886" s="3192">
        <f t="shared" si="144"/>
        <v>0</v>
      </c>
      <c r="S886" s="898">
        <f t="shared" si="135"/>
        <v>0</v>
      </c>
      <c r="T886" s="3190">
        <f>面积表!A881</f>
        <v>0</v>
      </c>
    </row>
    <row r="887" spans="1:20">
      <c r="A887" s="3169"/>
      <c r="B887" s="52"/>
      <c r="C887" s="3192">
        <f t="shared" si="136"/>
        <v>1</v>
      </c>
      <c r="D887" s="2559"/>
      <c r="E887" s="3192">
        <f t="shared" si="137"/>
        <v>0.02</v>
      </c>
      <c r="F887" s="2559"/>
      <c r="G887" s="3192">
        <f t="shared" si="138"/>
        <v>0</v>
      </c>
      <c r="H887" s="631"/>
      <c r="I887" s="3192">
        <f t="shared" si="139"/>
        <v>1</v>
      </c>
      <c r="J887" s="631"/>
      <c r="K887" s="3192">
        <f t="shared" si="140"/>
        <v>1</v>
      </c>
      <c r="L887" s="631"/>
      <c r="M887" s="3192">
        <f t="shared" si="141"/>
        <v>1</v>
      </c>
      <c r="N887" s="631"/>
      <c r="O887" s="3192">
        <f t="shared" si="142"/>
        <v>1</v>
      </c>
      <c r="P887" s="3194"/>
      <c r="Q887" s="3192">
        <f t="shared" si="143"/>
        <v>0</v>
      </c>
      <c r="R887" s="3192">
        <f t="shared" si="144"/>
        <v>0</v>
      </c>
      <c r="S887" s="898">
        <f t="shared" si="135"/>
        <v>0</v>
      </c>
      <c r="T887" s="3190">
        <f>面积表!A882</f>
        <v>0</v>
      </c>
    </row>
    <row r="888" spans="1:20">
      <c r="A888" s="3169"/>
      <c r="B888" s="52"/>
      <c r="C888" s="3192">
        <f t="shared" si="136"/>
        <v>1</v>
      </c>
      <c r="D888" s="2559"/>
      <c r="E888" s="3192">
        <f t="shared" si="137"/>
        <v>0.02</v>
      </c>
      <c r="F888" s="2559"/>
      <c r="G888" s="3192">
        <f t="shared" si="138"/>
        <v>0</v>
      </c>
      <c r="H888" s="631"/>
      <c r="I888" s="3192">
        <f t="shared" si="139"/>
        <v>1</v>
      </c>
      <c r="J888" s="631"/>
      <c r="K888" s="3192">
        <f t="shared" si="140"/>
        <v>1</v>
      </c>
      <c r="L888" s="631"/>
      <c r="M888" s="3192">
        <f t="shared" si="141"/>
        <v>1</v>
      </c>
      <c r="N888" s="631"/>
      <c r="O888" s="3192">
        <f t="shared" si="142"/>
        <v>1</v>
      </c>
      <c r="P888" s="3194"/>
      <c r="Q888" s="3192">
        <f t="shared" si="143"/>
        <v>0</v>
      </c>
      <c r="R888" s="3192">
        <f t="shared" si="144"/>
        <v>0</v>
      </c>
      <c r="S888" s="898">
        <f t="shared" si="135"/>
        <v>0</v>
      </c>
      <c r="T888" s="3190">
        <f>面积表!A883</f>
        <v>0</v>
      </c>
    </row>
    <row r="889" spans="1:20">
      <c r="A889" s="3169"/>
      <c r="B889" s="52"/>
      <c r="C889" s="3192">
        <f t="shared" si="136"/>
        <v>1</v>
      </c>
      <c r="D889" s="2559"/>
      <c r="E889" s="3192">
        <f t="shared" si="137"/>
        <v>0.02</v>
      </c>
      <c r="F889" s="2559"/>
      <c r="G889" s="3192">
        <f t="shared" si="138"/>
        <v>0</v>
      </c>
      <c r="H889" s="631"/>
      <c r="I889" s="3192">
        <f t="shared" si="139"/>
        <v>1</v>
      </c>
      <c r="J889" s="631"/>
      <c r="K889" s="3192">
        <f t="shared" si="140"/>
        <v>1</v>
      </c>
      <c r="L889" s="631"/>
      <c r="M889" s="3192">
        <f t="shared" si="141"/>
        <v>1</v>
      </c>
      <c r="N889" s="631"/>
      <c r="O889" s="3192">
        <f t="shared" si="142"/>
        <v>1</v>
      </c>
      <c r="P889" s="3194"/>
      <c r="Q889" s="3192">
        <f t="shared" si="143"/>
        <v>0</v>
      </c>
      <c r="R889" s="3192">
        <f t="shared" si="144"/>
        <v>0</v>
      </c>
      <c r="S889" s="898">
        <f t="shared" si="135"/>
        <v>0</v>
      </c>
      <c r="T889" s="3190">
        <f>面积表!A884</f>
        <v>0</v>
      </c>
    </row>
    <row r="890" spans="1:20">
      <c r="A890" s="3169"/>
      <c r="B890" s="52"/>
      <c r="C890" s="3192">
        <f t="shared" si="136"/>
        <v>1</v>
      </c>
      <c r="D890" s="2559"/>
      <c r="E890" s="3192">
        <f t="shared" si="137"/>
        <v>0.02</v>
      </c>
      <c r="F890" s="2559"/>
      <c r="G890" s="3192">
        <f t="shared" si="138"/>
        <v>0</v>
      </c>
      <c r="H890" s="631"/>
      <c r="I890" s="3192">
        <f t="shared" si="139"/>
        <v>1</v>
      </c>
      <c r="J890" s="631"/>
      <c r="K890" s="3192">
        <f t="shared" si="140"/>
        <v>1</v>
      </c>
      <c r="L890" s="631"/>
      <c r="M890" s="3192">
        <f t="shared" si="141"/>
        <v>1</v>
      </c>
      <c r="N890" s="631"/>
      <c r="O890" s="3192">
        <f t="shared" si="142"/>
        <v>1</v>
      </c>
      <c r="P890" s="3194"/>
      <c r="Q890" s="3192">
        <f t="shared" si="143"/>
        <v>0</v>
      </c>
      <c r="R890" s="3192">
        <f t="shared" si="144"/>
        <v>0</v>
      </c>
      <c r="S890" s="898">
        <f t="shared" si="135"/>
        <v>0</v>
      </c>
      <c r="T890" s="3190">
        <f>面积表!A885</f>
        <v>0</v>
      </c>
    </row>
    <row r="891" spans="1:20">
      <c r="A891" s="3169"/>
      <c r="B891" s="52"/>
      <c r="C891" s="3192">
        <f t="shared" si="136"/>
        <v>1</v>
      </c>
      <c r="D891" s="2559"/>
      <c r="E891" s="3192">
        <f t="shared" si="137"/>
        <v>0.02</v>
      </c>
      <c r="F891" s="2559"/>
      <c r="G891" s="3192">
        <f t="shared" si="138"/>
        <v>0</v>
      </c>
      <c r="H891" s="631"/>
      <c r="I891" s="3192">
        <f t="shared" si="139"/>
        <v>1</v>
      </c>
      <c r="J891" s="631"/>
      <c r="K891" s="3192">
        <f t="shared" si="140"/>
        <v>1</v>
      </c>
      <c r="L891" s="631"/>
      <c r="M891" s="3192">
        <f t="shared" si="141"/>
        <v>1</v>
      </c>
      <c r="N891" s="631"/>
      <c r="O891" s="3192">
        <f t="shared" si="142"/>
        <v>1</v>
      </c>
      <c r="P891" s="3194"/>
      <c r="Q891" s="3192">
        <f t="shared" si="143"/>
        <v>0</v>
      </c>
      <c r="R891" s="3192">
        <f t="shared" si="144"/>
        <v>0</v>
      </c>
      <c r="S891" s="898">
        <f t="shared" si="135"/>
        <v>0</v>
      </c>
      <c r="T891" s="3190">
        <f>面积表!A886</f>
        <v>0</v>
      </c>
    </row>
    <row r="892" spans="1:20">
      <c r="A892" s="3169"/>
      <c r="B892" s="52"/>
      <c r="C892" s="3192">
        <f t="shared" si="136"/>
        <v>1</v>
      </c>
      <c r="D892" s="2559"/>
      <c r="E892" s="3192">
        <f t="shared" si="137"/>
        <v>0.02</v>
      </c>
      <c r="F892" s="2559"/>
      <c r="G892" s="3192">
        <f t="shared" si="138"/>
        <v>0</v>
      </c>
      <c r="H892" s="631"/>
      <c r="I892" s="3192">
        <f t="shared" si="139"/>
        <v>1</v>
      </c>
      <c r="J892" s="631"/>
      <c r="K892" s="3192">
        <f t="shared" si="140"/>
        <v>1</v>
      </c>
      <c r="L892" s="631"/>
      <c r="M892" s="3192">
        <f t="shared" si="141"/>
        <v>1</v>
      </c>
      <c r="N892" s="631"/>
      <c r="O892" s="3192">
        <f t="shared" si="142"/>
        <v>1</v>
      </c>
      <c r="P892" s="3194"/>
      <c r="Q892" s="3192">
        <f t="shared" si="143"/>
        <v>0</v>
      </c>
      <c r="R892" s="3192">
        <f t="shared" si="144"/>
        <v>0</v>
      </c>
      <c r="S892" s="898">
        <f t="shared" si="135"/>
        <v>0</v>
      </c>
      <c r="T892" s="3190">
        <f>面积表!A887</f>
        <v>0</v>
      </c>
    </row>
    <row r="893" spans="1:20">
      <c r="A893" s="3169"/>
      <c r="B893" s="52"/>
      <c r="C893" s="3192">
        <f t="shared" si="136"/>
        <v>1</v>
      </c>
      <c r="D893" s="2559"/>
      <c r="E893" s="3192">
        <f t="shared" si="137"/>
        <v>0.02</v>
      </c>
      <c r="F893" s="2559"/>
      <c r="G893" s="3192">
        <f t="shared" si="138"/>
        <v>0</v>
      </c>
      <c r="H893" s="631"/>
      <c r="I893" s="3192">
        <f t="shared" si="139"/>
        <v>1</v>
      </c>
      <c r="J893" s="631"/>
      <c r="K893" s="3192">
        <f t="shared" si="140"/>
        <v>1</v>
      </c>
      <c r="L893" s="631"/>
      <c r="M893" s="3192">
        <f t="shared" si="141"/>
        <v>1</v>
      </c>
      <c r="N893" s="631"/>
      <c r="O893" s="3192">
        <f t="shared" si="142"/>
        <v>1</v>
      </c>
      <c r="P893" s="3194"/>
      <c r="Q893" s="3192">
        <f t="shared" si="143"/>
        <v>0</v>
      </c>
      <c r="R893" s="3192">
        <f t="shared" si="144"/>
        <v>0</v>
      </c>
      <c r="S893" s="898">
        <f t="shared" si="135"/>
        <v>0</v>
      </c>
      <c r="T893" s="3190">
        <f>面积表!A888</f>
        <v>0</v>
      </c>
    </row>
    <row r="894" spans="1:20">
      <c r="A894" s="3169"/>
      <c r="B894" s="52"/>
      <c r="C894" s="3192">
        <f t="shared" si="136"/>
        <v>1</v>
      </c>
      <c r="D894" s="2559"/>
      <c r="E894" s="3192">
        <f t="shared" si="137"/>
        <v>0.02</v>
      </c>
      <c r="F894" s="2559"/>
      <c r="G894" s="3192">
        <f t="shared" si="138"/>
        <v>0</v>
      </c>
      <c r="H894" s="631"/>
      <c r="I894" s="3192">
        <f t="shared" si="139"/>
        <v>1</v>
      </c>
      <c r="J894" s="631"/>
      <c r="K894" s="3192">
        <f t="shared" si="140"/>
        <v>1</v>
      </c>
      <c r="L894" s="631"/>
      <c r="M894" s="3192">
        <f t="shared" si="141"/>
        <v>1</v>
      </c>
      <c r="N894" s="631"/>
      <c r="O894" s="3192">
        <f t="shared" si="142"/>
        <v>1</v>
      </c>
      <c r="P894" s="3194"/>
      <c r="Q894" s="3192">
        <f t="shared" si="143"/>
        <v>0</v>
      </c>
      <c r="R894" s="3192">
        <f t="shared" si="144"/>
        <v>0</v>
      </c>
      <c r="S894" s="898">
        <f t="shared" si="135"/>
        <v>0</v>
      </c>
      <c r="T894" s="3190">
        <f>面积表!A889</f>
        <v>0</v>
      </c>
    </row>
    <row r="895" spans="1:20">
      <c r="A895" s="3169"/>
      <c r="B895" s="52"/>
      <c r="C895" s="3192">
        <f t="shared" si="136"/>
        <v>1</v>
      </c>
      <c r="D895" s="2559"/>
      <c r="E895" s="3192">
        <f t="shared" si="137"/>
        <v>0.02</v>
      </c>
      <c r="F895" s="2559"/>
      <c r="G895" s="3192">
        <f t="shared" si="138"/>
        <v>0</v>
      </c>
      <c r="H895" s="631"/>
      <c r="I895" s="3192">
        <f t="shared" si="139"/>
        <v>1</v>
      </c>
      <c r="J895" s="631"/>
      <c r="K895" s="3192">
        <f t="shared" si="140"/>
        <v>1</v>
      </c>
      <c r="L895" s="631"/>
      <c r="M895" s="3192">
        <f t="shared" si="141"/>
        <v>1</v>
      </c>
      <c r="N895" s="631"/>
      <c r="O895" s="3192">
        <f t="shared" si="142"/>
        <v>1</v>
      </c>
      <c r="P895" s="3194"/>
      <c r="Q895" s="3192">
        <f t="shared" si="143"/>
        <v>0</v>
      </c>
      <c r="R895" s="3192">
        <f t="shared" si="144"/>
        <v>0</v>
      </c>
      <c r="S895" s="898">
        <f t="shared" si="135"/>
        <v>0</v>
      </c>
      <c r="T895" s="3190">
        <f>面积表!A890</f>
        <v>0</v>
      </c>
    </row>
    <row r="896" spans="1:20">
      <c r="A896" s="3169"/>
      <c r="B896" s="52"/>
      <c r="C896" s="3192">
        <f t="shared" si="136"/>
        <v>1</v>
      </c>
      <c r="D896" s="2559"/>
      <c r="E896" s="3192">
        <f t="shared" si="137"/>
        <v>0.02</v>
      </c>
      <c r="F896" s="2559"/>
      <c r="G896" s="3192">
        <f t="shared" si="138"/>
        <v>0</v>
      </c>
      <c r="H896" s="631"/>
      <c r="I896" s="3192">
        <f t="shared" si="139"/>
        <v>1</v>
      </c>
      <c r="J896" s="631"/>
      <c r="K896" s="3192">
        <f t="shared" si="140"/>
        <v>1</v>
      </c>
      <c r="L896" s="631"/>
      <c r="M896" s="3192">
        <f t="shared" si="141"/>
        <v>1</v>
      </c>
      <c r="N896" s="631"/>
      <c r="O896" s="3192">
        <f t="shared" si="142"/>
        <v>1</v>
      </c>
      <c r="P896" s="3194"/>
      <c r="Q896" s="3192">
        <f t="shared" si="143"/>
        <v>0</v>
      </c>
      <c r="R896" s="3192">
        <f t="shared" si="144"/>
        <v>0</v>
      </c>
      <c r="S896" s="898">
        <f t="shared" si="135"/>
        <v>0</v>
      </c>
      <c r="T896" s="3190">
        <f>面积表!A891</f>
        <v>0</v>
      </c>
    </row>
    <row r="897" spans="1:20">
      <c r="A897" s="3169"/>
      <c r="B897" s="52"/>
      <c r="C897" s="3192">
        <f t="shared" si="136"/>
        <v>1</v>
      </c>
      <c r="D897" s="2559"/>
      <c r="E897" s="3192">
        <f t="shared" si="137"/>
        <v>0.02</v>
      </c>
      <c r="F897" s="2559"/>
      <c r="G897" s="3192">
        <f t="shared" si="138"/>
        <v>0</v>
      </c>
      <c r="H897" s="631"/>
      <c r="I897" s="3192">
        <f t="shared" si="139"/>
        <v>1</v>
      </c>
      <c r="J897" s="631"/>
      <c r="K897" s="3192">
        <f t="shared" si="140"/>
        <v>1</v>
      </c>
      <c r="L897" s="631"/>
      <c r="M897" s="3192">
        <f t="shared" si="141"/>
        <v>1</v>
      </c>
      <c r="N897" s="631"/>
      <c r="O897" s="3192">
        <f t="shared" si="142"/>
        <v>1</v>
      </c>
      <c r="P897" s="3194"/>
      <c r="Q897" s="3192">
        <f t="shared" si="143"/>
        <v>0</v>
      </c>
      <c r="R897" s="3192">
        <f t="shared" si="144"/>
        <v>0</v>
      </c>
      <c r="S897" s="898">
        <f t="shared" si="135"/>
        <v>0</v>
      </c>
      <c r="T897" s="3190">
        <f>面积表!A892</f>
        <v>0</v>
      </c>
    </row>
    <row r="898" spans="1:20">
      <c r="A898" s="3169"/>
      <c r="B898" s="52"/>
      <c r="C898" s="3192">
        <f t="shared" si="136"/>
        <v>1</v>
      </c>
      <c r="D898" s="2559"/>
      <c r="E898" s="3192">
        <f t="shared" si="137"/>
        <v>0.02</v>
      </c>
      <c r="F898" s="2559"/>
      <c r="G898" s="3192">
        <f t="shared" si="138"/>
        <v>0</v>
      </c>
      <c r="H898" s="631"/>
      <c r="I898" s="3192">
        <f t="shared" si="139"/>
        <v>1</v>
      </c>
      <c r="J898" s="631"/>
      <c r="K898" s="3192">
        <f t="shared" si="140"/>
        <v>1</v>
      </c>
      <c r="L898" s="631"/>
      <c r="M898" s="3192">
        <f t="shared" si="141"/>
        <v>1</v>
      </c>
      <c r="N898" s="631"/>
      <c r="O898" s="3192">
        <f t="shared" si="142"/>
        <v>1</v>
      </c>
      <c r="P898" s="3194"/>
      <c r="Q898" s="3192">
        <f t="shared" si="143"/>
        <v>0</v>
      </c>
      <c r="R898" s="3192">
        <f t="shared" si="144"/>
        <v>0</v>
      </c>
      <c r="S898" s="898">
        <f t="shared" si="135"/>
        <v>0</v>
      </c>
      <c r="T898" s="3190">
        <f>面积表!A893</f>
        <v>0</v>
      </c>
    </row>
    <row r="899" spans="1:20">
      <c r="A899" s="3169"/>
      <c r="B899" s="52"/>
      <c r="C899" s="3192">
        <f t="shared" si="136"/>
        <v>1</v>
      </c>
      <c r="D899" s="2559"/>
      <c r="E899" s="3192">
        <f t="shared" si="137"/>
        <v>0.02</v>
      </c>
      <c r="F899" s="2559"/>
      <c r="G899" s="3192">
        <f t="shared" si="138"/>
        <v>0</v>
      </c>
      <c r="H899" s="631"/>
      <c r="I899" s="3192">
        <f t="shared" si="139"/>
        <v>1</v>
      </c>
      <c r="J899" s="631"/>
      <c r="K899" s="3192">
        <f t="shared" si="140"/>
        <v>1</v>
      </c>
      <c r="L899" s="631"/>
      <c r="M899" s="3192">
        <f t="shared" si="141"/>
        <v>1</v>
      </c>
      <c r="N899" s="631"/>
      <c r="O899" s="3192">
        <f t="shared" si="142"/>
        <v>1</v>
      </c>
      <c r="P899" s="3194"/>
      <c r="Q899" s="3192">
        <f t="shared" si="143"/>
        <v>0</v>
      </c>
      <c r="R899" s="3192">
        <f t="shared" si="144"/>
        <v>0</v>
      </c>
      <c r="S899" s="898">
        <f t="shared" si="135"/>
        <v>0</v>
      </c>
      <c r="T899" s="3190">
        <f>面积表!A894</f>
        <v>0</v>
      </c>
    </row>
    <row r="900" spans="1:20">
      <c r="A900" s="3169"/>
      <c r="B900" s="52"/>
      <c r="C900" s="3192">
        <f t="shared" si="136"/>
        <v>1</v>
      </c>
      <c r="D900" s="2559"/>
      <c r="E900" s="3192">
        <f t="shared" si="137"/>
        <v>0.02</v>
      </c>
      <c r="F900" s="2559"/>
      <c r="G900" s="3192">
        <f t="shared" si="138"/>
        <v>0</v>
      </c>
      <c r="H900" s="631"/>
      <c r="I900" s="3192">
        <f t="shared" si="139"/>
        <v>1</v>
      </c>
      <c r="J900" s="631"/>
      <c r="K900" s="3192">
        <f t="shared" si="140"/>
        <v>1</v>
      </c>
      <c r="L900" s="631"/>
      <c r="M900" s="3192">
        <f t="shared" si="141"/>
        <v>1</v>
      </c>
      <c r="N900" s="631"/>
      <c r="O900" s="3192">
        <f t="shared" si="142"/>
        <v>1</v>
      </c>
      <c r="P900" s="3194"/>
      <c r="Q900" s="3192">
        <f t="shared" si="143"/>
        <v>0</v>
      </c>
      <c r="R900" s="3192">
        <f t="shared" si="144"/>
        <v>0</v>
      </c>
      <c r="S900" s="898">
        <f t="shared" si="135"/>
        <v>0</v>
      </c>
      <c r="T900" s="3190">
        <f>面积表!A895</f>
        <v>0</v>
      </c>
    </row>
    <row r="901" spans="1:20">
      <c r="A901" s="3169"/>
      <c r="B901" s="52"/>
      <c r="C901" s="3192">
        <f t="shared" si="136"/>
        <v>1</v>
      </c>
      <c r="D901" s="2559"/>
      <c r="E901" s="3192">
        <f t="shared" si="137"/>
        <v>0.02</v>
      </c>
      <c r="F901" s="2559"/>
      <c r="G901" s="3192">
        <f t="shared" si="138"/>
        <v>0</v>
      </c>
      <c r="H901" s="631"/>
      <c r="I901" s="3192">
        <f t="shared" si="139"/>
        <v>1</v>
      </c>
      <c r="J901" s="631"/>
      <c r="K901" s="3192">
        <f t="shared" si="140"/>
        <v>1</v>
      </c>
      <c r="L901" s="631"/>
      <c r="M901" s="3192">
        <f t="shared" si="141"/>
        <v>1</v>
      </c>
      <c r="N901" s="631"/>
      <c r="O901" s="3192">
        <f t="shared" si="142"/>
        <v>1</v>
      </c>
      <c r="P901" s="3194"/>
      <c r="Q901" s="3192">
        <f t="shared" si="143"/>
        <v>0</v>
      </c>
      <c r="R901" s="3192">
        <f t="shared" si="144"/>
        <v>0</v>
      </c>
      <c r="S901" s="898">
        <f t="shared" si="135"/>
        <v>0</v>
      </c>
      <c r="T901" s="3190">
        <f>面积表!A896</f>
        <v>0</v>
      </c>
    </row>
    <row r="902" spans="1:20">
      <c r="A902" s="3169"/>
      <c r="B902" s="52"/>
      <c r="C902" s="3192">
        <f t="shared" si="136"/>
        <v>1</v>
      </c>
      <c r="D902" s="2559"/>
      <c r="E902" s="3192">
        <f t="shared" si="137"/>
        <v>0.02</v>
      </c>
      <c r="F902" s="2559"/>
      <c r="G902" s="3192">
        <f t="shared" si="138"/>
        <v>0</v>
      </c>
      <c r="H902" s="631"/>
      <c r="I902" s="3192">
        <f t="shared" si="139"/>
        <v>1</v>
      </c>
      <c r="J902" s="631"/>
      <c r="K902" s="3192">
        <f t="shared" si="140"/>
        <v>1</v>
      </c>
      <c r="L902" s="631"/>
      <c r="M902" s="3192">
        <f t="shared" si="141"/>
        <v>1</v>
      </c>
      <c r="N902" s="631"/>
      <c r="O902" s="3192">
        <f t="shared" si="142"/>
        <v>1</v>
      </c>
      <c r="P902" s="3194"/>
      <c r="Q902" s="3192">
        <f t="shared" si="143"/>
        <v>0</v>
      </c>
      <c r="R902" s="3192">
        <f t="shared" si="144"/>
        <v>0</v>
      </c>
      <c r="S902" s="898">
        <f t="shared" si="135"/>
        <v>0</v>
      </c>
      <c r="T902" s="3190">
        <f>面积表!A897</f>
        <v>0</v>
      </c>
    </row>
    <row r="903" spans="1:20">
      <c r="A903" s="3169"/>
      <c r="B903" s="52"/>
      <c r="C903" s="3192">
        <f t="shared" si="136"/>
        <v>1</v>
      </c>
      <c r="D903" s="2559"/>
      <c r="E903" s="3192">
        <f t="shared" si="137"/>
        <v>0.02</v>
      </c>
      <c r="F903" s="2559"/>
      <c r="G903" s="3192">
        <f t="shared" si="138"/>
        <v>0</v>
      </c>
      <c r="H903" s="631"/>
      <c r="I903" s="3192">
        <f t="shared" si="139"/>
        <v>1</v>
      </c>
      <c r="J903" s="631"/>
      <c r="K903" s="3192">
        <f t="shared" si="140"/>
        <v>1</v>
      </c>
      <c r="L903" s="631"/>
      <c r="M903" s="3192">
        <f t="shared" si="141"/>
        <v>1</v>
      </c>
      <c r="N903" s="631"/>
      <c r="O903" s="3192">
        <f t="shared" si="142"/>
        <v>1</v>
      </c>
      <c r="P903" s="3194"/>
      <c r="Q903" s="3192">
        <f t="shared" si="143"/>
        <v>0</v>
      </c>
      <c r="R903" s="3192">
        <f t="shared" si="144"/>
        <v>0</v>
      </c>
      <c r="S903" s="898">
        <f t="shared" si="135"/>
        <v>0</v>
      </c>
      <c r="T903" s="3190">
        <f>面积表!A898</f>
        <v>0</v>
      </c>
    </row>
    <row r="904" spans="1:20">
      <c r="A904" s="3169"/>
      <c r="B904" s="52"/>
      <c r="C904" s="3192">
        <f t="shared" si="136"/>
        <v>1</v>
      </c>
      <c r="D904" s="2559"/>
      <c r="E904" s="3192">
        <f t="shared" si="137"/>
        <v>0.02</v>
      </c>
      <c r="F904" s="2559"/>
      <c r="G904" s="3192">
        <f t="shared" si="138"/>
        <v>0</v>
      </c>
      <c r="H904" s="631"/>
      <c r="I904" s="3192">
        <f t="shared" si="139"/>
        <v>1</v>
      </c>
      <c r="J904" s="631"/>
      <c r="K904" s="3192">
        <f t="shared" si="140"/>
        <v>1</v>
      </c>
      <c r="L904" s="631"/>
      <c r="M904" s="3192">
        <f t="shared" si="141"/>
        <v>1</v>
      </c>
      <c r="N904" s="631"/>
      <c r="O904" s="3192">
        <f t="shared" si="142"/>
        <v>1</v>
      </c>
      <c r="P904" s="3194"/>
      <c r="Q904" s="3192">
        <f t="shared" si="143"/>
        <v>0</v>
      </c>
      <c r="R904" s="3192">
        <f t="shared" si="144"/>
        <v>0</v>
      </c>
      <c r="S904" s="898">
        <f t="shared" si="135"/>
        <v>0</v>
      </c>
      <c r="T904" s="3190">
        <f>面积表!A899</f>
        <v>0</v>
      </c>
    </row>
    <row r="905" spans="1:20">
      <c r="A905" s="3169"/>
      <c r="B905" s="52"/>
      <c r="C905" s="3192">
        <f t="shared" si="136"/>
        <v>1</v>
      </c>
      <c r="D905" s="2559"/>
      <c r="E905" s="3192">
        <f t="shared" si="137"/>
        <v>0.02</v>
      </c>
      <c r="F905" s="2559"/>
      <c r="G905" s="3192">
        <f t="shared" si="138"/>
        <v>0</v>
      </c>
      <c r="H905" s="631"/>
      <c r="I905" s="3192">
        <f t="shared" si="139"/>
        <v>1</v>
      </c>
      <c r="J905" s="631"/>
      <c r="K905" s="3192">
        <f t="shared" si="140"/>
        <v>1</v>
      </c>
      <c r="L905" s="631"/>
      <c r="M905" s="3192">
        <f t="shared" si="141"/>
        <v>1</v>
      </c>
      <c r="N905" s="631"/>
      <c r="O905" s="3192">
        <f t="shared" si="142"/>
        <v>1</v>
      </c>
      <c r="P905" s="3194"/>
      <c r="Q905" s="3192">
        <f t="shared" si="143"/>
        <v>0</v>
      </c>
      <c r="R905" s="3192">
        <f t="shared" si="144"/>
        <v>0</v>
      </c>
      <c r="S905" s="898">
        <f t="shared" si="135"/>
        <v>0</v>
      </c>
      <c r="T905" s="3190">
        <f>面积表!A900</f>
        <v>0</v>
      </c>
    </row>
    <row r="906" spans="1:20">
      <c r="A906" s="3169"/>
      <c r="B906" s="52"/>
      <c r="C906" s="3192">
        <f t="shared" si="136"/>
        <v>1</v>
      </c>
      <c r="D906" s="2559"/>
      <c r="E906" s="3192">
        <f t="shared" si="137"/>
        <v>0.02</v>
      </c>
      <c r="F906" s="2559"/>
      <c r="G906" s="3192">
        <f t="shared" si="138"/>
        <v>0</v>
      </c>
      <c r="H906" s="631"/>
      <c r="I906" s="3192">
        <f t="shared" si="139"/>
        <v>1</v>
      </c>
      <c r="J906" s="631"/>
      <c r="K906" s="3192">
        <f t="shared" si="140"/>
        <v>1</v>
      </c>
      <c r="L906" s="631"/>
      <c r="M906" s="3192">
        <f t="shared" si="141"/>
        <v>1</v>
      </c>
      <c r="N906" s="631"/>
      <c r="O906" s="3192">
        <f t="shared" si="142"/>
        <v>1</v>
      </c>
      <c r="P906" s="3194"/>
      <c r="Q906" s="3192">
        <f t="shared" si="143"/>
        <v>0</v>
      </c>
      <c r="R906" s="3192">
        <f t="shared" si="144"/>
        <v>0</v>
      </c>
      <c r="S906" s="898">
        <f t="shared" si="135"/>
        <v>0</v>
      </c>
      <c r="T906" s="3190">
        <f>面积表!A901</f>
        <v>0</v>
      </c>
    </row>
    <row r="907" spans="1:20">
      <c r="A907" s="3169"/>
      <c r="B907" s="52"/>
      <c r="C907" s="3192">
        <f t="shared" si="136"/>
        <v>1</v>
      </c>
      <c r="D907" s="2559"/>
      <c r="E907" s="3192">
        <f t="shared" si="137"/>
        <v>0.02</v>
      </c>
      <c r="F907" s="2559"/>
      <c r="G907" s="3192">
        <f t="shared" si="138"/>
        <v>0</v>
      </c>
      <c r="H907" s="631"/>
      <c r="I907" s="3192">
        <f t="shared" si="139"/>
        <v>1</v>
      </c>
      <c r="J907" s="631"/>
      <c r="K907" s="3192">
        <f t="shared" si="140"/>
        <v>1</v>
      </c>
      <c r="L907" s="631"/>
      <c r="M907" s="3192">
        <f t="shared" si="141"/>
        <v>1</v>
      </c>
      <c r="N907" s="631"/>
      <c r="O907" s="3192">
        <f t="shared" si="142"/>
        <v>1</v>
      </c>
      <c r="P907" s="3194"/>
      <c r="Q907" s="3192">
        <f t="shared" si="143"/>
        <v>0</v>
      </c>
      <c r="R907" s="3192">
        <f t="shared" si="144"/>
        <v>0</v>
      </c>
      <c r="S907" s="898">
        <f t="shared" si="135"/>
        <v>0</v>
      </c>
      <c r="T907" s="3190">
        <f>面积表!A902</f>
        <v>0</v>
      </c>
    </row>
    <row r="908" spans="1:20">
      <c r="A908" s="3169"/>
      <c r="B908" s="52"/>
      <c r="C908" s="3192">
        <f t="shared" si="136"/>
        <v>1</v>
      </c>
      <c r="D908" s="2559"/>
      <c r="E908" s="3192">
        <f t="shared" si="137"/>
        <v>0.02</v>
      </c>
      <c r="F908" s="2559"/>
      <c r="G908" s="3192">
        <f t="shared" si="138"/>
        <v>0</v>
      </c>
      <c r="H908" s="631"/>
      <c r="I908" s="3192">
        <f t="shared" si="139"/>
        <v>1</v>
      </c>
      <c r="J908" s="631"/>
      <c r="K908" s="3192">
        <f t="shared" si="140"/>
        <v>1</v>
      </c>
      <c r="L908" s="631"/>
      <c r="M908" s="3192">
        <f t="shared" si="141"/>
        <v>1</v>
      </c>
      <c r="N908" s="631"/>
      <c r="O908" s="3192">
        <f t="shared" si="142"/>
        <v>1</v>
      </c>
      <c r="P908" s="3194"/>
      <c r="Q908" s="3192">
        <f t="shared" si="143"/>
        <v>0</v>
      </c>
      <c r="R908" s="3192">
        <f t="shared" si="144"/>
        <v>0</v>
      </c>
      <c r="S908" s="898">
        <f t="shared" si="135"/>
        <v>0</v>
      </c>
      <c r="T908" s="3190">
        <f>面积表!A903</f>
        <v>0</v>
      </c>
    </row>
    <row r="909" spans="1:20">
      <c r="A909" s="3169"/>
      <c r="B909" s="52"/>
      <c r="C909" s="3192">
        <f t="shared" si="136"/>
        <v>1</v>
      </c>
      <c r="D909" s="2559"/>
      <c r="E909" s="3192">
        <f t="shared" si="137"/>
        <v>0.02</v>
      </c>
      <c r="F909" s="2559"/>
      <c r="G909" s="3192">
        <f t="shared" si="138"/>
        <v>0</v>
      </c>
      <c r="H909" s="631"/>
      <c r="I909" s="3192">
        <f t="shared" si="139"/>
        <v>1</v>
      </c>
      <c r="J909" s="631"/>
      <c r="K909" s="3192">
        <f t="shared" si="140"/>
        <v>1</v>
      </c>
      <c r="L909" s="631"/>
      <c r="M909" s="3192">
        <f t="shared" si="141"/>
        <v>1</v>
      </c>
      <c r="N909" s="631"/>
      <c r="O909" s="3192">
        <f t="shared" si="142"/>
        <v>1</v>
      </c>
      <c r="P909" s="3194"/>
      <c r="Q909" s="3192">
        <f t="shared" si="143"/>
        <v>0</v>
      </c>
      <c r="R909" s="3192">
        <f t="shared" si="144"/>
        <v>0</v>
      </c>
      <c r="S909" s="898">
        <f t="shared" si="135"/>
        <v>0</v>
      </c>
      <c r="T909" s="3190">
        <f>面积表!A904</f>
        <v>0</v>
      </c>
    </row>
    <row r="910" spans="1:20">
      <c r="A910" s="3169"/>
      <c r="B910" s="52"/>
      <c r="C910" s="3192">
        <f t="shared" si="136"/>
        <v>1</v>
      </c>
      <c r="D910" s="2559"/>
      <c r="E910" s="3192">
        <f t="shared" si="137"/>
        <v>0.02</v>
      </c>
      <c r="F910" s="2559"/>
      <c r="G910" s="3192">
        <f t="shared" si="138"/>
        <v>0</v>
      </c>
      <c r="H910" s="631"/>
      <c r="I910" s="3192">
        <f t="shared" si="139"/>
        <v>1</v>
      </c>
      <c r="J910" s="631"/>
      <c r="K910" s="3192">
        <f t="shared" si="140"/>
        <v>1</v>
      </c>
      <c r="L910" s="631"/>
      <c r="M910" s="3192">
        <f t="shared" si="141"/>
        <v>1</v>
      </c>
      <c r="N910" s="631"/>
      <c r="O910" s="3192">
        <f t="shared" si="142"/>
        <v>1</v>
      </c>
      <c r="P910" s="3194"/>
      <c r="Q910" s="3192">
        <f t="shared" si="143"/>
        <v>0</v>
      </c>
      <c r="R910" s="3192">
        <f t="shared" si="144"/>
        <v>0</v>
      </c>
      <c r="S910" s="898">
        <f t="shared" si="135"/>
        <v>0</v>
      </c>
      <c r="T910" s="3190">
        <f>面积表!A905</f>
        <v>0</v>
      </c>
    </row>
    <row r="911" spans="1:20">
      <c r="A911" s="3169"/>
      <c r="B911" s="52"/>
      <c r="C911" s="3192">
        <f t="shared" si="136"/>
        <v>1</v>
      </c>
      <c r="D911" s="2559"/>
      <c r="E911" s="3192">
        <f t="shared" si="137"/>
        <v>0.02</v>
      </c>
      <c r="F911" s="2559"/>
      <c r="G911" s="3192">
        <f t="shared" si="138"/>
        <v>0</v>
      </c>
      <c r="H911" s="631"/>
      <c r="I911" s="3192">
        <f t="shared" si="139"/>
        <v>1</v>
      </c>
      <c r="J911" s="631"/>
      <c r="K911" s="3192">
        <f t="shared" si="140"/>
        <v>1</v>
      </c>
      <c r="L911" s="631"/>
      <c r="M911" s="3192">
        <f t="shared" si="141"/>
        <v>1</v>
      </c>
      <c r="N911" s="631"/>
      <c r="O911" s="3192">
        <f t="shared" si="142"/>
        <v>1</v>
      </c>
      <c r="P911" s="3194"/>
      <c r="Q911" s="3192">
        <f t="shared" si="143"/>
        <v>0</v>
      </c>
      <c r="R911" s="3192">
        <f t="shared" si="144"/>
        <v>0</v>
      </c>
      <c r="S911" s="898">
        <f t="shared" si="135"/>
        <v>0</v>
      </c>
      <c r="T911" s="3190">
        <f>面积表!A906</f>
        <v>0</v>
      </c>
    </row>
    <row r="912" spans="1:20">
      <c r="A912" s="3169"/>
      <c r="B912" s="52"/>
      <c r="C912" s="3192">
        <f t="shared" si="136"/>
        <v>1</v>
      </c>
      <c r="D912" s="2559"/>
      <c r="E912" s="3192">
        <f t="shared" si="137"/>
        <v>0.02</v>
      </c>
      <c r="F912" s="2559"/>
      <c r="G912" s="3192">
        <f t="shared" si="138"/>
        <v>0</v>
      </c>
      <c r="H912" s="631"/>
      <c r="I912" s="3192">
        <f t="shared" si="139"/>
        <v>1</v>
      </c>
      <c r="J912" s="631"/>
      <c r="K912" s="3192">
        <f t="shared" si="140"/>
        <v>1</v>
      </c>
      <c r="L912" s="631"/>
      <c r="M912" s="3192">
        <f t="shared" si="141"/>
        <v>1</v>
      </c>
      <c r="N912" s="631"/>
      <c r="O912" s="3192">
        <f t="shared" si="142"/>
        <v>1</v>
      </c>
      <c r="P912" s="3194"/>
      <c r="Q912" s="3192">
        <f t="shared" si="143"/>
        <v>0</v>
      </c>
      <c r="R912" s="3192">
        <f t="shared" si="144"/>
        <v>0</v>
      </c>
      <c r="S912" s="898">
        <f t="shared" si="135"/>
        <v>0</v>
      </c>
      <c r="T912" s="3190">
        <f>面积表!A907</f>
        <v>0</v>
      </c>
    </row>
    <row r="913" spans="1:20">
      <c r="A913" s="3169"/>
      <c r="B913" s="52"/>
      <c r="C913" s="3192">
        <f t="shared" si="136"/>
        <v>1</v>
      </c>
      <c r="D913" s="2559"/>
      <c r="E913" s="3192">
        <f t="shared" si="137"/>
        <v>0.02</v>
      </c>
      <c r="F913" s="2559"/>
      <c r="G913" s="3192">
        <f t="shared" si="138"/>
        <v>0</v>
      </c>
      <c r="H913" s="631"/>
      <c r="I913" s="3192">
        <f t="shared" si="139"/>
        <v>1</v>
      </c>
      <c r="J913" s="631"/>
      <c r="K913" s="3192">
        <f t="shared" si="140"/>
        <v>1</v>
      </c>
      <c r="L913" s="631"/>
      <c r="M913" s="3192">
        <f t="shared" si="141"/>
        <v>1</v>
      </c>
      <c r="N913" s="631"/>
      <c r="O913" s="3192">
        <f t="shared" si="142"/>
        <v>1</v>
      </c>
      <c r="P913" s="3194"/>
      <c r="Q913" s="3192">
        <f t="shared" si="143"/>
        <v>0</v>
      </c>
      <c r="R913" s="3192">
        <f t="shared" si="144"/>
        <v>0</v>
      </c>
      <c r="S913" s="898">
        <f t="shared" si="135"/>
        <v>0</v>
      </c>
      <c r="T913" s="3190">
        <f>面积表!A908</f>
        <v>0</v>
      </c>
    </row>
    <row r="914" spans="1:20">
      <c r="A914" s="3169"/>
      <c r="B914" s="52"/>
      <c r="C914" s="3192">
        <f t="shared" si="136"/>
        <v>1</v>
      </c>
      <c r="D914" s="2559"/>
      <c r="E914" s="3192">
        <f t="shared" si="137"/>
        <v>0.02</v>
      </c>
      <c r="F914" s="2559"/>
      <c r="G914" s="3192">
        <f t="shared" si="138"/>
        <v>0</v>
      </c>
      <c r="H914" s="631"/>
      <c r="I914" s="3192">
        <f t="shared" si="139"/>
        <v>1</v>
      </c>
      <c r="J914" s="631"/>
      <c r="K914" s="3192">
        <f t="shared" si="140"/>
        <v>1</v>
      </c>
      <c r="L914" s="631"/>
      <c r="M914" s="3192">
        <f t="shared" si="141"/>
        <v>1</v>
      </c>
      <c r="N914" s="631"/>
      <c r="O914" s="3192">
        <f t="shared" si="142"/>
        <v>1</v>
      </c>
      <c r="P914" s="3194"/>
      <c r="Q914" s="3192">
        <f t="shared" si="143"/>
        <v>0</v>
      </c>
      <c r="R914" s="3192">
        <f t="shared" si="144"/>
        <v>0</v>
      </c>
      <c r="S914" s="898">
        <f t="shared" si="135"/>
        <v>0</v>
      </c>
      <c r="T914" s="3190">
        <f>面积表!A909</f>
        <v>0</v>
      </c>
    </row>
    <row r="915" spans="1:20">
      <c r="A915" s="3169"/>
      <c r="B915" s="52"/>
      <c r="C915" s="3192">
        <f t="shared" si="136"/>
        <v>1</v>
      </c>
      <c r="D915" s="2559"/>
      <c r="E915" s="3192">
        <f t="shared" si="137"/>
        <v>0.02</v>
      </c>
      <c r="F915" s="2559"/>
      <c r="G915" s="3192">
        <f t="shared" si="138"/>
        <v>0</v>
      </c>
      <c r="H915" s="631"/>
      <c r="I915" s="3192">
        <f t="shared" si="139"/>
        <v>1</v>
      </c>
      <c r="J915" s="631"/>
      <c r="K915" s="3192">
        <f t="shared" si="140"/>
        <v>1</v>
      </c>
      <c r="L915" s="631"/>
      <c r="M915" s="3192">
        <f t="shared" si="141"/>
        <v>1</v>
      </c>
      <c r="N915" s="631"/>
      <c r="O915" s="3192">
        <f t="shared" si="142"/>
        <v>1</v>
      </c>
      <c r="P915" s="3194"/>
      <c r="Q915" s="3192">
        <f t="shared" si="143"/>
        <v>0</v>
      </c>
      <c r="R915" s="3192">
        <f t="shared" si="144"/>
        <v>0</v>
      </c>
      <c r="S915" s="898">
        <f t="shared" si="135"/>
        <v>0</v>
      </c>
      <c r="T915" s="3190">
        <f>面积表!A910</f>
        <v>0</v>
      </c>
    </row>
    <row r="916" spans="1:20">
      <c r="A916" s="3169"/>
      <c r="B916" s="52"/>
      <c r="C916" s="3192">
        <f t="shared" si="136"/>
        <v>1</v>
      </c>
      <c r="D916" s="2559"/>
      <c r="E916" s="3192">
        <f t="shared" si="137"/>
        <v>0.02</v>
      </c>
      <c r="F916" s="2559"/>
      <c r="G916" s="3192">
        <f t="shared" si="138"/>
        <v>0</v>
      </c>
      <c r="H916" s="631"/>
      <c r="I916" s="3192">
        <f t="shared" si="139"/>
        <v>1</v>
      </c>
      <c r="J916" s="631"/>
      <c r="K916" s="3192">
        <f t="shared" si="140"/>
        <v>1</v>
      </c>
      <c r="L916" s="631"/>
      <c r="M916" s="3192">
        <f t="shared" si="141"/>
        <v>1</v>
      </c>
      <c r="N916" s="631"/>
      <c r="O916" s="3192">
        <f t="shared" si="142"/>
        <v>1</v>
      </c>
      <c r="P916" s="3194"/>
      <c r="Q916" s="3192">
        <f t="shared" si="143"/>
        <v>0</v>
      </c>
      <c r="R916" s="3192">
        <f t="shared" si="144"/>
        <v>0</v>
      </c>
      <c r="S916" s="898">
        <f t="shared" si="135"/>
        <v>0</v>
      </c>
      <c r="T916" s="3190">
        <f>面积表!A911</f>
        <v>0</v>
      </c>
    </row>
    <row r="917" spans="1:20">
      <c r="A917" s="3169"/>
      <c r="B917" s="52"/>
      <c r="C917" s="3192">
        <f t="shared" si="136"/>
        <v>1</v>
      </c>
      <c r="D917" s="2559"/>
      <c r="E917" s="3192">
        <f t="shared" si="137"/>
        <v>0.02</v>
      </c>
      <c r="F917" s="2559"/>
      <c r="G917" s="3192">
        <f t="shared" si="138"/>
        <v>0</v>
      </c>
      <c r="H917" s="631"/>
      <c r="I917" s="3192">
        <f t="shared" si="139"/>
        <v>1</v>
      </c>
      <c r="J917" s="631"/>
      <c r="K917" s="3192">
        <f t="shared" si="140"/>
        <v>1</v>
      </c>
      <c r="L917" s="631"/>
      <c r="M917" s="3192">
        <f t="shared" si="141"/>
        <v>1</v>
      </c>
      <c r="N917" s="631"/>
      <c r="O917" s="3192">
        <f t="shared" si="142"/>
        <v>1</v>
      </c>
      <c r="P917" s="3194"/>
      <c r="Q917" s="3192">
        <f t="shared" si="143"/>
        <v>0</v>
      </c>
      <c r="R917" s="3192">
        <f t="shared" si="144"/>
        <v>0</v>
      </c>
      <c r="S917" s="898">
        <f t="shared" si="135"/>
        <v>0</v>
      </c>
      <c r="T917" s="3190">
        <f>面积表!A912</f>
        <v>0</v>
      </c>
    </row>
    <row r="918" spans="1:20">
      <c r="A918" s="3169"/>
      <c r="B918" s="52"/>
      <c r="C918" s="3192">
        <f t="shared" si="136"/>
        <v>1</v>
      </c>
      <c r="D918" s="2559"/>
      <c r="E918" s="3192">
        <f t="shared" si="137"/>
        <v>0.02</v>
      </c>
      <c r="F918" s="2559"/>
      <c r="G918" s="3192">
        <f t="shared" si="138"/>
        <v>0</v>
      </c>
      <c r="H918" s="631"/>
      <c r="I918" s="3192">
        <f t="shared" si="139"/>
        <v>1</v>
      </c>
      <c r="J918" s="631"/>
      <c r="K918" s="3192">
        <f t="shared" si="140"/>
        <v>1</v>
      </c>
      <c r="L918" s="631"/>
      <c r="M918" s="3192">
        <f t="shared" si="141"/>
        <v>1</v>
      </c>
      <c r="N918" s="631"/>
      <c r="O918" s="3192">
        <f t="shared" si="142"/>
        <v>1</v>
      </c>
      <c r="P918" s="3194"/>
      <c r="Q918" s="3192">
        <f t="shared" si="143"/>
        <v>0</v>
      </c>
      <c r="R918" s="3192">
        <f t="shared" si="144"/>
        <v>0</v>
      </c>
      <c r="S918" s="898">
        <f t="shared" si="135"/>
        <v>0</v>
      </c>
      <c r="T918" s="3190">
        <f>面积表!A913</f>
        <v>0</v>
      </c>
    </row>
    <row r="919" spans="1:20">
      <c r="A919" s="3169"/>
      <c r="B919" s="52"/>
      <c r="C919" s="3192">
        <f t="shared" si="136"/>
        <v>1</v>
      </c>
      <c r="D919" s="2559"/>
      <c r="E919" s="3192">
        <f t="shared" si="137"/>
        <v>0.02</v>
      </c>
      <c r="F919" s="2559"/>
      <c r="G919" s="3192">
        <f t="shared" si="138"/>
        <v>0</v>
      </c>
      <c r="H919" s="631"/>
      <c r="I919" s="3192">
        <f t="shared" si="139"/>
        <v>1</v>
      </c>
      <c r="J919" s="631"/>
      <c r="K919" s="3192">
        <f t="shared" si="140"/>
        <v>1</v>
      </c>
      <c r="L919" s="631"/>
      <c r="M919" s="3192">
        <f t="shared" si="141"/>
        <v>1</v>
      </c>
      <c r="N919" s="631"/>
      <c r="O919" s="3192">
        <f t="shared" si="142"/>
        <v>1</v>
      </c>
      <c r="P919" s="3194"/>
      <c r="Q919" s="3192">
        <f t="shared" si="143"/>
        <v>0</v>
      </c>
      <c r="R919" s="3192">
        <f t="shared" si="144"/>
        <v>0</v>
      </c>
      <c r="S919" s="898">
        <f t="shared" si="135"/>
        <v>0</v>
      </c>
      <c r="T919" s="3190">
        <f>面积表!A914</f>
        <v>0</v>
      </c>
    </row>
    <row r="920" spans="1:20">
      <c r="A920" s="3169"/>
      <c r="B920" s="52"/>
      <c r="C920" s="3192">
        <f t="shared" si="136"/>
        <v>1</v>
      </c>
      <c r="D920" s="2559"/>
      <c r="E920" s="3192">
        <f t="shared" si="137"/>
        <v>0.02</v>
      </c>
      <c r="F920" s="2559"/>
      <c r="G920" s="3192">
        <f t="shared" si="138"/>
        <v>0</v>
      </c>
      <c r="H920" s="631"/>
      <c r="I920" s="3192">
        <f t="shared" si="139"/>
        <v>1</v>
      </c>
      <c r="J920" s="631"/>
      <c r="K920" s="3192">
        <f t="shared" si="140"/>
        <v>1</v>
      </c>
      <c r="L920" s="631"/>
      <c r="M920" s="3192">
        <f t="shared" si="141"/>
        <v>1</v>
      </c>
      <c r="N920" s="631"/>
      <c r="O920" s="3192">
        <f t="shared" si="142"/>
        <v>1</v>
      </c>
      <c r="P920" s="3194"/>
      <c r="Q920" s="3192">
        <f t="shared" si="143"/>
        <v>0</v>
      </c>
      <c r="R920" s="3192">
        <f t="shared" si="144"/>
        <v>0</v>
      </c>
      <c r="S920" s="898">
        <f t="shared" ref="S920:S983" si="145">ROUND(R920*B920/10000,0)</f>
        <v>0</v>
      </c>
      <c r="T920" s="3190">
        <f>面积表!A915</f>
        <v>0</v>
      </c>
    </row>
    <row r="921" spans="1:20">
      <c r="A921" s="3169"/>
      <c r="B921" s="52"/>
      <c r="C921" s="3192">
        <f t="shared" si="136"/>
        <v>1</v>
      </c>
      <c r="D921" s="2559"/>
      <c r="E921" s="3192">
        <f t="shared" si="137"/>
        <v>0.02</v>
      </c>
      <c r="F921" s="2559"/>
      <c r="G921" s="3192">
        <f t="shared" si="138"/>
        <v>0</v>
      </c>
      <c r="H921" s="631"/>
      <c r="I921" s="3192">
        <f t="shared" si="139"/>
        <v>1</v>
      </c>
      <c r="J921" s="631"/>
      <c r="K921" s="3192">
        <f t="shared" si="140"/>
        <v>1</v>
      </c>
      <c r="L921" s="631"/>
      <c r="M921" s="3192">
        <f t="shared" si="141"/>
        <v>1</v>
      </c>
      <c r="N921" s="631"/>
      <c r="O921" s="3192">
        <f t="shared" si="142"/>
        <v>1</v>
      </c>
      <c r="P921" s="3194"/>
      <c r="Q921" s="3192">
        <f t="shared" si="143"/>
        <v>0</v>
      </c>
      <c r="R921" s="3192">
        <f t="shared" si="144"/>
        <v>0</v>
      </c>
      <c r="S921" s="898">
        <f t="shared" si="145"/>
        <v>0</v>
      </c>
      <c r="T921" s="3190">
        <f>面积表!A916</f>
        <v>0</v>
      </c>
    </row>
    <row r="922" spans="1:20">
      <c r="A922" s="3169"/>
      <c r="B922" s="52"/>
      <c r="C922" s="3192">
        <f t="shared" ref="C922:C985" si="146">IF(B922="",1,(LOOKUP(B922,$3:$3,$4:$4)-LOOKUP($B$24,$3:$3,$4:$4)+100)/100)</f>
        <v>1</v>
      </c>
      <c r="D922" s="2559"/>
      <c r="E922" s="3192">
        <f t="shared" ref="E922:E985" si="147">(SUMIF($5:$5,D922,$6:$6)-SUMIF($5:$5,$D$24,$6:$6)+100)/100</f>
        <v>0.02</v>
      </c>
      <c r="F922" s="2559"/>
      <c r="G922" s="3192">
        <f t="shared" ref="G922:G985" si="148">(SUMIF($7:$7,F922,$8:$8)-SUMIF($7:$7,$F$24,$8:$8)+100)/100</f>
        <v>0</v>
      </c>
      <c r="H922" s="631"/>
      <c r="I922" s="3192">
        <f t="shared" ref="I922:I985" si="149">(SUMIF($9:$9,H922,$10:$10)-SUMIF($9:$9,$H$24,$10:$10)+100)/100</f>
        <v>1</v>
      </c>
      <c r="J922" s="631"/>
      <c r="K922" s="3192">
        <f t="shared" ref="K922:K985" si="150">(SUMIF($11:$11,J922,$12:$12)-SUMIF($11:$11,$J$24,$12:$12)+100)/100</f>
        <v>1</v>
      </c>
      <c r="L922" s="631"/>
      <c r="M922" s="3192">
        <f t="shared" ref="M922:M985" si="151">(SUMIF($13:$13,L922,$14:$14)-SUMIF($13:$13,$L$24,$14:$14)+100)/100</f>
        <v>1</v>
      </c>
      <c r="N922" s="631"/>
      <c r="O922" s="3192">
        <f t="shared" ref="O922:O985" si="152">(SUMIF($15:$15,N922,$16:$16)-SUMIF($15:$15,$N$24,$16:$16)+100)/100</f>
        <v>1</v>
      </c>
      <c r="P922" s="3194"/>
      <c r="Q922" s="3192">
        <f t="shared" ref="Q922:Q985" si="153">(SUMIF($17:$17,P922,$18:$18)-SUMIF($17:$17,$P$24,$18:$18)+100)/100</f>
        <v>0</v>
      </c>
      <c r="R922" s="3192">
        <f t="shared" ref="R922:R985" si="154">IF(B922="",0,ROUND($R$24*C922*E922*G922*I922*K922*M922*O922*Q922,0))</f>
        <v>0</v>
      </c>
      <c r="S922" s="898">
        <f t="shared" si="145"/>
        <v>0</v>
      </c>
      <c r="T922" s="3190">
        <f>面积表!A917</f>
        <v>0</v>
      </c>
    </row>
    <row r="923" spans="1:20">
      <c r="A923" s="3169"/>
      <c r="B923" s="52"/>
      <c r="C923" s="3192">
        <f t="shared" si="146"/>
        <v>1</v>
      </c>
      <c r="D923" s="2559"/>
      <c r="E923" s="3192">
        <f t="shared" si="147"/>
        <v>0.02</v>
      </c>
      <c r="F923" s="2559"/>
      <c r="G923" s="3192">
        <f t="shared" si="148"/>
        <v>0</v>
      </c>
      <c r="H923" s="631"/>
      <c r="I923" s="3192">
        <f t="shared" si="149"/>
        <v>1</v>
      </c>
      <c r="J923" s="631"/>
      <c r="K923" s="3192">
        <f t="shared" si="150"/>
        <v>1</v>
      </c>
      <c r="L923" s="631"/>
      <c r="M923" s="3192">
        <f t="shared" si="151"/>
        <v>1</v>
      </c>
      <c r="N923" s="631"/>
      <c r="O923" s="3192">
        <f t="shared" si="152"/>
        <v>1</v>
      </c>
      <c r="P923" s="3194"/>
      <c r="Q923" s="3192">
        <f t="shared" si="153"/>
        <v>0</v>
      </c>
      <c r="R923" s="3192">
        <f t="shared" si="154"/>
        <v>0</v>
      </c>
      <c r="S923" s="898">
        <f t="shared" si="145"/>
        <v>0</v>
      </c>
      <c r="T923" s="3190">
        <f>面积表!A918</f>
        <v>0</v>
      </c>
    </row>
    <row r="924" spans="1:20">
      <c r="A924" s="3169"/>
      <c r="B924" s="52"/>
      <c r="C924" s="3192">
        <f t="shared" si="146"/>
        <v>1</v>
      </c>
      <c r="D924" s="2559"/>
      <c r="E924" s="3192">
        <f t="shared" si="147"/>
        <v>0.02</v>
      </c>
      <c r="F924" s="2559"/>
      <c r="G924" s="3192">
        <f t="shared" si="148"/>
        <v>0</v>
      </c>
      <c r="H924" s="631"/>
      <c r="I924" s="3192">
        <f t="shared" si="149"/>
        <v>1</v>
      </c>
      <c r="J924" s="631"/>
      <c r="K924" s="3192">
        <f t="shared" si="150"/>
        <v>1</v>
      </c>
      <c r="L924" s="631"/>
      <c r="M924" s="3192">
        <f t="shared" si="151"/>
        <v>1</v>
      </c>
      <c r="N924" s="631"/>
      <c r="O924" s="3192">
        <f t="shared" si="152"/>
        <v>1</v>
      </c>
      <c r="P924" s="3194"/>
      <c r="Q924" s="3192">
        <f t="shared" si="153"/>
        <v>0</v>
      </c>
      <c r="R924" s="3192">
        <f t="shared" si="154"/>
        <v>0</v>
      </c>
      <c r="S924" s="898">
        <f t="shared" si="145"/>
        <v>0</v>
      </c>
      <c r="T924" s="3190">
        <f>面积表!A919</f>
        <v>0</v>
      </c>
    </row>
    <row r="925" spans="1:20">
      <c r="A925" s="3169"/>
      <c r="B925" s="52"/>
      <c r="C925" s="3192">
        <f t="shared" si="146"/>
        <v>1</v>
      </c>
      <c r="D925" s="2559"/>
      <c r="E925" s="3192">
        <f t="shared" si="147"/>
        <v>0.02</v>
      </c>
      <c r="F925" s="2559"/>
      <c r="G925" s="3192">
        <f t="shared" si="148"/>
        <v>0</v>
      </c>
      <c r="H925" s="631"/>
      <c r="I925" s="3192">
        <f t="shared" si="149"/>
        <v>1</v>
      </c>
      <c r="J925" s="631"/>
      <c r="K925" s="3192">
        <f t="shared" si="150"/>
        <v>1</v>
      </c>
      <c r="L925" s="631"/>
      <c r="M925" s="3192">
        <f t="shared" si="151"/>
        <v>1</v>
      </c>
      <c r="N925" s="631"/>
      <c r="O925" s="3192">
        <f t="shared" si="152"/>
        <v>1</v>
      </c>
      <c r="P925" s="3194"/>
      <c r="Q925" s="3192">
        <f t="shared" si="153"/>
        <v>0</v>
      </c>
      <c r="R925" s="3192">
        <f t="shared" si="154"/>
        <v>0</v>
      </c>
      <c r="S925" s="898">
        <f t="shared" si="145"/>
        <v>0</v>
      </c>
      <c r="T925" s="3190">
        <f>面积表!A920</f>
        <v>0</v>
      </c>
    </row>
    <row r="926" spans="1:20">
      <c r="A926" s="3169"/>
      <c r="B926" s="52"/>
      <c r="C926" s="3192">
        <f t="shared" si="146"/>
        <v>1</v>
      </c>
      <c r="D926" s="2559"/>
      <c r="E926" s="3192">
        <f t="shared" si="147"/>
        <v>0.02</v>
      </c>
      <c r="F926" s="2559"/>
      <c r="G926" s="3192">
        <f t="shared" si="148"/>
        <v>0</v>
      </c>
      <c r="H926" s="631"/>
      <c r="I926" s="3192">
        <f t="shared" si="149"/>
        <v>1</v>
      </c>
      <c r="J926" s="631"/>
      <c r="K926" s="3192">
        <f t="shared" si="150"/>
        <v>1</v>
      </c>
      <c r="L926" s="631"/>
      <c r="M926" s="3192">
        <f t="shared" si="151"/>
        <v>1</v>
      </c>
      <c r="N926" s="631"/>
      <c r="O926" s="3192">
        <f t="shared" si="152"/>
        <v>1</v>
      </c>
      <c r="P926" s="3194"/>
      <c r="Q926" s="3192">
        <f t="shared" si="153"/>
        <v>0</v>
      </c>
      <c r="R926" s="3192">
        <f t="shared" si="154"/>
        <v>0</v>
      </c>
      <c r="S926" s="898">
        <f t="shared" si="145"/>
        <v>0</v>
      </c>
      <c r="T926" s="3190">
        <f>面积表!A921</f>
        <v>0</v>
      </c>
    </row>
    <row r="927" spans="1:20">
      <c r="A927" s="3169"/>
      <c r="B927" s="52"/>
      <c r="C927" s="3192">
        <f t="shared" si="146"/>
        <v>1</v>
      </c>
      <c r="D927" s="2559"/>
      <c r="E927" s="3192">
        <f t="shared" si="147"/>
        <v>0.02</v>
      </c>
      <c r="F927" s="2559"/>
      <c r="G927" s="3192">
        <f t="shared" si="148"/>
        <v>0</v>
      </c>
      <c r="H927" s="631"/>
      <c r="I927" s="3192">
        <f t="shared" si="149"/>
        <v>1</v>
      </c>
      <c r="J927" s="631"/>
      <c r="K927" s="3192">
        <f t="shared" si="150"/>
        <v>1</v>
      </c>
      <c r="L927" s="631"/>
      <c r="M927" s="3192">
        <f t="shared" si="151"/>
        <v>1</v>
      </c>
      <c r="N927" s="631"/>
      <c r="O927" s="3192">
        <f t="shared" si="152"/>
        <v>1</v>
      </c>
      <c r="P927" s="3194"/>
      <c r="Q927" s="3192">
        <f t="shared" si="153"/>
        <v>0</v>
      </c>
      <c r="R927" s="3192">
        <f t="shared" si="154"/>
        <v>0</v>
      </c>
      <c r="S927" s="898">
        <f t="shared" si="145"/>
        <v>0</v>
      </c>
      <c r="T927" s="3190">
        <f>面积表!A922</f>
        <v>0</v>
      </c>
    </row>
    <row r="928" spans="1:20">
      <c r="A928" s="3169"/>
      <c r="B928" s="52"/>
      <c r="C928" s="3192">
        <f t="shared" si="146"/>
        <v>1</v>
      </c>
      <c r="D928" s="2559"/>
      <c r="E928" s="3192">
        <f t="shared" si="147"/>
        <v>0.02</v>
      </c>
      <c r="F928" s="2559"/>
      <c r="G928" s="3192">
        <f t="shared" si="148"/>
        <v>0</v>
      </c>
      <c r="H928" s="631"/>
      <c r="I928" s="3192">
        <f t="shared" si="149"/>
        <v>1</v>
      </c>
      <c r="J928" s="631"/>
      <c r="K928" s="3192">
        <f t="shared" si="150"/>
        <v>1</v>
      </c>
      <c r="L928" s="631"/>
      <c r="M928" s="3192">
        <f t="shared" si="151"/>
        <v>1</v>
      </c>
      <c r="N928" s="631"/>
      <c r="O928" s="3192">
        <f t="shared" si="152"/>
        <v>1</v>
      </c>
      <c r="P928" s="3194"/>
      <c r="Q928" s="3192">
        <f t="shared" si="153"/>
        <v>0</v>
      </c>
      <c r="R928" s="3192">
        <f t="shared" si="154"/>
        <v>0</v>
      </c>
      <c r="S928" s="898">
        <f t="shared" si="145"/>
        <v>0</v>
      </c>
      <c r="T928" s="3190">
        <f>面积表!A923</f>
        <v>0</v>
      </c>
    </row>
    <row r="929" spans="1:20">
      <c r="A929" s="3169"/>
      <c r="B929" s="52"/>
      <c r="C929" s="3192">
        <f t="shared" si="146"/>
        <v>1</v>
      </c>
      <c r="D929" s="2559"/>
      <c r="E929" s="3192">
        <f t="shared" si="147"/>
        <v>0.02</v>
      </c>
      <c r="F929" s="2559"/>
      <c r="G929" s="3192">
        <f t="shared" si="148"/>
        <v>0</v>
      </c>
      <c r="H929" s="631"/>
      <c r="I929" s="3192">
        <f t="shared" si="149"/>
        <v>1</v>
      </c>
      <c r="J929" s="631"/>
      <c r="K929" s="3192">
        <f t="shared" si="150"/>
        <v>1</v>
      </c>
      <c r="L929" s="631"/>
      <c r="M929" s="3192">
        <f t="shared" si="151"/>
        <v>1</v>
      </c>
      <c r="N929" s="631"/>
      <c r="O929" s="3192">
        <f t="shared" si="152"/>
        <v>1</v>
      </c>
      <c r="P929" s="3194"/>
      <c r="Q929" s="3192">
        <f t="shared" si="153"/>
        <v>0</v>
      </c>
      <c r="R929" s="3192">
        <f t="shared" si="154"/>
        <v>0</v>
      </c>
      <c r="S929" s="898">
        <f t="shared" si="145"/>
        <v>0</v>
      </c>
      <c r="T929" s="3190">
        <f>面积表!A924</f>
        <v>0</v>
      </c>
    </row>
    <row r="930" spans="1:20">
      <c r="A930" s="3169"/>
      <c r="B930" s="52"/>
      <c r="C930" s="3192">
        <f t="shared" si="146"/>
        <v>1</v>
      </c>
      <c r="D930" s="2559"/>
      <c r="E930" s="3192">
        <f t="shared" si="147"/>
        <v>0.02</v>
      </c>
      <c r="F930" s="2559"/>
      <c r="G930" s="3192">
        <f t="shared" si="148"/>
        <v>0</v>
      </c>
      <c r="H930" s="631"/>
      <c r="I930" s="3192">
        <f t="shared" si="149"/>
        <v>1</v>
      </c>
      <c r="J930" s="631"/>
      <c r="K930" s="3192">
        <f t="shared" si="150"/>
        <v>1</v>
      </c>
      <c r="L930" s="631"/>
      <c r="M930" s="3192">
        <f t="shared" si="151"/>
        <v>1</v>
      </c>
      <c r="N930" s="631"/>
      <c r="O930" s="3192">
        <f t="shared" si="152"/>
        <v>1</v>
      </c>
      <c r="P930" s="3194"/>
      <c r="Q930" s="3192">
        <f t="shared" si="153"/>
        <v>0</v>
      </c>
      <c r="R930" s="3192">
        <f t="shared" si="154"/>
        <v>0</v>
      </c>
      <c r="S930" s="898">
        <f t="shared" si="145"/>
        <v>0</v>
      </c>
      <c r="T930" s="3190">
        <f>面积表!A925</f>
        <v>0</v>
      </c>
    </row>
    <row r="931" spans="1:20">
      <c r="A931" s="3169"/>
      <c r="B931" s="52"/>
      <c r="C931" s="3192">
        <f t="shared" si="146"/>
        <v>1</v>
      </c>
      <c r="D931" s="2559"/>
      <c r="E931" s="3192">
        <f t="shared" si="147"/>
        <v>0.02</v>
      </c>
      <c r="F931" s="2559"/>
      <c r="G931" s="3192">
        <f t="shared" si="148"/>
        <v>0</v>
      </c>
      <c r="H931" s="631"/>
      <c r="I931" s="3192">
        <f t="shared" si="149"/>
        <v>1</v>
      </c>
      <c r="J931" s="631"/>
      <c r="K931" s="3192">
        <f t="shared" si="150"/>
        <v>1</v>
      </c>
      <c r="L931" s="631"/>
      <c r="M931" s="3192">
        <f t="shared" si="151"/>
        <v>1</v>
      </c>
      <c r="N931" s="631"/>
      <c r="O931" s="3192">
        <f t="shared" si="152"/>
        <v>1</v>
      </c>
      <c r="P931" s="3194"/>
      <c r="Q931" s="3192">
        <f t="shared" si="153"/>
        <v>0</v>
      </c>
      <c r="R931" s="3192">
        <f t="shared" si="154"/>
        <v>0</v>
      </c>
      <c r="S931" s="898">
        <f t="shared" si="145"/>
        <v>0</v>
      </c>
      <c r="T931" s="3190">
        <f>面积表!A926</f>
        <v>0</v>
      </c>
    </row>
    <row r="932" spans="1:20">
      <c r="A932" s="3169"/>
      <c r="B932" s="52"/>
      <c r="C932" s="3192">
        <f t="shared" si="146"/>
        <v>1</v>
      </c>
      <c r="D932" s="2559"/>
      <c r="E932" s="3192">
        <f t="shared" si="147"/>
        <v>0.02</v>
      </c>
      <c r="F932" s="2559"/>
      <c r="G932" s="3192">
        <f t="shared" si="148"/>
        <v>0</v>
      </c>
      <c r="H932" s="631"/>
      <c r="I932" s="3192">
        <f t="shared" si="149"/>
        <v>1</v>
      </c>
      <c r="J932" s="631"/>
      <c r="K932" s="3192">
        <f t="shared" si="150"/>
        <v>1</v>
      </c>
      <c r="L932" s="631"/>
      <c r="M932" s="3192">
        <f t="shared" si="151"/>
        <v>1</v>
      </c>
      <c r="N932" s="631"/>
      <c r="O932" s="3192">
        <f t="shared" si="152"/>
        <v>1</v>
      </c>
      <c r="P932" s="3194"/>
      <c r="Q932" s="3192">
        <f t="shared" si="153"/>
        <v>0</v>
      </c>
      <c r="R932" s="3192">
        <f t="shared" si="154"/>
        <v>0</v>
      </c>
      <c r="S932" s="898">
        <f t="shared" si="145"/>
        <v>0</v>
      </c>
      <c r="T932" s="3190">
        <f>面积表!A927</f>
        <v>0</v>
      </c>
    </row>
    <row r="933" spans="1:20">
      <c r="A933" s="3169"/>
      <c r="B933" s="52"/>
      <c r="C933" s="3192">
        <f t="shared" si="146"/>
        <v>1</v>
      </c>
      <c r="D933" s="2559"/>
      <c r="E933" s="3192">
        <f t="shared" si="147"/>
        <v>0.02</v>
      </c>
      <c r="F933" s="2559"/>
      <c r="G933" s="3192">
        <f t="shared" si="148"/>
        <v>0</v>
      </c>
      <c r="H933" s="631"/>
      <c r="I933" s="3192">
        <f t="shared" si="149"/>
        <v>1</v>
      </c>
      <c r="J933" s="631"/>
      <c r="K933" s="3192">
        <f t="shared" si="150"/>
        <v>1</v>
      </c>
      <c r="L933" s="631"/>
      <c r="M933" s="3192">
        <f t="shared" si="151"/>
        <v>1</v>
      </c>
      <c r="N933" s="631"/>
      <c r="O933" s="3192">
        <f t="shared" si="152"/>
        <v>1</v>
      </c>
      <c r="P933" s="3194"/>
      <c r="Q933" s="3192">
        <f t="shared" si="153"/>
        <v>0</v>
      </c>
      <c r="R933" s="3192">
        <f t="shared" si="154"/>
        <v>0</v>
      </c>
      <c r="S933" s="898">
        <f t="shared" si="145"/>
        <v>0</v>
      </c>
      <c r="T933" s="3190">
        <f>面积表!A928</f>
        <v>0</v>
      </c>
    </row>
    <row r="934" spans="1:20">
      <c r="A934" s="3169"/>
      <c r="B934" s="52"/>
      <c r="C934" s="3192">
        <f t="shared" si="146"/>
        <v>1</v>
      </c>
      <c r="D934" s="2559"/>
      <c r="E934" s="3192">
        <f t="shared" si="147"/>
        <v>0.02</v>
      </c>
      <c r="F934" s="2559"/>
      <c r="G934" s="3192">
        <f t="shared" si="148"/>
        <v>0</v>
      </c>
      <c r="H934" s="631"/>
      <c r="I934" s="3192">
        <f t="shared" si="149"/>
        <v>1</v>
      </c>
      <c r="J934" s="631"/>
      <c r="K934" s="3192">
        <f t="shared" si="150"/>
        <v>1</v>
      </c>
      <c r="L934" s="631"/>
      <c r="M934" s="3192">
        <f t="shared" si="151"/>
        <v>1</v>
      </c>
      <c r="N934" s="631"/>
      <c r="O934" s="3192">
        <f t="shared" si="152"/>
        <v>1</v>
      </c>
      <c r="P934" s="3194"/>
      <c r="Q934" s="3192">
        <f t="shared" si="153"/>
        <v>0</v>
      </c>
      <c r="R934" s="3192">
        <f t="shared" si="154"/>
        <v>0</v>
      </c>
      <c r="S934" s="898">
        <f t="shared" si="145"/>
        <v>0</v>
      </c>
      <c r="T934" s="3190">
        <f>面积表!A929</f>
        <v>0</v>
      </c>
    </row>
    <row r="935" spans="1:20">
      <c r="A935" s="3169"/>
      <c r="B935" s="52"/>
      <c r="C935" s="3192">
        <f t="shared" si="146"/>
        <v>1</v>
      </c>
      <c r="D935" s="2559"/>
      <c r="E935" s="3192">
        <f t="shared" si="147"/>
        <v>0.02</v>
      </c>
      <c r="F935" s="2559"/>
      <c r="G935" s="3192">
        <f t="shared" si="148"/>
        <v>0</v>
      </c>
      <c r="H935" s="631"/>
      <c r="I935" s="3192">
        <f t="shared" si="149"/>
        <v>1</v>
      </c>
      <c r="J935" s="631"/>
      <c r="K935" s="3192">
        <f t="shared" si="150"/>
        <v>1</v>
      </c>
      <c r="L935" s="631"/>
      <c r="M935" s="3192">
        <f t="shared" si="151"/>
        <v>1</v>
      </c>
      <c r="N935" s="631"/>
      <c r="O935" s="3192">
        <f t="shared" si="152"/>
        <v>1</v>
      </c>
      <c r="P935" s="3194"/>
      <c r="Q935" s="3192">
        <f t="shared" si="153"/>
        <v>0</v>
      </c>
      <c r="R935" s="3192">
        <f t="shared" si="154"/>
        <v>0</v>
      </c>
      <c r="S935" s="898">
        <f t="shared" si="145"/>
        <v>0</v>
      </c>
      <c r="T935" s="3190">
        <f>面积表!A930</f>
        <v>0</v>
      </c>
    </row>
    <row r="936" spans="1:20">
      <c r="A936" s="3169"/>
      <c r="B936" s="52"/>
      <c r="C936" s="3192">
        <f t="shared" si="146"/>
        <v>1</v>
      </c>
      <c r="D936" s="2559"/>
      <c r="E936" s="3192">
        <f t="shared" si="147"/>
        <v>0.02</v>
      </c>
      <c r="F936" s="2559"/>
      <c r="G936" s="3192">
        <f t="shared" si="148"/>
        <v>0</v>
      </c>
      <c r="H936" s="631"/>
      <c r="I936" s="3192">
        <f t="shared" si="149"/>
        <v>1</v>
      </c>
      <c r="J936" s="631"/>
      <c r="K936" s="3192">
        <f t="shared" si="150"/>
        <v>1</v>
      </c>
      <c r="L936" s="631"/>
      <c r="M936" s="3192">
        <f t="shared" si="151"/>
        <v>1</v>
      </c>
      <c r="N936" s="631"/>
      <c r="O936" s="3192">
        <f t="shared" si="152"/>
        <v>1</v>
      </c>
      <c r="P936" s="3194"/>
      <c r="Q936" s="3192">
        <f t="shared" si="153"/>
        <v>0</v>
      </c>
      <c r="R936" s="3192">
        <f t="shared" si="154"/>
        <v>0</v>
      </c>
      <c r="S936" s="898">
        <f t="shared" si="145"/>
        <v>0</v>
      </c>
      <c r="T936" s="3190">
        <f>面积表!A931</f>
        <v>0</v>
      </c>
    </row>
    <row r="937" spans="1:20">
      <c r="A937" s="3169"/>
      <c r="B937" s="52"/>
      <c r="C937" s="3192">
        <f t="shared" si="146"/>
        <v>1</v>
      </c>
      <c r="D937" s="2559"/>
      <c r="E937" s="3192">
        <f t="shared" si="147"/>
        <v>0.02</v>
      </c>
      <c r="F937" s="2559"/>
      <c r="G937" s="3192">
        <f t="shared" si="148"/>
        <v>0</v>
      </c>
      <c r="H937" s="631"/>
      <c r="I937" s="3192">
        <f t="shared" si="149"/>
        <v>1</v>
      </c>
      <c r="J937" s="631"/>
      <c r="K937" s="3192">
        <f t="shared" si="150"/>
        <v>1</v>
      </c>
      <c r="L937" s="631"/>
      <c r="M937" s="3192">
        <f t="shared" si="151"/>
        <v>1</v>
      </c>
      <c r="N937" s="631"/>
      <c r="O937" s="3192">
        <f t="shared" si="152"/>
        <v>1</v>
      </c>
      <c r="P937" s="3194"/>
      <c r="Q937" s="3192">
        <f t="shared" si="153"/>
        <v>0</v>
      </c>
      <c r="R937" s="3192">
        <f t="shared" si="154"/>
        <v>0</v>
      </c>
      <c r="S937" s="898">
        <f t="shared" si="145"/>
        <v>0</v>
      </c>
      <c r="T937" s="3190">
        <f>面积表!A932</f>
        <v>0</v>
      </c>
    </row>
    <row r="938" spans="1:20">
      <c r="A938" s="3169"/>
      <c r="B938" s="52"/>
      <c r="C938" s="3192">
        <f t="shared" si="146"/>
        <v>1</v>
      </c>
      <c r="D938" s="2559"/>
      <c r="E938" s="3192">
        <f t="shared" si="147"/>
        <v>0.02</v>
      </c>
      <c r="F938" s="2559"/>
      <c r="G938" s="3192">
        <f t="shared" si="148"/>
        <v>0</v>
      </c>
      <c r="H938" s="631"/>
      <c r="I938" s="3192">
        <f t="shared" si="149"/>
        <v>1</v>
      </c>
      <c r="J938" s="631"/>
      <c r="K938" s="3192">
        <f t="shared" si="150"/>
        <v>1</v>
      </c>
      <c r="L938" s="631"/>
      <c r="M938" s="3192">
        <f t="shared" si="151"/>
        <v>1</v>
      </c>
      <c r="N938" s="631"/>
      <c r="O938" s="3192">
        <f t="shared" si="152"/>
        <v>1</v>
      </c>
      <c r="P938" s="3194"/>
      <c r="Q938" s="3192">
        <f t="shared" si="153"/>
        <v>0</v>
      </c>
      <c r="R938" s="3192">
        <f t="shared" si="154"/>
        <v>0</v>
      </c>
      <c r="S938" s="898">
        <f t="shared" si="145"/>
        <v>0</v>
      </c>
      <c r="T938" s="3190">
        <f>面积表!A933</f>
        <v>0</v>
      </c>
    </row>
    <row r="939" spans="1:20">
      <c r="A939" s="3169"/>
      <c r="B939" s="52"/>
      <c r="C939" s="3192">
        <f t="shared" si="146"/>
        <v>1</v>
      </c>
      <c r="D939" s="2559"/>
      <c r="E939" s="3192">
        <f t="shared" si="147"/>
        <v>0.02</v>
      </c>
      <c r="F939" s="2559"/>
      <c r="G939" s="3192">
        <f t="shared" si="148"/>
        <v>0</v>
      </c>
      <c r="H939" s="631"/>
      <c r="I939" s="3192">
        <f t="shared" si="149"/>
        <v>1</v>
      </c>
      <c r="J939" s="631"/>
      <c r="K939" s="3192">
        <f t="shared" si="150"/>
        <v>1</v>
      </c>
      <c r="L939" s="631"/>
      <c r="M939" s="3192">
        <f t="shared" si="151"/>
        <v>1</v>
      </c>
      <c r="N939" s="631"/>
      <c r="O939" s="3192">
        <f t="shared" si="152"/>
        <v>1</v>
      </c>
      <c r="P939" s="3194"/>
      <c r="Q939" s="3192">
        <f t="shared" si="153"/>
        <v>0</v>
      </c>
      <c r="R939" s="3192">
        <f t="shared" si="154"/>
        <v>0</v>
      </c>
      <c r="S939" s="898">
        <f t="shared" si="145"/>
        <v>0</v>
      </c>
      <c r="T939" s="3190">
        <f>面积表!A934</f>
        <v>0</v>
      </c>
    </row>
    <row r="940" spans="1:20">
      <c r="A940" s="3169"/>
      <c r="B940" s="52"/>
      <c r="C940" s="3192">
        <f t="shared" si="146"/>
        <v>1</v>
      </c>
      <c r="D940" s="2559"/>
      <c r="E940" s="3192">
        <f t="shared" si="147"/>
        <v>0.02</v>
      </c>
      <c r="F940" s="2559"/>
      <c r="G940" s="3192">
        <f t="shared" si="148"/>
        <v>0</v>
      </c>
      <c r="H940" s="631"/>
      <c r="I940" s="3192">
        <f t="shared" si="149"/>
        <v>1</v>
      </c>
      <c r="J940" s="631"/>
      <c r="K940" s="3192">
        <f t="shared" si="150"/>
        <v>1</v>
      </c>
      <c r="L940" s="631"/>
      <c r="M940" s="3192">
        <f t="shared" si="151"/>
        <v>1</v>
      </c>
      <c r="N940" s="631"/>
      <c r="O940" s="3192">
        <f t="shared" si="152"/>
        <v>1</v>
      </c>
      <c r="P940" s="3194"/>
      <c r="Q940" s="3192">
        <f t="shared" si="153"/>
        <v>0</v>
      </c>
      <c r="R940" s="3192">
        <f t="shared" si="154"/>
        <v>0</v>
      </c>
      <c r="S940" s="898">
        <f t="shared" si="145"/>
        <v>0</v>
      </c>
      <c r="T940" s="3190">
        <f>面积表!A935</f>
        <v>0</v>
      </c>
    </row>
    <row r="941" spans="1:20">
      <c r="A941" s="3169"/>
      <c r="B941" s="52"/>
      <c r="C941" s="3192">
        <f t="shared" si="146"/>
        <v>1</v>
      </c>
      <c r="D941" s="2559"/>
      <c r="E941" s="3192">
        <f t="shared" si="147"/>
        <v>0.02</v>
      </c>
      <c r="F941" s="2559"/>
      <c r="G941" s="3192">
        <f t="shared" si="148"/>
        <v>0</v>
      </c>
      <c r="H941" s="631"/>
      <c r="I941" s="3192">
        <f t="shared" si="149"/>
        <v>1</v>
      </c>
      <c r="J941" s="631"/>
      <c r="K941" s="3192">
        <f t="shared" si="150"/>
        <v>1</v>
      </c>
      <c r="L941" s="631"/>
      <c r="M941" s="3192">
        <f t="shared" si="151"/>
        <v>1</v>
      </c>
      <c r="N941" s="631"/>
      <c r="O941" s="3192">
        <f t="shared" si="152"/>
        <v>1</v>
      </c>
      <c r="P941" s="3194"/>
      <c r="Q941" s="3192">
        <f t="shared" si="153"/>
        <v>0</v>
      </c>
      <c r="R941" s="3192">
        <f t="shared" si="154"/>
        <v>0</v>
      </c>
      <c r="S941" s="898">
        <f t="shared" si="145"/>
        <v>0</v>
      </c>
      <c r="T941" s="3190">
        <f>面积表!A936</f>
        <v>0</v>
      </c>
    </row>
    <row r="942" spans="1:20">
      <c r="A942" s="3169"/>
      <c r="B942" s="52"/>
      <c r="C942" s="3192">
        <f t="shared" si="146"/>
        <v>1</v>
      </c>
      <c r="D942" s="2559"/>
      <c r="E942" s="3192">
        <f t="shared" si="147"/>
        <v>0.02</v>
      </c>
      <c r="F942" s="2559"/>
      <c r="G942" s="3192">
        <f t="shared" si="148"/>
        <v>0</v>
      </c>
      <c r="H942" s="631"/>
      <c r="I942" s="3192">
        <f t="shared" si="149"/>
        <v>1</v>
      </c>
      <c r="J942" s="631"/>
      <c r="K942" s="3192">
        <f t="shared" si="150"/>
        <v>1</v>
      </c>
      <c r="L942" s="631"/>
      <c r="M942" s="3192">
        <f t="shared" si="151"/>
        <v>1</v>
      </c>
      <c r="N942" s="631"/>
      <c r="O942" s="3192">
        <f t="shared" si="152"/>
        <v>1</v>
      </c>
      <c r="P942" s="3194"/>
      <c r="Q942" s="3192">
        <f t="shared" si="153"/>
        <v>0</v>
      </c>
      <c r="R942" s="3192">
        <f t="shared" si="154"/>
        <v>0</v>
      </c>
      <c r="S942" s="898">
        <f t="shared" si="145"/>
        <v>0</v>
      </c>
      <c r="T942" s="3190">
        <f>面积表!A937</f>
        <v>0</v>
      </c>
    </row>
    <row r="943" spans="1:20">
      <c r="A943" s="3169"/>
      <c r="B943" s="52"/>
      <c r="C943" s="3192">
        <f t="shared" si="146"/>
        <v>1</v>
      </c>
      <c r="D943" s="2559"/>
      <c r="E943" s="3192">
        <f t="shared" si="147"/>
        <v>0.02</v>
      </c>
      <c r="F943" s="2559"/>
      <c r="G943" s="3192">
        <f t="shared" si="148"/>
        <v>0</v>
      </c>
      <c r="H943" s="631"/>
      <c r="I943" s="3192">
        <f t="shared" si="149"/>
        <v>1</v>
      </c>
      <c r="J943" s="631"/>
      <c r="K943" s="3192">
        <f t="shared" si="150"/>
        <v>1</v>
      </c>
      <c r="L943" s="631"/>
      <c r="M943" s="3192">
        <f t="shared" si="151"/>
        <v>1</v>
      </c>
      <c r="N943" s="631"/>
      <c r="O943" s="3192">
        <f t="shared" si="152"/>
        <v>1</v>
      </c>
      <c r="P943" s="3194"/>
      <c r="Q943" s="3192">
        <f t="shared" si="153"/>
        <v>0</v>
      </c>
      <c r="R943" s="3192">
        <f t="shared" si="154"/>
        <v>0</v>
      </c>
      <c r="S943" s="898">
        <f t="shared" si="145"/>
        <v>0</v>
      </c>
      <c r="T943" s="3190">
        <f>面积表!A938</f>
        <v>0</v>
      </c>
    </row>
    <row r="944" spans="1:20">
      <c r="A944" s="3169"/>
      <c r="B944" s="52"/>
      <c r="C944" s="3192">
        <f t="shared" si="146"/>
        <v>1</v>
      </c>
      <c r="D944" s="2559"/>
      <c r="E944" s="3192">
        <f t="shared" si="147"/>
        <v>0.02</v>
      </c>
      <c r="F944" s="2559"/>
      <c r="G944" s="3192">
        <f t="shared" si="148"/>
        <v>0</v>
      </c>
      <c r="H944" s="631"/>
      <c r="I944" s="3192">
        <f t="shared" si="149"/>
        <v>1</v>
      </c>
      <c r="J944" s="631"/>
      <c r="K944" s="3192">
        <f t="shared" si="150"/>
        <v>1</v>
      </c>
      <c r="L944" s="631"/>
      <c r="M944" s="3192">
        <f t="shared" si="151"/>
        <v>1</v>
      </c>
      <c r="N944" s="631"/>
      <c r="O944" s="3192">
        <f t="shared" si="152"/>
        <v>1</v>
      </c>
      <c r="P944" s="3194"/>
      <c r="Q944" s="3192">
        <f t="shared" si="153"/>
        <v>0</v>
      </c>
      <c r="R944" s="3192">
        <f t="shared" si="154"/>
        <v>0</v>
      </c>
      <c r="S944" s="898">
        <f t="shared" si="145"/>
        <v>0</v>
      </c>
      <c r="T944" s="3190">
        <f>面积表!A939</f>
        <v>0</v>
      </c>
    </row>
    <row r="945" spans="1:20">
      <c r="A945" s="3169"/>
      <c r="B945" s="52"/>
      <c r="C945" s="3192">
        <f t="shared" si="146"/>
        <v>1</v>
      </c>
      <c r="D945" s="2559"/>
      <c r="E945" s="3192">
        <f t="shared" si="147"/>
        <v>0.02</v>
      </c>
      <c r="F945" s="2559"/>
      <c r="G945" s="3192">
        <f t="shared" si="148"/>
        <v>0</v>
      </c>
      <c r="H945" s="631"/>
      <c r="I945" s="3192">
        <f t="shared" si="149"/>
        <v>1</v>
      </c>
      <c r="J945" s="631"/>
      <c r="K945" s="3192">
        <f t="shared" si="150"/>
        <v>1</v>
      </c>
      <c r="L945" s="631"/>
      <c r="M945" s="3192">
        <f t="shared" si="151"/>
        <v>1</v>
      </c>
      <c r="N945" s="631"/>
      <c r="O945" s="3192">
        <f t="shared" si="152"/>
        <v>1</v>
      </c>
      <c r="P945" s="3194"/>
      <c r="Q945" s="3192">
        <f t="shared" si="153"/>
        <v>0</v>
      </c>
      <c r="R945" s="3192">
        <f t="shared" si="154"/>
        <v>0</v>
      </c>
      <c r="S945" s="898">
        <f t="shared" si="145"/>
        <v>0</v>
      </c>
      <c r="T945" s="3190">
        <f>面积表!A940</f>
        <v>0</v>
      </c>
    </row>
    <row r="946" spans="1:20">
      <c r="A946" s="3169"/>
      <c r="B946" s="52"/>
      <c r="C946" s="3192">
        <f t="shared" si="146"/>
        <v>1</v>
      </c>
      <c r="D946" s="2559"/>
      <c r="E946" s="3192">
        <f t="shared" si="147"/>
        <v>0.02</v>
      </c>
      <c r="F946" s="2559"/>
      <c r="G946" s="3192">
        <f t="shared" si="148"/>
        <v>0</v>
      </c>
      <c r="H946" s="631"/>
      <c r="I946" s="3192">
        <f t="shared" si="149"/>
        <v>1</v>
      </c>
      <c r="J946" s="631"/>
      <c r="K946" s="3192">
        <f t="shared" si="150"/>
        <v>1</v>
      </c>
      <c r="L946" s="631"/>
      <c r="M946" s="3192">
        <f t="shared" si="151"/>
        <v>1</v>
      </c>
      <c r="N946" s="631"/>
      <c r="O946" s="3192">
        <f t="shared" si="152"/>
        <v>1</v>
      </c>
      <c r="P946" s="3194"/>
      <c r="Q946" s="3192">
        <f t="shared" si="153"/>
        <v>0</v>
      </c>
      <c r="R946" s="3192">
        <f t="shared" si="154"/>
        <v>0</v>
      </c>
      <c r="S946" s="898">
        <f t="shared" si="145"/>
        <v>0</v>
      </c>
      <c r="T946" s="3190">
        <f>面积表!A941</f>
        <v>0</v>
      </c>
    </row>
    <row r="947" spans="1:20">
      <c r="A947" s="3169"/>
      <c r="B947" s="52"/>
      <c r="C947" s="3192">
        <f t="shared" si="146"/>
        <v>1</v>
      </c>
      <c r="D947" s="2559"/>
      <c r="E947" s="3192">
        <f t="shared" si="147"/>
        <v>0.02</v>
      </c>
      <c r="F947" s="2559"/>
      <c r="G947" s="3192">
        <f t="shared" si="148"/>
        <v>0</v>
      </c>
      <c r="H947" s="631"/>
      <c r="I947" s="3192">
        <f t="shared" si="149"/>
        <v>1</v>
      </c>
      <c r="J947" s="631"/>
      <c r="K947" s="3192">
        <f t="shared" si="150"/>
        <v>1</v>
      </c>
      <c r="L947" s="631"/>
      <c r="M947" s="3192">
        <f t="shared" si="151"/>
        <v>1</v>
      </c>
      <c r="N947" s="631"/>
      <c r="O947" s="3192">
        <f t="shared" si="152"/>
        <v>1</v>
      </c>
      <c r="P947" s="3194"/>
      <c r="Q947" s="3192">
        <f t="shared" si="153"/>
        <v>0</v>
      </c>
      <c r="R947" s="3192">
        <f t="shared" si="154"/>
        <v>0</v>
      </c>
      <c r="S947" s="898">
        <f t="shared" si="145"/>
        <v>0</v>
      </c>
      <c r="T947" s="3190">
        <f>面积表!A942</f>
        <v>0</v>
      </c>
    </row>
    <row r="948" spans="1:20">
      <c r="A948" s="3169"/>
      <c r="B948" s="52"/>
      <c r="C948" s="3192">
        <f t="shared" si="146"/>
        <v>1</v>
      </c>
      <c r="D948" s="2559"/>
      <c r="E948" s="3192">
        <f t="shared" si="147"/>
        <v>0.02</v>
      </c>
      <c r="F948" s="2559"/>
      <c r="G948" s="3192">
        <f t="shared" si="148"/>
        <v>0</v>
      </c>
      <c r="H948" s="631"/>
      <c r="I948" s="3192">
        <f t="shared" si="149"/>
        <v>1</v>
      </c>
      <c r="J948" s="631"/>
      <c r="K948" s="3192">
        <f t="shared" si="150"/>
        <v>1</v>
      </c>
      <c r="L948" s="631"/>
      <c r="M948" s="3192">
        <f t="shared" si="151"/>
        <v>1</v>
      </c>
      <c r="N948" s="631"/>
      <c r="O948" s="3192">
        <f t="shared" si="152"/>
        <v>1</v>
      </c>
      <c r="P948" s="3194"/>
      <c r="Q948" s="3192">
        <f t="shared" si="153"/>
        <v>0</v>
      </c>
      <c r="R948" s="3192">
        <f t="shared" si="154"/>
        <v>0</v>
      </c>
      <c r="S948" s="898">
        <f t="shared" si="145"/>
        <v>0</v>
      </c>
      <c r="T948" s="3190">
        <f>面积表!A943</f>
        <v>0</v>
      </c>
    </row>
    <row r="949" spans="1:20">
      <c r="A949" s="3169"/>
      <c r="B949" s="52"/>
      <c r="C949" s="3192">
        <f t="shared" si="146"/>
        <v>1</v>
      </c>
      <c r="D949" s="2559"/>
      <c r="E949" s="3192">
        <f t="shared" si="147"/>
        <v>0.02</v>
      </c>
      <c r="F949" s="2559"/>
      <c r="G949" s="3192">
        <f t="shared" si="148"/>
        <v>0</v>
      </c>
      <c r="H949" s="631"/>
      <c r="I949" s="3192">
        <f t="shared" si="149"/>
        <v>1</v>
      </c>
      <c r="J949" s="631"/>
      <c r="K949" s="3192">
        <f t="shared" si="150"/>
        <v>1</v>
      </c>
      <c r="L949" s="631"/>
      <c r="M949" s="3192">
        <f t="shared" si="151"/>
        <v>1</v>
      </c>
      <c r="N949" s="631"/>
      <c r="O949" s="3192">
        <f t="shared" si="152"/>
        <v>1</v>
      </c>
      <c r="P949" s="3194"/>
      <c r="Q949" s="3192">
        <f t="shared" si="153"/>
        <v>0</v>
      </c>
      <c r="R949" s="3192">
        <f t="shared" si="154"/>
        <v>0</v>
      </c>
      <c r="S949" s="898">
        <f t="shared" si="145"/>
        <v>0</v>
      </c>
      <c r="T949" s="3190">
        <f>面积表!A944</f>
        <v>0</v>
      </c>
    </row>
    <row r="950" spans="1:20">
      <c r="A950" s="3169"/>
      <c r="B950" s="52"/>
      <c r="C950" s="3192">
        <f t="shared" si="146"/>
        <v>1</v>
      </c>
      <c r="D950" s="2559"/>
      <c r="E950" s="3192">
        <f t="shared" si="147"/>
        <v>0.02</v>
      </c>
      <c r="F950" s="2559"/>
      <c r="G950" s="3192">
        <f t="shared" si="148"/>
        <v>0</v>
      </c>
      <c r="H950" s="631"/>
      <c r="I950" s="3192">
        <f t="shared" si="149"/>
        <v>1</v>
      </c>
      <c r="J950" s="631"/>
      <c r="K950" s="3192">
        <f t="shared" si="150"/>
        <v>1</v>
      </c>
      <c r="L950" s="631"/>
      <c r="M950" s="3192">
        <f t="shared" si="151"/>
        <v>1</v>
      </c>
      <c r="N950" s="631"/>
      <c r="O950" s="3192">
        <f t="shared" si="152"/>
        <v>1</v>
      </c>
      <c r="P950" s="3194"/>
      <c r="Q950" s="3192">
        <f t="shared" si="153"/>
        <v>0</v>
      </c>
      <c r="R950" s="3192">
        <f t="shared" si="154"/>
        <v>0</v>
      </c>
      <c r="S950" s="898">
        <f t="shared" si="145"/>
        <v>0</v>
      </c>
      <c r="T950" s="3190">
        <f>面积表!A945</f>
        <v>0</v>
      </c>
    </row>
    <row r="951" spans="1:20">
      <c r="A951" s="3169"/>
      <c r="B951" s="52"/>
      <c r="C951" s="3192">
        <f t="shared" si="146"/>
        <v>1</v>
      </c>
      <c r="D951" s="2559"/>
      <c r="E951" s="3192">
        <f t="shared" si="147"/>
        <v>0.02</v>
      </c>
      <c r="F951" s="2559"/>
      <c r="G951" s="3192">
        <f t="shared" si="148"/>
        <v>0</v>
      </c>
      <c r="H951" s="631"/>
      <c r="I951" s="3192">
        <f t="shared" si="149"/>
        <v>1</v>
      </c>
      <c r="J951" s="631"/>
      <c r="K951" s="3192">
        <f t="shared" si="150"/>
        <v>1</v>
      </c>
      <c r="L951" s="631"/>
      <c r="M951" s="3192">
        <f t="shared" si="151"/>
        <v>1</v>
      </c>
      <c r="N951" s="631"/>
      <c r="O951" s="3192">
        <f t="shared" si="152"/>
        <v>1</v>
      </c>
      <c r="P951" s="3194"/>
      <c r="Q951" s="3192">
        <f t="shared" si="153"/>
        <v>0</v>
      </c>
      <c r="R951" s="3192">
        <f t="shared" si="154"/>
        <v>0</v>
      </c>
      <c r="S951" s="898">
        <f t="shared" si="145"/>
        <v>0</v>
      </c>
      <c r="T951" s="3190">
        <f>面积表!A946</f>
        <v>0</v>
      </c>
    </row>
    <row r="952" spans="1:20">
      <c r="A952" s="3169"/>
      <c r="B952" s="52"/>
      <c r="C952" s="3192">
        <f t="shared" si="146"/>
        <v>1</v>
      </c>
      <c r="D952" s="2559"/>
      <c r="E952" s="3192">
        <f t="shared" si="147"/>
        <v>0.02</v>
      </c>
      <c r="F952" s="2559"/>
      <c r="G952" s="3192">
        <f t="shared" si="148"/>
        <v>0</v>
      </c>
      <c r="H952" s="631"/>
      <c r="I952" s="3192">
        <f t="shared" si="149"/>
        <v>1</v>
      </c>
      <c r="J952" s="631"/>
      <c r="K952" s="3192">
        <f t="shared" si="150"/>
        <v>1</v>
      </c>
      <c r="L952" s="631"/>
      <c r="M952" s="3192">
        <f t="shared" si="151"/>
        <v>1</v>
      </c>
      <c r="N952" s="631"/>
      <c r="O952" s="3192">
        <f t="shared" si="152"/>
        <v>1</v>
      </c>
      <c r="P952" s="3194"/>
      <c r="Q952" s="3192">
        <f t="shared" si="153"/>
        <v>0</v>
      </c>
      <c r="R952" s="3192">
        <f t="shared" si="154"/>
        <v>0</v>
      </c>
      <c r="S952" s="898">
        <f t="shared" si="145"/>
        <v>0</v>
      </c>
      <c r="T952" s="3190">
        <f>面积表!A947</f>
        <v>0</v>
      </c>
    </row>
    <row r="953" spans="1:20">
      <c r="A953" s="3169"/>
      <c r="B953" s="52"/>
      <c r="C953" s="3192">
        <f t="shared" si="146"/>
        <v>1</v>
      </c>
      <c r="D953" s="2559"/>
      <c r="E953" s="3192">
        <f t="shared" si="147"/>
        <v>0.02</v>
      </c>
      <c r="F953" s="2559"/>
      <c r="G953" s="3192">
        <f t="shared" si="148"/>
        <v>0</v>
      </c>
      <c r="H953" s="631"/>
      <c r="I953" s="3192">
        <f t="shared" si="149"/>
        <v>1</v>
      </c>
      <c r="J953" s="631"/>
      <c r="K953" s="3192">
        <f t="shared" si="150"/>
        <v>1</v>
      </c>
      <c r="L953" s="631"/>
      <c r="M953" s="3192">
        <f t="shared" si="151"/>
        <v>1</v>
      </c>
      <c r="N953" s="631"/>
      <c r="O953" s="3192">
        <f t="shared" si="152"/>
        <v>1</v>
      </c>
      <c r="P953" s="3194"/>
      <c r="Q953" s="3192">
        <f t="shared" si="153"/>
        <v>0</v>
      </c>
      <c r="R953" s="3192">
        <f t="shared" si="154"/>
        <v>0</v>
      </c>
      <c r="S953" s="898">
        <f t="shared" si="145"/>
        <v>0</v>
      </c>
      <c r="T953" s="3190">
        <f>面积表!A948</f>
        <v>0</v>
      </c>
    </row>
    <row r="954" spans="1:20">
      <c r="A954" s="3169"/>
      <c r="B954" s="52"/>
      <c r="C954" s="3192">
        <f t="shared" si="146"/>
        <v>1</v>
      </c>
      <c r="D954" s="2559"/>
      <c r="E954" s="3192">
        <f t="shared" si="147"/>
        <v>0.02</v>
      </c>
      <c r="F954" s="2559"/>
      <c r="G954" s="3192">
        <f t="shared" si="148"/>
        <v>0</v>
      </c>
      <c r="H954" s="631"/>
      <c r="I954" s="3192">
        <f t="shared" si="149"/>
        <v>1</v>
      </c>
      <c r="J954" s="631"/>
      <c r="K954" s="3192">
        <f t="shared" si="150"/>
        <v>1</v>
      </c>
      <c r="L954" s="631"/>
      <c r="M954" s="3192">
        <f t="shared" si="151"/>
        <v>1</v>
      </c>
      <c r="N954" s="631"/>
      <c r="O954" s="3192">
        <f t="shared" si="152"/>
        <v>1</v>
      </c>
      <c r="P954" s="3194"/>
      <c r="Q954" s="3192">
        <f t="shared" si="153"/>
        <v>0</v>
      </c>
      <c r="R954" s="3192">
        <f t="shared" si="154"/>
        <v>0</v>
      </c>
      <c r="S954" s="898">
        <f t="shared" si="145"/>
        <v>0</v>
      </c>
      <c r="T954" s="3190">
        <f>面积表!A949</f>
        <v>0</v>
      </c>
    </row>
    <row r="955" spans="1:20">
      <c r="A955" s="3169"/>
      <c r="B955" s="52"/>
      <c r="C955" s="3192">
        <f t="shared" si="146"/>
        <v>1</v>
      </c>
      <c r="D955" s="2559"/>
      <c r="E955" s="3192">
        <f t="shared" si="147"/>
        <v>0.02</v>
      </c>
      <c r="F955" s="2559"/>
      <c r="G955" s="3192">
        <f t="shared" si="148"/>
        <v>0</v>
      </c>
      <c r="H955" s="631"/>
      <c r="I955" s="3192">
        <f t="shared" si="149"/>
        <v>1</v>
      </c>
      <c r="J955" s="631"/>
      <c r="K955" s="3192">
        <f t="shared" si="150"/>
        <v>1</v>
      </c>
      <c r="L955" s="631"/>
      <c r="M955" s="3192">
        <f t="shared" si="151"/>
        <v>1</v>
      </c>
      <c r="N955" s="631"/>
      <c r="O955" s="3192">
        <f t="shared" si="152"/>
        <v>1</v>
      </c>
      <c r="P955" s="3194"/>
      <c r="Q955" s="3192">
        <f t="shared" si="153"/>
        <v>0</v>
      </c>
      <c r="R955" s="3192">
        <f t="shared" si="154"/>
        <v>0</v>
      </c>
      <c r="S955" s="898">
        <f t="shared" si="145"/>
        <v>0</v>
      </c>
      <c r="T955" s="3190">
        <f>面积表!A950</f>
        <v>0</v>
      </c>
    </row>
    <row r="956" spans="1:20">
      <c r="A956" s="3169"/>
      <c r="B956" s="52"/>
      <c r="C956" s="3192">
        <f t="shared" si="146"/>
        <v>1</v>
      </c>
      <c r="D956" s="2559"/>
      <c r="E956" s="3192">
        <f t="shared" si="147"/>
        <v>0.02</v>
      </c>
      <c r="F956" s="2559"/>
      <c r="G956" s="3192">
        <f t="shared" si="148"/>
        <v>0</v>
      </c>
      <c r="H956" s="631"/>
      <c r="I956" s="3192">
        <f t="shared" si="149"/>
        <v>1</v>
      </c>
      <c r="J956" s="631"/>
      <c r="K956" s="3192">
        <f t="shared" si="150"/>
        <v>1</v>
      </c>
      <c r="L956" s="631"/>
      <c r="M956" s="3192">
        <f t="shared" si="151"/>
        <v>1</v>
      </c>
      <c r="N956" s="631"/>
      <c r="O956" s="3192">
        <f t="shared" si="152"/>
        <v>1</v>
      </c>
      <c r="P956" s="3194"/>
      <c r="Q956" s="3192">
        <f t="shared" si="153"/>
        <v>0</v>
      </c>
      <c r="R956" s="3192">
        <f t="shared" si="154"/>
        <v>0</v>
      </c>
      <c r="S956" s="898">
        <f t="shared" si="145"/>
        <v>0</v>
      </c>
      <c r="T956" s="3190">
        <f>面积表!A951</f>
        <v>0</v>
      </c>
    </row>
    <row r="957" spans="1:20">
      <c r="A957" s="3169"/>
      <c r="B957" s="52"/>
      <c r="C957" s="3192">
        <f t="shared" si="146"/>
        <v>1</v>
      </c>
      <c r="D957" s="2559"/>
      <c r="E957" s="3192">
        <f t="shared" si="147"/>
        <v>0.02</v>
      </c>
      <c r="F957" s="2559"/>
      <c r="G957" s="3192">
        <f t="shared" si="148"/>
        <v>0</v>
      </c>
      <c r="H957" s="631"/>
      <c r="I957" s="3192">
        <f t="shared" si="149"/>
        <v>1</v>
      </c>
      <c r="J957" s="631"/>
      <c r="K957" s="3192">
        <f t="shared" si="150"/>
        <v>1</v>
      </c>
      <c r="L957" s="631"/>
      <c r="M957" s="3192">
        <f t="shared" si="151"/>
        <v>1</v>
      </c>
      <c r="N957" s="631"/>
      <c r="O957" s="3192">
        <f t="shared" si="152"/>
        <v>1</v>
      </c>
      <c r="P957" s="3194"/>
      <c r="Q957" s="3192">
        <f t="shared" si="153"/>
        <v>0</v>
      </c>
      <c r="R957" s="3192">
        <f t="shared" si="154"/>
        <v>0</v>
      </c>
      <c r="S957" s="898">
        <f t="shared" si="145"/>
        <v>0</v>
      </c>
      <c r="T957" s="3190">
        <f>面积表!A952</f>
        <v>0</v>
      </c>
    </row>
    <row r="958" spans="1:20">
      <c r="A958" s="3169"/>
      <c r="B958" s="52"/>
      <c r="C958" s="3192">
        <f t="shared" si="146"/>
        <v>1</v>
      </c>
      <c r="D958" s="2559"/>
      <c r="E958" s="3192">
        <f t="shared" si="147"/>
        <v>0.02</v>
      </c>
      <c r="F958" s="2559"/>
      <c r="G958" s="3192">
        <f t="shared" si="148"/>
        <v>0</v>
      </c>
      <c r="H958" s="631"/>
      <c r="I958" s="3192">
        <f t="shared" si="149"/>
        <v>1</v>
      </c>
      <c r="J958" s="631"/>
      <c r="K958" s="3192">
        <f t="shared" si="150"/>
        <v>1</v>
      </c>
      <c r="L958" s="631"/>
      <c r="M958" s="3192">
        <f t="shared" si="151"/>
        <v>1</v>
      </c>
      <c r="N958" s="631"/>
      <c r="O958" s="3192">
        <f t="shared" si="152"/>
        <v>1</v>
      </c>
      <c r="P958" s="3194"/>
      <c r="Q958" s="3192">
        <f t="shared" si="153"/>
        <v>0</v>
      </c>
      <c r="R958" s="3192">
        <f t="shared" si="154"/>
        <v>0</v>
      </c>
      <c r="S958" s="898">
        <f t="shared" si="145"/>
        <v>0</v>
      </c>
      <c r="T958" s="3190">
        <f>面积表!A953</f>
        <v>0</v>
      </c>
    </row>
    <row r="959" spans="1:20">
      <c r="A959" s="3169"/>
      <c r="B959" s="52"/>
      <c r="C959" s="3192">
        <f t="shared" si="146"/>
        <v>1</v>
      </c>
      <c r="D959" s="2559"/>
      <c r="E959" s="3192">
        <f t="shared" si="147"/>
        <v>0.02</v>
      </c>
      <c r="F959" s="2559"/>
      <c r="G959" s="3192">
        <f t="shared" si="148"/>
        <v>0</v>
      </c>
      <c r="H959" s="631"/>
      <c r="I959" s="3192">
        <f t="shared" si="149"/>
        <v>1</v>
      </c>
      <c r="J959" s="631"/>
      <c r="K959" s="3192">
        <f t="shared" si="150"/>
        <v>1</v>
      </c>
      <c r="L959" s="631"/>
      <c r="M959" s="3192">
        <f t="shared" si="151"/>
        <v>1</v>
      </c>
      <c r="N959" s="631"/>
      <c r="O959" s="3192">
        <f t="shared" si="152"/>
        <v>1</v>
      </c>
      <c r="P959" s="3194"/>
      <c r="Q959" s="3192">
        <f t="shared" si="153"/>
        <v>0</v>
      </c>
      <c r="R959" s="3192">
        <f t="shared" si="154"/>
        <v>0</v>
      </c>
      <c r="S959" s="898">
        <f t="shared" si="145"/>
        <v>0</v>
      </c>
      <c r="T959" s="3190">
        <f>面积表!A954</f>
        <v>0</v>
      </c>
    </row>
    <row r="960" spans="1:20">
      <c r="A960" s="3169"/>
      <c r="B960" s="52"/>
      <c r="C960" s="3192">
        <f t="shared" si="146"/>
        <v>1</v>
      </c>
      <c r="D960" s="2559"/>
      <c r="E960" s="3192">
        <f t="shared" si="147"/>
        <v>0.02</v>
      </c>
      <c r="F960" s="2559"/>
      <c r="G960" s="3192">
        <f t="shared" si="148"/>
        <v>0</v>
      </c>
      <c r="H960" s="631"/>
      <c r="I960" s="3192">
        <f t="shared" si="149"/>
        <v>1</v>
      </c>
      <c r="J960" s="631"/>
      <c r="K960" s="3192">
        <f t="shared" si="150"/>
        <v>1</v>
      </c>
      <c r="L960" s="631"/>
      <c r="M960" s="3192">
        <f t="shared" si="151"/>
        <v>1</v>
      </c>
      <c r="N960" s="631"/>
      <c r="O960" s="3192">
        <f t="shared" si="152"/>
        <v>1</v>
      </c>
      <c r="P960" s="3194"/>
      <c r="Q960" s="3192">
        <f t="shared" si="153"/>
        <v>0</v>
      </c>
      <c r="R960" s="3192">
        <f t="shared" si="154"/>
        <v>0</v>
      </c>
      <c r="S960" s="898">
        <f t="shared" si="145"/>
        <v>0</v>
      </c>
      <c r="T960" s="3190">
        <f>面积表!A955</f>
        <v>0</v>
      </c>
    </row>
    <row r="961" spans="1:20">
      <c r="A961" s="3169"/>
      <c r="B961" s="52"/>
      <c r="C961" s="3192">
        <f t="shared" si="146"/>
        <v>1</v>
      </c>
      <c r="D961" s="2559"/>
      <c r="E961" s="3192">
        <f t="shared" si="147"/>
        <v>0.02</v>
      </c>
      <c r="F961" s="2559"/>
      <c r="G961" s="3192">
        <f t="shared" si="148"/>
        <v>0</v>
      </c>
      <c r="H961" s="631"/>
      <c r="I961" s="3192">
        <f t="shared" si="149"/>
        <v>1</v>
      </c>
      <c r="J961" s="631"/>
      <c r="K961" s="3192">
        <f t="shared" si="150"/>
        <v>1</v>
      </c>
      <c r="L961" s="631"/>
      <c r="M961" s="3192">
        <f t="shared" si="151"/>
        <v>1</v>
      </c>
      <c r="N961" s="631"/>
      <c r="O961" s="3192">
        <f t="shared" si="152"/>
        <v>1</v>
      </c>
      <c r="P961" s="3194"/>
      <c r="Q961" s="3192">
        <f t="shared" si="153"/>
        <v>0</v>
      </c>
      <c r="R961" s="3192">
        <f t="shared" si="154"/>
        <v>0</v>
      </c>
      <c r="S961" s="898">
        <f t="shared" si="145"/>
        <v>0</v>
      </c>
      <c r="T961" s="3190">
        <f>面积表!A956</f>
        <v>0</v>
      </c>
    </row>
    <row r="962" spans="1:20">
      <c r="A962" s="3169"/>
      <c r="B962" s="52"/>
      <c r="C962" s="3192">
        <f t="shared" si="146"/>
        <v>1</v>
      </c>
      <c r="D962" s="2559"/>
      <c r="E962" s="3192">
        <f t="shared" si="147"/>
        <v>0.02</v>
      </c>
      <c r="F962" s="2559"/>
      <c r="G962" s="3192">
        <f t="shared" si="148"/>
        <v>0</v>
      </c>
      <c r="H962" s="631"/>
      <c r="I962" s="3192">
        <f t="shared" si="149"/>
        <v>1</v>
      </c>
      <c r="J962" s="631"/>
      <c r="K962" s="3192">
        <f t="shared" si="150"/>
        <v>1</v>
      </c>
      <c r="L962" s="631"/>
      <c r="M962" s="3192">
        <f t="shared" si="151"/>
        <v>1</v>
      </c>
      <c r="N962" s="631"/>
      <c r="O962" s="3192">
        <f t="shared" si="152"/>
        <v>1</v>
      </c>
      <c r="P962" s="3194"/>
      <c r="Q962" s="3192">
        <f t="shared" si="153"/>
        <v>0</v>
      </c>
      <c r="R962" s="3192">
        <f t="shared" si="154"/>
        <v>0</v>
      </c>
      <c r="S962" s="898">
        <f t="shared" si="145"/>
        <v>0</v>
      </c>
      <c r="T962" s="3190">
        <f>面积表!A957</f>
        <v>0</v>
      </c>
    </row>
    <row r="963" spans="1:20">
      <c r="A963" s="3169"/>
      <c r="B963" s="52"/>
      <c r="C963" s="3192">
        <f t="shared" si="146"/>
        <v>1</v>
      </c>
      <c r="D963" s="2559"/>
      <c r="E963" s="3192">
        <f t="shared" si="147"/>
        <v>0.02</v>
      </c>
      <c r="F963" s="2559"/>
      <c r="G963" s="3192">
        <f t="shared" si="148"/>
        <v>0</v>
      </c>
      <c r="H963" s="631"/>
      <c r="I963" s="3192">
        <f t="shared" si="149"/>
        <v>1</v>
      </c>
      <c r="J963" s="631"/>
      <c r="K963" s="3192">
        <f t="shared" si="150"/>
        <v>1</v>
      </c>
      <c r="L963" s="631"/>
      <c r="M963" s="3192">
        <f t="shared" si="151"/>
        <v>1</v>
      </c>
      <c r="N963" s="631"/>
      <c r="O963" s="3192">
        <f t="shared" si="152"/>
        <v>1</v>
      </c>
      <c r="P963" s="3194"/>
      <c r="Q963" s="3192">
        <f t="shared" si="153"/>
        <v>0</v>
      </c>
      <c r="R963" s="3192">
        <f t="shared" si="154"/>
        <v>0</v>
      </c>
      <c r="S963" s="898">
        <f t="shared" si="145"/>
        <v>0</v>
      </c>
      <c r="T963" s="3190">
        <f>面积表!A958</f>
        <v>0</v>
      </c>
    </row>
    <row r="964" spans="1:20">
      <c r="A964" s="3169"/>
      <c r="B964" s="52"/>
      <c r="C964" s="3192">
        <f t="shared" si="146"/>
        <v>1</v>
      </c>
      <c r="D964" s="2559"/>
      <c r="E964" s="3192">
        <f t="shared" si="147"/>
        <v>0.02</v>
      </c>
      <c r="F964" s="2559"/>
      <c r="G964" s="3192">
        <f t="shared" si="148"/>
        <v>0</v>
      </c>
      <c r="H964" s="631"/>
      <c r="I964" s="3192">
        <f t="shared" si="149"/>
        <v>1</v>
      </c>
      <c r="J964" s="631"/>
      <c r="K964" s="3192">
        <f t="shared" si="150"/>
        <v>1</v>
      </c>
      <c r="L964" s="631"/>
      <c r="M964" s="3192">
        <f t="shared" si="151"/>
        <v>1</v>
      </c>
      <c r="N964" s="631"/>
      <c r="O964" s="3192">
        <f t="shared" si="152"/>
        <v>1</v>
      </c>
      <c r="P964" s="3194"/>
      <c r="Q964" s="3192">
        <f t="shared" si="153"/>
        <v>0</v>
      </c>
      <c r="R964" s="3192">
        <f t="shared" si="154"/>
        <v>0</v>
      </c>
      <c r="S964" s="898">
        <f t="shared" si="145"/>
        <v>0</v>
      </c>
      <c r="T964" s="3190">
        <f>面积表!A959</f>
        <v>0</v>
      </c>
    </row>
    <row r="965" spans="1:20">
      <c r="A965" s="3169"/>
      <c r="B965" s="52"/>
      <c r="C965" s="3192">
        <f t="shared" si="146"/>
        <v>1</v>
      </c>
      <c r="D965" s="2559"/>
      <c r="E965" s="3192">
        <f t="shared" si="147"/>
        <v>0.02</v>
      </c>
      <c r="F965" s="2559"/>
      <c r="G965" s="3192">
        <f t="shared" si="148"/>
        <v>0</v>
      </c>
      <c r="H965" s="631"/>
      <c r="I965" s="3192">
        <f t="shared" si="149"/>
        <v>1</v>
      </c>
      <c r="J965" s="631"/>
      <c r="K965" s="3192">
        <f t="shared" si="150"/>
        <v>1</v>
      </c>
      <c r="L965" s="631"/>
      <c r="M965" s="3192">
        <f t="shared" si="151"/>
        <v>1</v>
      </c>
      <c r="N965" s="631"/>
      <c r="O965" s="3192">
        <f t="shared" si="152"/>
        <v>1</v>
      </c>
      <c r="P965" s="3194"/>
      <c r="Q965" s="3192">
        <f t="shared" si="153"/>
        <v>0</v>
      </c>
      <c r="R965" s="3192">
        <f t="shared" si="154"/>
        <v>0</v>
      </c>
      <c r="S965" s="898">
        <f t="shared" si="145"/>
        <v>0</v>
      </c>
      <c r="T965" s="3190">
        <f>面积表!A960</f>
        <v>0</v>
      </c>
    </row>
    <row r="966" spans="1:20">
      <c r="A966" s="3169"/>
      <c r="B966" s="52"/>
      <c r="C966" s="3192">
        <f t="shared" si="146"/>
        <v>1</v>
      </c>
      <c r="D966" s="2559"/>
      <c r="E966" s="3192">
        <f t="shared" si="147"/>
        <v>0.02</v>
      </c>
      <c r="F966" s="2559"/>
      <c r="G966" s="3192">
        <f t="shared" si="148"/>
        <v>0</v>
      </c>
      <c r="H966" s="631"/>
      <c r="I966" s="3192">
        <f t="shared" si="149"/>
        <v>1</v>
      </c>
      <c r="J966" s="631"/>
      <c r="K966" s="3192">
        <f t="shared" si="150"/>
        <v>1</v>
      </c>
      <c r="L966" s="631"/>
      <c r="M966" s="3192">
        <f t="shared" si="151"/>
        <v>1</v>
      </c>
      <c r="N966" s="631"/>
      <c r="O966" s="3192">
        <f t="shared" si="152"/>
        <v>1</v>
      </c>
      <c r="P966" s="3194"/>
      <c r="Q966" s="3192">
        <f t="shared" si="153"/>
        <v>0</v>
      </c>
      <c r="R966" s="3192">
        <f t="shared" si="154"/>
        <v>0</v>
      </c>
      <c r="S966" s="898">
        <f t="shared" si="145"/>
        <v>0</v>
      </c>
      <c r="T966" s="3190">
        <f>面积表!A961</f>
        <v>0</v>
      </c>
    </row>
    <row r="967" spans="1:20">
      <c r="A967" s="3169"/>
      <c r="B967" s="52"/>
      <c r="C967" s="3192">
        <f t="shared" si="146"/>
        <v>1</v>
      </c>
      <c r="D967" s="2559"/>
      <c r="E967" s="3192">
        <f t="shared" si="147"/>
        <v>0.02</v>
      </c>
      <c r="F967" s="2559"/>
      <c r="G967" s="3192">
        <f t="shared" si="148"/>
        <v>0</v>
      </c>
      <c r="H967" s="631"/>
      <c r="I967" s="3192">
        <f t="shared" si="149"/>
        <v>1</v>
      </c>
      <c r="J967" s="631"/>
      <c r="K967" s="3192">
        <f t="shared" si="150"/>
        <v>1</v>
      </c>
      <c r="L967" s="631"/>
      <c r="M967" s="3192">
        <f t="shared" si="151"/>
        <v>1</v>
      </c>
      <c r="N967" s="631"/>
      <c r="O967" s="3192">
        <f t="shared" si="152"/>
        <v>1</v>
      </c>
      <c r="P967" s="3194"/>
      <c r="Q967" s="3192">
        <f t="shared" si="153"/>
        <v>0</v>
      </c>
      <c r="R967" s="3192">
        <f t="shared" si="154"/>
        <v>0</v>
      </c>
      <c r="S967" s="898">
        <f t="shared" si="145"/>
        <v>0</v>
      </c>
      <c r="T967" s="3190">
        <f>面积表!A962</f>
        <v>0</v>
      </c>
    </row>
    <row r="968" spans="1:20">
      <c r="A968" s="3169"/>
      <c r="B968" s="52"/>
      <c r="C968" s="3192">
        <f t="shared" si="146"/>
        <v>1</v>
      </c>
      <c r="D968" s="2559"/>
      <c r="E968" s="3192">
        <f t="shared" si="147"/>
        <v>0.02</v>
      </c>
      <c r="F968" s="2559"/>
      <c r="G968" s="3192">
        <f t="shared" si="148"/>
        <v>0</v>
      </c>
      <c r="H968" s="631"/>
      <c r="I968" s="3192">
        <f t="shared" si="149"/>
        <v>1</v>
      </c>
      <c r="J968" s="631"/>
      <c r="K968" s="3192">
        <f t="shared" si="150"/>
        <v>1</v>
      </c>
      <c r="L968" s="631"/>
      <c r="M968" s="3192">
        <f t="shared" si="151"/>
        <v>1</v>
      </c>
      <c r="N968" s="631"/>
      <c r="O968" s="3192">
        <f t="shared" si="152"/>
        <v>1</v>
      </c>
      <c r="P968" s="3194"/>
      <c r="Q968" s="3192">
        <f t="shared" si="153"/>
        <v>0</v>
      </c>
      <c r="R968" s="3192">
        <f t="shared" si="154"/>
        <v>0</v>
      </c>
      <c r="S968" s="898">
        <f t="shared" si="145"/>
        <v>0</v>
      </c>
      <c r="T968" s="3190">
        <f>面积表!A963</f>
        <v>0</v>
      </c>
    </row>
    <row r="969" spans="1:20">
      <c r="A969" s="3169"/>
      <c r="B969" s="52"/>
      <c r="C969" s="3192">
        <f t="shared" si="146"/>
        <v>1</v>
      </c>
      <c r="D969" s="2559"/>
      <c r="E969" s="3192">
        <f t="shared" si="147"/>
        <v>0.02</v>
      </c>
      <c r="F969" s="2559"/>
      <c r="G969" s="3192">
        <f t="shared" si="148"/>
        <v>0</v>
      </c>
      <c r="H969" s="631"/>
      <c r="I969" s="3192">
        <f t="shared" si="149"/>
        <v>1</v>
      </c>
      <c r="J969" s="631"/>
      <c r="K969" s="3192">
        <f t="shared" si="150"/>
        <v>1</v>
      </c>
      <c r="L969" s="631"/>
      <c r="M969" s="3192">
        <f t="shared" si="151"/>
        <v>1</v>
      </c>
      <c r="N969" s="631"/>
      <c r="O969" s="3192">
        <f t="shared" si="152"/>
        <v>1</v>
      </c>
      <c r="P969" s="3194"/>
      <c r="Q969" s="3192">
        <f t="shared" si="153"/>
        <v>0</v>
      </c>
      <c r="R969" s="3192">
        <f t="shared" si="154"/>
        <v>0</v>
      </c>
      <c r="S969" s="898">
        <f t="shared" si="145"/>
        <v>0</v>
      </c>
      <c r="T969" s="3190">
        <f>面积表!A964</f>
        <v>0</v>
      </c>
    </row>
    <row r="970" spans="1:20">
      <c r="A970" s="3169"/>
      <c r="B970" s="52"/>
      <c r="C970" s="3192">
        <f t="shared" si="146"/>
        <v>1</v>
      </c>
      <c r="D970" s="2559"/>
      <c r="E970" s="3192">
        <f t="shared" si="147"/>
        <v>0.02</v>
      </c>
      <c r="F970" s="2559"/>
      <c r="G970" s="3192">
        <f t="shared" si="148"/>
        <v>0</v>
      </c>
      <c r="H970" s="631"/>
      <c r="I970" s="3192">
        <f t="shared" si="149"/>
        <v>1</v>
      </c>
      <c r="J970" s="631"/>
      <c r="K970" s="3192">
        <f t="shared" si="150"/>
        <v>1</v>
      </c>
      <c r="L970" s="631"/>
      <c r="M970" s="3192">
        <f t="shared" si="151"/>
        <v>1</v>
      </c>
      <c r="N970" s="631"/>
      <c r="O970" s="3192">
        <f t="shared" si="152"/>
        <v>1</v>
      </c>
      <c r="P970" s="3194"/>
      <c r="Q970" s="3192">
        <f t="shared" si="153"/>
        <v>0</v>
      </c>
      <c r="R970" s="3192">
        <f t="shared" si="154"/>
        <v>0</v>
      </c>
      <c r="S970" s="898">
        <f t="shared" si="145"/>
        <v>0</v>
      </c>
      <c r="T970" s="3190">
        <f>面积表!A965</f>
        <v>0</v>
      </c>
    </row>
    <row r="971" spans="1:20">
      <c r="A971" s="3169"/>
      <c r="B971" s="52"/>
      <c r="C971" s="3192">
        <f t="shared" si="146"/>
        <v>1</v>
      </c>
      <c r="D971" s="2559"/>
      <c r="E971" s="3192">
        <f t="shared" si="147"/>
        <v>0.02</v>
      </c>
      <c r="F971" s="2559"/>
      <c r="G971" s="3192">
        <f t="shared" si="148"/>
        <v>0</v>
      </c>
      <c r="H971" s="631"/>
      <c r="I971" s="3192">
        <f t="shared" si="149"/>
        <v>1</v>
      </c>
      <c r="J971" s="631"/>
      <c r="K971" s="3192">
        <f t="shared" si="150"/>
        <v>1</v>
      </c>
      <c r="L971" s="631"/>
      <c r="M971" s="3192">
        <f t="shared" si="151"/>
        <v>1</v>
      </c>
      <c r="N971" s="631"/>
      <c r="O971" s="3192">
        <f t="shared" si="152"/>
        <v>1</v>
      </c>
      <c r="P971" s="3194"/>
      <c r="Q971" s="3192">
        <f t="shared" si="153"/>
        <v>0</v>
      </c>
      <c r="R971" s="3192">
        <f t="shared" si="154"/>
        <v>0</v>
      </c>
      <c r="S971" s="898">
        <f t="shared" si="145"/>
        <v>0</v>
      </c>
      <c r="T971" s="3190">
        <f>面积表!A966</f>
        <v>0</v>
      </c>
    </row>
    <row r="972" spans="1:20">
      <c r="A972" s="3169"/>
      <c r="B972" s="52"/>
      <c r="C972" s="3192">
        <f t="shared" si="146"/>
        <v>1</v>
      </c>
      <c r="D972" s="2559"/>
      <c r="E972" s="3192">
        <f t="shared" si="147"/>
        <v>0.02</v>
      </c>
      <c r="F972" s="2559"/>
      <c r="G972" s="3192">
        <f t="shared" si="148"/>
        <v>0</v>
      </c>
      <c r="H972" s="631"/>
      <c r="I972" s="3192">
        <f t="shared" si="149"/>
        <v>1</v>
      </c>
      <c r="J972" s="631"/>
      <c r="K972" s="3192">
        <f t="shared" si="150"/>
        <v>1</v>
      </c>
      <c r="L972" s="631"/>
      <c r="M972" s="3192">
        <f t="shared" si="151"/>
        <v>1</v>
      </c>
      <c r="N972" s="631"/>
      <c r="O972" s="3192">
        <f t="shared" si="152"/>
        <v>1</v>
      </c>
      <c r="P972" s="3194"/>
      <c r="Q972" s="3192">
        <f t="shared" si="153"/>
        <v>0</v>
      </c>
      <c r="R972" s="3192">
        <f t="shared" si="154"/>
        <v>0</v>
      </c>
      <c r="S972" s="898">
        <f t="shared" si="145"/>
        <v>0</v>
      </c>
      <c r="T972" s="3190">
        <f>面积表!A967</f>
        <v>0</v>
      </c>
    </row>
    <row r="973" spans="1:20">
      <c r="A973" s="3169"/>
      <c r="B973" s="52"/>
      <c r="C973" s="3192">
        <f t="shared" si="146"/>
        <v>1</v>
      </c>
      <c r="D973" s="2559"/>
      <c r="E973" s="3192">
        <f t="shared" si="147"/>
        <v>0.02</v>
      </c>
      <c r="F973" s="2559"/>
      <c r="G973" s="3192">
        <f t="shared" si="148"/>
        <v>0</v>
      </c>
      <c r="H973" s="631"/>
      <c r="I973" s="3192">
        <f t="shared" si="149"/>
        <v>1</v>
      </c>
      <c r="J973" s="631"/>
      <c r="K973" s="3192">
        <f t="shared" si="150"/>
        <v>1</v>
      </c>
      <c r="L973" s="631"/>
      <c r="M973" s="3192">
        <f t="shared" si="151"/>
        <v>1</v>
      </c>
      <c r="N973" s="631"/>
      <c r="O973" s="3192">
        <f t="shared" si="152"/>
        <v>1</v>
      </c>
      <c r="P973" s="3194"/>
      <c r="Q973" s="3192">
        <f t="shared" si="153"/>
        <v>0</v>
      </c>
      <c r="R973" s="3192">
        <f t="shared" si="154"/>
        <v>0</v>
      </c>
      <c r="S973" s="898">
        <f t="shared" si="145"/>
        <v>0</v>
      </c>
      <c r="T973" s="3190">
        <f>面积表!A968</f>
        <v>0</v>
      </c>
    </row>
    <row r="974" spans="1:20">
      <c r="A974" s="3169"/>
      <c r="B974" s="52"/>
      <c r="C974" s="3192">
        <f t="shared" si="146"/>
        <v>1</v>
      </c>
      <c r="D974" s="2559"/>
      <c r="E974" s="3192">
        <f t="shared" si="147"/>
        <v>0.02</v>
      </c>
      <c r="F974" s="2559"/>
      <c r="G974" s="3192">
        <f t="shared" si="148"/>
        <v>0</v>
      </c>
      <c r="H974" s="631"/>
      <c r="I974" s="3192">
        <f t="shared" si="149"/>
        <v>1</v>
      </c>
      <c r="J974" s="631"/>
      <c r="K974" s="3192">
        <f t="shared" si="150"/>
        <v>1</v>
      </c>
      <c r="L974" s="631"/>
      <c r="M974" s="3192">
        <f t="shared" si="151"/>
        <v>1</v>
      </c>
      <c r="N974" s="631"/>
      <c r="O974" s="3192">
        <f t="shared" si="152"/>
        <v>1</v>
      </c>
      <c r="P974" s="3194"/>
      <c r="Q974" s="3192">
        <f t="shared" si="153"/>
        <v>0</v>
      </c>
      <c r="R974" s="3192">
        <f t="shared" si="154"/>
        <v>0</v>
      </c>
      <c r="S974" s="898">
        <f t="shared" si="145"/>
        <v>0</v>
      </c>
      <c r="T974" s="3190">
        <f>面积表!A969</f>
        <v>0</v>
      </c>
    </row>
    <row r="975" spans="1:20">
      <c r="A975" s="3169"/>
      <c r="B975" s="52"/>
      <c r="C975" s="3192">
        <f t="shared" si="146"/>
        <v>1</v>
      </c>
      <c r="D975" s="2559"/>
      <c r="E975" s="3192">
        <f t="shared" si="147"/>
        <v>0.02</v>
      </c>
      <c r="F975" s="2559"/>
      <c r="G975" s="3192">
        <f t="shared" si="148"/>
        <v>0</v>
      </c>
      <c r="H975" s="631"/>
      <c r="I975" s="3192">
        <f t="shared" si="149"/>
        <v>1</v>
      </c>
      <c r="J975" s="631"/>
      <c r="K975" s="3192">
        <f t="shared" si="150"/>
        <v>1</v>
      </c>
      <c r="L975" s="631"/>
      <c r="M975" s="3192">
        <f t="shared" si="151"/>
        <v>1</v>
      </c>
      <c r="N975" s="631"/>
      <c r="O975" s="3192">
        <f t="shared" si="152"/>
        <v>1</v>
      </c>
      <c r="P975" s="3194"/>
      <c r="Q975" s="3192">
        <f t="shared" si="153"/>
        <v>0</v>
      </c>
      <c r="R975" s="3192">
        <f t="shared" si="154"/>
        <v>0</v>
      </c>
      <c r="S975" s="898">
        <f t="shared" si="145"/>
        <v>0</v>
      </c>
      <c r="T975" s="3190">
        <f>面积表!A970</f>
        <v>0</v>
      </c>
    </row>
    <row r="976" spans="1:20">
      <c r="A976" s="3169"/>
      <c r="B976" s="52"/>
      <c r="C976" s="3192">
        <f t="shared" si="146"/>
        <v>1</v>
      </c>
      <c r="D976" s="2559"/>
      <c r="E976" s="3192">
        <f t="shared" si="147"/>
        <v>0.02</v>
      </c>
      <c r="F976" s="2559"/>
      <c r="G976" s="3192">
        <f t="shared" si="148"/>
        <v>0</v>
      </c>
      <c r="H976" s="631"/>
      <c r="I976" s="3192">
        <f t="shared" si="149"/>
        <v>1</v>
      </c>
      <c r="J976" s="631"/>
      <c r="K976" s="3192">
        <f t="shared" si="150"/>
        <v>1</v>
      </c>
      <c r="L976" s="631"/>
      <c r="M976" s="3192">
        <f t="shared" si="151"/>
        <v>1</v>
      </c>
      <c r="N976" s="631"/>
      <c r="O976" s="3192">
        <f t="shared" si="152"/>
        <v>1</v>
      </c>
      <c r="P976" s="3194"/>
      <c r="Q976" s="3192">
        <f t="shared" si="153"/>
        <v>0</v>
      </c>
      <c r="R976" s="3192">
        <f t="shared" si="154"/>
        <v>0</v>
      </c>
      <c r="S976" s="898">
        <f t="shared" si="145"/>
        <v>0</v>
      </c>
      <c r="T976" s="3190">
        <f>面积表!A971</f>
        <v>0</v>
      </c>
    </row>
    <row r="977" spans="1:20">
      <c r="A977" s="3169"/>
      <c r="B977" s="52"/>
      <c r="C977" s="3192">
        <f t="shared" si="146"/>
        <v>1</v>
      </c>
      <c r="D977" s="2559"/>
      <c r="E977" s="3192">
        <f t="shared" si="147"/>
        <v>0.02</v>
      </c>
      <c r="F977" s="2559"/>
      <c r="G977" s="3192">
        <f t="shared" si="148"/>
        <v>0</v>
      </c>
      <c r="H977" s="631"/>
      <c r="I977" s="3192">
        <f t="shared" si="149"/>
        <v>1</v>
      </c>
      <c r="J977" s="631"/>
      <c r="K977" s="3192">
        <f t="shared" si="150"/>
        <v>1</v>
      </c>
      <c r="L977" s="631"/>
      <c r="M977" s="3192">
        <f t="shared" si="151"/>
        <v>1</v>
      </c>
      <c r="N977" s="631"/>
      <c r="O977" s="3192">
        <f t="shared" si="152"/>
        <v>1</v>
      </c>
      <c r="P977" s="3194"/>
      <c r="Q977" s="3192">
        <f t="shared" si="153"/>
        <v>0</v>
      </c>
      <c r="R977" s="3192">
        <f t="shared" si="154"/>
        <v>0</v>
      </c>
      <c r="S977" s="898">
        <f t="shared" si="145"/>
        <v>0</v>
      </c>
      <c r="T977" s="3190">
        <f>面积表!A972</f>
        <v>0</v>
      </c>
    </row>
    <row r="978" spans="1:20">
      <c r="A978" s="3169"/>
      <c r="B978" s="52"/>
      <c r="C978" s="3192">
        <f t="shared" si="146"/>
        <v>1</v>
      </c>
      <c r="D978" s="2559"/>
      <c r="E978" s="3192">
        <f t="shared" si="147"/>
        <v>0.02</v>
      </c>
      <c r="F978" s="2559"/>
      <c r="G978" s="3192">
        <f t="shared" si="148"/>
        <v>0</v>
      </c>
      <c r="H978" s="631"/>
      <c r="I978" s="3192">
        <f t="shared" si="149"/>
        <v>1</v>
      </c>
      <c r="J978" s="631"/>
      <c r="K978" s="3192">
        <f t="shared" si="150"/>
        <v>1</v>
      </c>
      <c r="L978" s="631"/>
      <c r="M978" s="3192">
        <f t="shared" si="151"/>
        <v>1</v>
      </c>
      <c r="N978" s="631"/>
      <c r="O978" s="3192">
        <f t="shared" si="152"/>
        <v>1</v>
      </c>
      <c r="P978" s="3194"/>
      <c r="Q978" s="3192">
        <f t="shared" si="153"/>
        <v>0</v>
      </c>
      <c r="R978" s="3192">
        <f t="shared" si="154"/>
        <v>0</v>
      </c>
      <c r="S978" s="898">
        <f t="shared" si="145"/>
        <v>0</v>
      </c>
      <c r="T978" s="3190">
        <f>面积表!A973</f>
        <v>0</v>
      </c>
    </row>
    <row r="979" spans="1:20">
      <c r="A979" s="3169"/>
      <c r="B979" s="52"/>
      <c r="C979" s="3192">
        <f t="shared" si="146"/>
        <v>1</v>
      </c>
      <c r="D979" s="2559"/>
      <c r="E979" s="3192">
        <f t="shared" si="147"/>
        <v>0.02</v>
      </c>
      <c r="F979" s="2559"/>
      <c r="G979" s="3192">
        <f t="shared" si="148"/>
        <v>0</v>
      </c>
      <c r="H979" s="631"/>
      <c r="I979" s="3192">
        <f t="shared" si="149"/>
        <v>1</v>
      </c>
      <c r="J979" s="631"/>
      <c r="K979" s="3192">
        <f t="shared" si="150"/>
        <v>1</v>
      </c>
      <c r="L979" s="631"/>
      <c r="M979" s="3192">
        <f t="shared" si="151"/>
        <v>1</v>
      </c>
      <c r="N979" s="631"/>
      <c r="O979" s="3192">
        <f t="shared" si="152"/>
        <v>1</v>
      </c>
      <c r="P979" s="3194"/>
      <c r="Q979" s="3192">
        <f t="shared" si="153"/>
        <v>0</v>
      </c>
      <c r="R979" s="3192">
        <f t="shared" si="154"/>
        <v>0</v>
      </c>
      <c r="S979" s="898">
        <f t="shared" si="145"/>
        <v>0</v>
      </c>
      <c r="T979" s="3190">
        <f>面积表!A974</f>
        <v>0</v>
      </c>
    </row>
    <row r="980" spans="1:20">
      <c r="A980" s="3169"/>
      <c r="B980" s="52"/>
      <c r="C980" s="3192">
        <f t="shared" si="146"/>
        <v>1</v>
      </c>
      <c r="D980" s="2559"/>
      <c r="E980" s="3192">
        <f t="shared" si="147"/>
        <v>0.02</v>
      </c>
      <c r="F980" s="2559"/>
      <c r="G980" s="3192">
        <f t="shared" si="148"/>
        <v>0</v>
      </c>
      <c r="H980" s="631"/>
      <c r="I980" s="3192">
        <f t="shared" si="149"/>
        <v>1</v>
      </c>
      <c r="J980" s="631"/>
      <c r="K980" s="3192">
        <f t="shared" si="150"/>
        <v>1</v>
      </c>
      <c r="L980" s="631"/>
      <c r="M980" s="3192">
        <f t="shared" si="151"/>
        <v>1</v>
      </c>
      <c r="N980" s="631"/>
      <c r="O980" s="3192">
        <f t="shared" si="152"/>
        <v>1</v>
      </c>
      <c r="P980" s="3194"/>
      <c r="Q980" s="3192">
        <f t="shared" si="153"/>
        <v>0</v>
      </c>
      <c r="R980" s="3192">
        <f t="shared" si="154"/>
        <v>0</v>
      </c>
      <c r="S980" s="898">
        <f t="shared" si="145"/>
        <v>0</v>
      </c>
      <c r="T980" s="3190">
        <f>面积表!A975</f>
        <v>0</v>
      </c>
    </row>
    <row r="981" spans="1:20">
      <c r="A981" s="3169"/>
      <c r="B981" s="52"/>
      <c r="C981" s="3192">
        <f t="shared" si="146"/>
        <v>1</v>
      </c>
      <c r="D981" s="2559"/>
      <c r="E981" s="3192">
        <f t="shared" si="147"/>
        <v>0.02</v>
      </c>
      <c r="F981" s="2559"/>
      <c r="G981" s="3192">
        <f t="shared" si="148"/>
        <v>0</v>
      </c>
      <c r="H981" s="631"/>
      <c r="I981" s="3192">
        <f t="shared" si="149"/>
        <v>1</v>
      </c>
      <c r="J981" s="631"/>
      <c r="K981" s="3192">
        <f t="shared" si="150"/>
        <v>1</v>
      </c>
      <c r="L981" s="631"/>
      <c r="M981" s="3192">
        <f t="shared" si="151"/>
        <v>1</v>
      </c>
      <c r="N981" s="631"/>
      <c r="O981" s="3192">
        <f t="shared" si="152"/>
        <v>1</v>
      </c>
      <c r="P981" s="3194"/>
      <c r="Q981" s="3192">
        <f t="shared" si="153"/>
        <v>0</v>
      </c>
      <c r="R981" s="3192">
        <f t="shared" si="154"/>
        <v>0</v>
      </c>
      <c r="S981" s="898">
        <f t="shared" si="145"/>
        <v>0</v>
      </c>
      <c r="T981" s="3190">
        <f>面积表!A976</f>
        <v>0</v>
      </c>
    </row>
    <row r="982" spans="1:20">
      <c r="A982" s="3169"/>
      <c r="B982" s="52"/>
      <c r="C982" s="3192">
        <f t="shared" si="146"/>
        <v>1</v>
      </c>
      <c r="D982" s="2559"/>
      <c r="E982" s="3192">
        <f t="shared" si="147"/>
        <v>0.02</v>
      </c>
      <c r="F982" s="2559"/>
      <c r="G982" s="3192">
        <f t="shared" si="148"/>
        <v>0</v>
      </c>
      <c r="H982" s="631"/>
      <c r="I982" s="3192">
        <f t="shared" si="149"/>
        <v>1</v>
      </c>
      <c r="J982" s="631"/>
      <c r="K982" s="3192">
        <f t="shared" si="150"/>
        <v>1</v>
      </c>
      <c r="L982" s="631"/>
      <c r="M982" s="3192">
        <f t="shared" si="151"/>
        <v>1</v>
      </c>
      <c r="N982" s="631"/>
      <c r="O982" s="3192">
        <f t="shared" si="152"/>
        <v>1</v>
      </c>
      <c r="P982" s="3194"/>
      <c r="Q982" s="3192">
        <f t="shared" si="153"/>
        <v>0</v>
      </c>
      <c r="R982" s="3192">
        <f t="shared" si="154"/>
        <v>0</v>
      </c>
      <c r="S982" s="898">
        <f t="shared" si="145"/>
        <v>0</v>
      </c>
      <c r="T982" s="3190">
        <f>面积表!A977</f>
        <v>0</v>
      </c>
    </row>
    <row r="983" spans="1:20">
      <c r="A983" s="3169"/>
      <c r="B983" s="52"/>
      <c r="C983" s="3192">
        <f t="shared" si="146"/>
        <v>1</v>
      </c>
      <c r="D983" s="2559"/>
      <c r="E983" s="3192">
        <f t="shared" si="147"/>
        <v>0.02</v>
      </c>
      <c r="F983" s="2559"/>
      <c r="G983" s="3192">
        <f t="shared" si="148"/>
        <v>0</v>
      </c>
      <c r="H983" s="631"/>
      <c r="I983" s="3192">
        <f t="shared" si="149"/>
        <v>1</v>
      </c>
      <c r="J983" s="631"/>
      <c r="K983" s="3192">
        <f t="shared" si="150"/>
        <v>1</v>
      </c>
      <c r="L983" s="631"/>
      <c r="M983" s="3192">
        <f t="shared" si="151"/>
        <v>1</v>
      </c>
      <c r="N983" s="631"/>
      <c r="O983" s="3192">
        <f t="shared" si="152"/>
        <v>1</v>
      </c>
      <c r="P983" s="3194"/>
      <c r="Q983" s="3192">
        <f t="shared" si="153"/>
        <v>0</v>
      </c>
      <c r="R983" s="3192">
        <f t="shared" si="154"/>
        <v>0</v>
      </c>
      <c r="S983" s="898">
        <f t="shared" si="145"/>
        <v>0</v>
      </c>
      <c r="T983" s="3190">
        <f>面积表!A978</f>
        <v>0</v>
      </c>
    </row>
    <row r="984" spans="1:20">
      <c r="A984" s="3169"/>
      <c r="B984" s="52"/>
      <c r="C984" s="3192">
        <f t="shared" si="146"/>
        <v>1</v>
      </c>
      <c r="D984" s="2559"/>
      <c r="E984" s="3192">
        <f t="shared" si="147"/>
        <v>0.02</v>
      </c>
      <c r="F984" s="2559"/>
      <c r="G984" s="3192">
        <f t="shared" si="148"/>
        <v>0</v>
      </c>
      <c r="H984" s="631"/>
      <c r="I984" s="3192">
        <f t="shared" si="149"/>
        <v>1</v>
      </c>
      <c r="J984" s="631"/>
      <c r="K984" s="3192">
        <f t="shared" si="150"/>
        <v>1</v>
      </c>
      <c r="L984" s="631"/>
      <c r="M984" s="3192">
        <f t="shared" si="151"/>
        <v>1</v>
      </c>
      <c r="N984" s="631"/>
      <c r="O984" s="3192">
        <f t="shared" si="152"/>
        <v>1</v>
      </c>
      <c r="P984" s="3194"/>
      <c r="Q984" s="3192">
        <f t="shared" si="153"/>
        <v>0</v>
      </c>
      <c r="R984" s="3192">
        <f t="shared" si="154"/>
        <v>0</v>
      </c>
      <c r="S984" s="898">
        <f t="shared" ref="S984:S995" si="155">ROUND(R984*B984/10000,0)</f>
        <v>0</v>
      </c>
      <c r="T984" s="3190">
        <f>面积表!A979</f>
        <v>0</v>
      </c>
    </row>
    <row r="985" spans="1:20">
      <c r="A985" s="3169"/>
      <c r="B985" s="52"/>
      <c r="C985" s="3192">
        <f t="shared" si="146"/>
        <v>1</v>
      </c>
      <c r="D985" s="2559"/>
      <c r="E985" s="3192">
        <f t="shared" si="147"/>
        <v>0.02</v>
      </c>
      <c r="F985" s="2559"/>
      <c r="G985" s="3192">
        <f t="shared" si="148"/>
        <v>0</v>
      </c>
      <c r="H985" s="631"/>
      <c r="I985" s="3192">
        <f t="shared" si="149"/>
        <v>1</v>
      </c>
      <c r="J985" s="631"/>
      <c r="K985" s="3192">
        <f t="shared" si="150"/>
        <v>1</v>
      </c>
      <c r="L985" s="631"/>
      <c r="M985" s="3192">
        <f t="shared" si="151"/>
        <v>1</v>
      </c>
      <c r="N985" s="631"/>
      <c r="O985" s="3192">
        <f t="shared" si="152"/>
        <v>1</v>
      </c>
      <c r="P985" s="3194"/>
      <c r="Q985" s="3192">
        <f t="shared" si="153"/>
        <v>0</v>
      </c>
      <c r="R985" s="3192">
        <f t="shared" si="154"/>
        <v>0</v>
      </c>
      <c r="S985" s="898">
        <f t="shared" si="155"/>
        <v>0</v>
      </c>
      <c r="T985" s="3190">
        <f>面积表!A980</f>
        <v>0</v>
      </c>
    </row>
    <row r="986" spans="1:20">
      <c r="A986" s="3169"/>
      <c r="B986" s="52"/>
      <c r="C986" s="3192">
        <f t="shared" ref="C986:C995" si="156">IF(B986="",1,(LOOKUP(B986,$3:$3,$4:$4)-LOOKUP($B$24,$3:$3,$4:$4)+100)/100)</f>
        <v>1</v>
      </c>
      <c r="D986" s="2559"/>
      <c r="E986" s="3192">
        <f t="shared" ref="E986:E995" si="157">(SUMIF($5:$5,D986,$6:$6)-SUMIF($5:$5,$D$24,$6:$6)+100)/100</f>
        <v>0.02</v>
      </c>
      <c r="F986" s="2559"/>
      <c r="G986" s="3192">
        <f t="shared" ref="G986:G995" si="158">(SUMIF($7:$7,F986,$8:$8)-SUMIF($7:$7,$F$24,$8:$8)+100)/100</f>
        <v>0</v>
      </c>
      <c r="H986" s="631"/>
      <c r="I986" s="3192">
        <f t="shared" ref="I986:I995" si="159">(SUMIF($9:$9,H986,$10:$10)-SUMIF($9:$9,$H$24,$10:$10)+100)/100</f>
        <v>1</v>
      </c>
      <c r="J986" s="631"/>
      <c r="K986" s="3192">
        <f t="shared" ref="K986:K995" si="160">(SUMIF($11:$11,J986,$12:$12)-SUMIF($11:$11,$J$24,$12:$12)+100)/100</f>
        <v>1</v>
      </c>
      <c r="L986" s="631"/>
      <c r="M986" s="3192">
        <f t="shared" ref="M986:M995" si="161">(SUMIF($13:$13,L986,$14:$14)-SUMIF($13:$13,$L$24,$14:$14)+100)/100</f>
        <v>1</v>
      </c>
      <c r="N986" s="631"/>
      <c r="O986" s="3192">
        <f t="shared" ref="O986:O995" si="162">(SUMIF($15:$15,N986,$16:$16)-SUMIF($15:$15,$N$24,$16:$16)+100)/100</f>
        <v>1</v>
      </c>
      <c r="P986" s="3194"/>
      <c r="Q986" s="3192">
        <f t="shared" ref="Q986:Q995" si="163">(SUMIF($17:$17,P986,$18:$18)-SUMIF($17:$17,$P$24,$18:$18)+100)/100</f>
        <v>0</v>
      </c>
      <c r="R986" s="3192">
        <f t="shared" ref="R986:R995" si="164">IF(B986="",0,ROUND($R$24*C986*E986*G986*I986*K986*M986*O986*Q986,0))</f>
        <v>0</v>
      </c>
      <c r="S986" s="898">
        <f t="shared" si="155"/>
        <v>0</v>
      </c>
      <c r="T986" s="3190">
        <f>面积表!A981</f>
        <v>0</v>
      </c>
    </row>
    <row r="987" spans="1:20">
      <c r="A987" s="3169"/>
      <c r="B987" s="52"/>
      <c r="C987" s="3192">
        <f t="shared" si="156"/>
        <v>1</v>
      </c>
      <c r="D987" s="2559"/>
      <c r="E987" s="3192">
        <f t="shared" si="157"/>
        <v>0.02</v>
      </c>
      <c r="F987" s="2559"/>
      <c r="G987" s="3192">
        <f t="shared" si="158"/>
        <v>0</v>
      </c>
      <c r="H987" s="631"/>
      <c r="I987" s="3192">
        <f t="shared" si="159"/>
        <v>1</v>
      </c>
      <c r="J987" s="631"/>
      <c r="K987" s="3192">
        <f t="shared" si="160"/>
        <v>1</v>
      </c>
      <c r="L987" s="631"/>
      <c r="M987" s="3192">
        <f t="shared" si="161"/>
        <v>1</v>
      </c>
      <c r="N987" s="631"/>
      <c r="O987" s="3192">
        <f t="shared" si="162"/>
        <v>1</v>
      </c>
      <c r="P987" s="3194"/>
      <c r="Q987" s="3192">
        <f t="shared" si="163"/>
        <v>0</v>
      </c>
      <c r="R987" s="3192">
        <f t="shared" si="164"/>
        <v>0</v>
      </c>
      <c r="S987" s="898">
        <f t="shared" si="155"/>
        <v>0</v>
      </c>
      <c r="T987" s="3190">
        <f>面积表!A982</f>
        <v>0</v>
      </c>
    </row>
    <row r="988" spans="1:20">
      <c r="A988" s="3169"/>
      <c r="B988" s="52"/>
      <c r="C988" s="3192">
        <f t="shared" si="156"/>
        <v>1</v>
      </c>
      <c r="D988" s="2559"/>
      <c r="E988" s="3192">
        <f t="shared" si="157"/>
        <v>0.02</v>
      </c>
      <c r="F988" s="2559"/>
      <c r="G988" s="3192">
        <f t="shared" si="158"/>
        <v>0</v>
      </c>
      <c r="H988" s="631"/>
      <c r="I988" s="3192">
        <f t="shared" si="159"/>
        <v>1</v>
      </c>
      <c r="J988" s="631"/>
      <c r="K988" s="3192">
        <f t="shared" si="160"/>
        <v>1</v>
      </c>
      <c r="L988" s="631"/>
      <c r="M988" s="3192">
        <f t="shared" si="161"/>
        <v>1</v>
      </c>
      <c r="N988" s="631"/>
      <c r="O988" s="3192">
        <f t="shared" si="162"/>
        <v>1</v>
      </c>
      <c r="P988" s="3194"/>
      <c r="Q988" s="3192">
        <f t="shared" si="163"/>
        <v>0</v>
      </c>
      <c r="R988" s="3192">
        <f t="shared" si="164"/>
        <v>0</v>
      </c>
      <c r="S988" s="898">
        <f t="shared" si="155"/>
        <v>0</v>
      </c>
      <c r="T988" s="3190">
        <f>面积表!A983</f>
        <v>0</v>
      </c>
    </row>
    <row r="989" spans="1:20">
      <c r="A989" s="3169"/>
      <c r="B989" s="52"/>
      <c r="C989" s="3192">
        <f t="shared" si="156"/>
        <v>1</v>
      </c>
      <c r="D989" s="2559"/>
      <c r="E989" s="3192">
        <f t="shared" si="157"/>
        <v>0.02</v>
      </c>
      <c r="F989" s="2559"/>
      <c r="G989" s="3192">
        <f t="shared" si="158"/>
        <v>0</v>
      </c>
      <c r="H989" s="631"/>
      <c r="I989" s="3192">
        <f t="shared" si="159"/>
        <v>1</v>
      </c>
      <c r="J989" s="631"/>
      <c r="K989" s="3192">
        <f t="shared" si="160"/>
        <v>1</v>
      </c>
      <c r="L989" s="631"/>
      <c r="M989" s="3192">
        <f t="shared" si="161"/>
        <v>1</v>
      </c>
      <c r="N989" s="631"/>
      <c r="O989" s="3192">
        <f t="shared" si="162"/>
        <v>1</v>
      </c>
      <c r="P989" s="3194"/>
      <c r="Q989" s="3192">
        <f t="shared" si="163"/>
        <v>0</v>
      </c>
      <c r="R989" s="3192">
        <f t="shared" si="164"/>
        <v>0</v>
      </c>
      <c r="S989" s="898">
        <f t="shared" si="155"/>
        <v>0</v>
      </c>
      <c r="T989" s="3190">
        <f>面积表!A984</f>
        <v>0</v>
      </c>
    </row>
    <row r="990" spans="1:20">
      <c r="A990" s="3169"/>
      <c r="B990" s="52"/>
      <c r="C990" s="3192">
        <f t="shared" si="156"/>
        <v>1</v>
      </c>
      <c r="D990" s="2559"/>
      <c r="E990" s="3192">
        <f t="shared" si="157"/>
        <v>0.02</v>
      </c>
      <c r="F990" s="2559"/>
      <c r="G990" s="3192">
        <f t="shared" si="158"/>
        <v>0</v>
      </c>
      <c r="H990" s="631"/>
      <c r="I990" s="3192">
        <f t="shared" si="159"/>
        <v>1</v>
      </c>
      <c r="J990" s="631"/>
      <c r="K990" s="3192">
        <f t="shared" si="160"/>
        <v>1</v>
      </c>
      <c r="L990" s="631"/>
      <c r="M990" s="3192">
        <f t="shared" si="161"/>
        <v>1</v>
      </c>
      <c r="N990" s="631"/>
      <c r="O990" s="3192">
        <f t="shared" si="162"/>
        <v>1</v>
      </c>
      <c r="P990" s="3194"/>
      <c r="Q990" s="3192">
        <f t="shared" si="163"/>
        <v>0</v>
      </c>
      <c r="R990" s="3192">
        <f t="shared" si="164"/>
        <v>0</v>
      </c>
      <c r="S990" s="898">
        <f t="shared" si="155"/>
        <v>0</v>
      </c>
      <c r="T990" s="3190">
        <f>面积表!A985</f>
        <v>0</v>
      </c>
    </row>
    <row r="991" spans="1:20">
      <c r="A991" s="3169"/>
      <c r="B991" s="52"/>
      <c r="C991" s="3192">
        <f t="shared" si="156"/>
        <v>1</v>
      </c>
      <c r="D991" s="2559"/>
      <c r="E991" s="3192">
        <f t="shared" si="157"/>
        <v>0.02</v>
      </c>
      <c r="F991" s="2559"/>
      <c r="G991" s="3192">
        <f t="shared" si="158"/>
        <v>0</v>
      </c>
      <c r="H991" s="631"/>
      <c r="I991" s="3192">
        <f t="shared" si="159"/>
        <v>1</v>
      </c>
      <c r="J991" s="631"/>
      <c r="K991" s="3192">
        <f t="shared" si="160"/>
        <v>1</v>
      </c>
      <c r="L991" s="631"/>
      <c r="M991" s="3192">
        <f t="shared" si="161"/>
        <v>1</v>
      </c>
      <c r="N991" s="631"/>
      <c r="O991" s="3192">
        <f t="shared" si="162"/>
        <v>1</v>
      </c>
      <c r="P991" s="3194"/>
      <c r="Q991" s="3192">
        <f t="shared" si="163"/>
        <v>0</v>
      </c>
      <c r="R991" s="3192">
        <f t="shared" si="164"/>
        <v>0</v>
      </c>
      <c r="S991" s="898">
        <f t="shared" si="155"/>
        <v>0</v>
      </c>
      <c r="T991" s="3190">
        <f>面积表!A986</f>
        <v>0</v>
      </c>
    </row>
    <row r="992" spans="1:20">
      <c r="A992" s="3169"/>
      <c r="B992" s="52"/>
      <c r="C992" s="3192">
        <f t="shared" si="156"/>
        <v>1</v>
      </c>
      <c r="D992" s="2559"/>
      <c r="E992" s="3192">
        <f t="shared" si="157"/>
        <v>0.02</v>
      </c>
      <c r="F992" s="2559"/>
      <c r="G992" s="3192">
        <f t="shared" si="158"/>
        <v>0</v>
      </c>
      <c r="H992" s="631"/>
      <c r="I992" s="3192">
        <f t="shared" si="159"/>
        <v>1</v>
      </c>
      <c r="J992" s="631"/>
      <c r="K992" s="3192">
        <f t="shared" si="160"/>
        <v>1</v>
      </c>
      <c r="L992" s="631"/>
      <c r="M992" s="3192">
        <f t="shared" si="161"/>
        <v>1</v>
      </c>
      <c r="N992" s="631"/>
      <c r="O992" s="3192">
        <f t="shared" si="162"/>
        <v>1</v>
      </c>
      <c r="P992" s="3194"/>
      <c r="Q992" s="3192">
        <f t="shared" si="163"/>
        <v>0</v>
      </c>
      <c r="R992" s="3192">
        <f t="shared" si="164"/>
        <v>0</v>
      </c>
      <c r="S992" s="898">
        <f t="shared" si="155"/>
        <v>0</v>
      </c>
      <c r="T992" s="3190">
        <f>面积表!A987</f>
        <v>0</v>
      </c>
    </row>
    <row r="993" spans="1:20">
      <c r="A993" s="3169"/>
      <c r="B993" s="52"/>
      <c r="C993" s="3192">
        <f t="shared" si="156"/>
        <v>1</v>
      </c>
      <c r="D993" s="2559"/>
      <c r="E993" s="3192">
        <f t="shared" si="157"/>
        <v>0.02</v>
      </c>
      <c r="F993" s="2559"/>
      <c r="G993" s="3192">
        <f t="shared" si="158"/>
        <v>0</v>
      </c>
      <c r="H993" s="631"/>
      <c r="I993" s="3192">
        <f t="shared" si="159"/>
        <v>1</v>
      </c>
      <c r="J993" s="631"/>
      <c r="K993" s="3192">
        <f t="shared" si="160"/>
        <v>1</v>
      </c>
      <c r="L993" s="631"/>
      <c r="M993" s="3192">
        <f t="shared" si="161"/>
        <v>1</v>
      </c>
      <c r="N993" s="631"/>
      <c r="O993" s="3192">
        <f t="shared" si="162"/>
        <v>1</v>
      </c>
      <c r="P993" s="3194"/>
      <c r="Q993" s="3192">
        <f t="shared" si="163"/>
        <v>0</v>
      </c>
      <c r="R993" s="3192">
        <f t="shared" si="164"/>
        <v>0</v>
      </c>
      <c r="S993" s="898">
        <f t="shared" si="155"/>
        <v>0</v>
      </c>
      <c r="T993" s="3190">
        <f>面积表!A988</f>
        <v>0</v>
      </c>
    </row>
    <row r="994" spans="1:20">
      <c r="A994" s="3169"/>
      <c r="B994" s="52"/>
      <c r="C994" s="3192">
        <f t="shared" si="156"/>
        <v>1</v>
      </c>
      <c r="D994" s="2559"/>
      <c r="E994" s="3192">
        <f t="shared" si="157"/>
        <v>0.02</v>
      </c>
      <c r="F994" s="2559"/>
      <c r="G994" s="3192">
        <f t="shared" si="158"/>
        <v>0</v>
      </c>
      <c r="H994" s="631"/>
      <c r="I994" s="3192">
        <f t="shared" si="159"/>
        <v>1</v>
      </c>
      <c r="J994" s="631"/>
      <c r="K994" s="3192">
        <f t="shared" si="160"/>
        <v>1</v>
      </c>
      <c r="L994" s="631"/>
      <c r="M994" s="3192">
        <f t="shared" si="161"/>
        <v>1</v>
      </c>
      <c r="N994" s="631"/>
      <c r="O994" s="3192">
        <f t="shared" si="162"/>
        <v>1</v>
      </c>
      <c r="P994" s="3194"/>
      <c r="Q994" s="3192">
        <f t="shared" si="163"/>
        <v>0</v>
      </c>
      <c r="R994" s="3192">
        <f t="shared" si="164"/>
        <v>0</v>
      </c>
      <c r="S994" s="898">
        <f t="shared" si="155"/>
        <v>0</v>
      </c>
      <c r="T994" s="3190">
        <f>面积表!A989</f>
        <v>0</v>
      </c>
    </row>
    <row r="995" spans="1:20">
      <c r="A995" s="3169"/>
      <c r="B995" s="52"/>
      <c r="C995" s="3192">
        <f t="shared" si="156"/>
        <v>1</v>
      </c>
      <c r="D995" s="631"/>
      <c r="E995" s="3192">
        <f t="shared" si="157"/>
        <v>0.02</v>
      </c>
      <c r="F995" s="631"/>
      <c r="G995" s="3192">
        <f t="shared" si="158"/>
        <v>0</v>
      </c>
      <c r="H995" s="631"/>
      <c r="I995" s="3192">
        <f t="shared" si="159"/>
        <v>1</v>
      </c>
      <c r="J995" s="631"/>
      <c r="K995" s="3192">
        <f t="shared" si="160"/>
        <v>1</v>
      </c>
      <c r="L995" s="631"/>
      <c r="M995" s="3192">
        <f t="shared" si="161"/>
        <v>1</v>
      </c>
      <c r="N995" s="631"/>
      <c r="O995" s="3192">
        <f t="shared" si="162"/>
        <v>1</v>
      </c>
      <c r="P995" s="631"/>
      <c r="Q995" s="3192">
        <f t="shared" si="163"/>
        <v>0</v>
      </c>
      <c r="R995" s="3192">
        <f t="shared" si="164"/>
        <v>0</v>
      </c>
      <c r="S995" s="898">
        <f t="shared" si="155"/>
        <v>0</v>
      </c>
      <c r="T995" s="3190">
        <f>面积表!A990</f>
        <v>0</v>
      </c>
    </row>
    <row r="996" spans="1:20">
      <c r="A996" s="3169"/>
      <c r="B996" s="52"/>
      <c r="T996" s="3190">
        <f>面积表!A991</f>
        <v>0</v>
      </c>
    </row>
    <row r="997" spans="1:20">
      <c r="A997" s="3169"/>
      <c r="B997" s="52"/>
    </row>
    <row r="998" spans="1:20">
      <c r="A998" s="3169"/>
      <c r="B998" s="52"/>
    </row>
    <row r="999" spans="1:20">
      <c r="A999" s="3169"/>
      <c r="B999" s="52"/>
    </row>
    <row r="1000" spans="1:20">
      <c r="A1000" s="3169"/>
      <c r="B1000" s="52"/>
    </row>
    <row r="1001" spans="1:20">
      <c r="A1001" s="3169"/>
      <c r="B1001" s="52"/>
    </row>
    <row r="1002" spans="1:20">
      <c r="A1002" s="3169"/>
      <c r="B1002" s="52"/>
    </row>
    <row r="1003" spans="1:20">
      <c r="A1003" s="3169"/>
      <c r="B1003" s="52"/>
    </row>
    <row r="1004" spans="1:20">
      <c r="A1004" s="3169"/>
      <c r="B1004" s="52"/>
    </row>
    <row r="1005" spans="1:20">
      <c r="A1005" s="3169">
        <f>面积表!D1000</f>
        <v>0</v>
      </c>
      <c r="B1005" s="52">
        <f>面积表!E1000</f>
        <v>0</v>
      </c>
    </row>
    <row r="1006" spans="1:20">
      <c r="A1006" s="3169">
        <f>面积表!D1001</f>
        <v>0</v>
      </c>
      <c r="B1006" s="52">
        <f>面积表!E1001</f>
        <v>0</v>
      </c>
    </row>
    <row r="1007" spans="1:20">
      <c r="A1007" s="3169">
        <f>面积表!D1002</f>
        <v>0</v>
      </c>
      <c r="B1007" s="52">
        <f>面积表!E1002</f>
        <v>0</v>
      </c>
    </row>
  </sheetData>
  <sheetProtection password="CEE9" sheet="1" objects="1" scenarios="1" formatCells="0" formatColumns="0" formatRows="0"/>
  <mergeCells count="2">
    <mergeCell ref="C1:S1"/>
    <mergeCell ref="C22:Q22"/>
  </mergeCells>
  <phoneticPr fontId="134" type="noConversion"/>
  <conditionalFormatting sqref="C24:C995 E24:E995 G24:G995 I24:I995 K24:K995 M24:M995 O24:O995 Q24:Q995">
    <cfRule type="cellIs" dxfId="77"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1823</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IF(E1="项目模式",IF(C2="——",ROUND(C43*D3/10000,0),ROUND(C43*D3/10000,0)-D2),IF(E1="单套模式",IF(C2="——",ROUND(C43*D3/10000,4),ROUND(C43*D3/10000,4)-D2)))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48"/>
      <c r="L2" s="851"/>
      <c r="M2" s="852"/>
      <c r="N2" s="852"/>
      <c r="O2" s="852"/>
      <c r="P2" s="340"/>
      <c r="Q2" s="340"/>
      <c r="R2" s="340"/>
      <c r="S2" s="340"/>
      <c r="T2" s="340"/>
      <c r="U2" s="340"/>
      <c r="V2" s="340"/>
      <c r="W2" s="340"/>
      <c r="X2" s="340"/>
      <c r="Y2" s="340"/>
      <c r="Z2" s="340"/>
      <c r="AA2" s="340"/>
      <c r="AB2" s="340"/>
      <c r="AC2" s="659"/>
    </row>
    <row r="3" spans="1:29" s="341" customFormat="1" ht="28.5" customHeight="1" thickBot="1">
      <c r="A3" s="194" t="s">
        <v>1461</v>
      </c>
      <c r="B3" s="535">
        <f>IF(C2="——",C43,ROUND(B2*10000/D3,0))</f>
        <v>0</v>
      </c>
      <c r="C3" s="343" t="s">
        <v>1765</v>
      </c>
      <c r="D3" s="342">
        <f>IF(D1="",'数据-汇总表'!E3,SUMIF('数据-汇总表'!$C19:$C33,D1,'数据-汇总表'!$E19:$E33))</f>
        <v>51111.68000000059</v>
      </c>
      <c r="E3" s="848"/>
      <c r="F3" s="849"/>
      <c r="G3" s="848"/>
      <c r="H3" s="848"/>
      <c r="I3" s="848"/>
      <c r="J3" s="848"/>
      <c r="K3" s="850"/>
      <c r="L3" s="851"/>
      <c r="M3" s="852"/>
      <c r="N3" s="852"/>
      <c r="O3" s="85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853"/>
      <c r="M4" s="854"/>
      <c r="N4" s="854"/>
      <c r="O4" s="854"/>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853"/>
      <c r="M5" s="854"/>
      <c r="N5" s="854"/>
      <c r="O5" s="854"/>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853"/>
      <c r="M6" s="854"/>
      <c r="N6" s="854"/>
      <c r="O6" s="854"/>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SUMIF(52:52,YEAR(E7)&amp;"-"&amp;MONTH(E7),53:53)</f>
        <v>0</v>
      </c>
      <c r="G7" s="355"/>
      <c r="H7" s="354">
        <f>SUMIF(52:52,YEAR(G7)&amp;"-"&amp;MONTH(G7),53:53)</f>
        <v>0</v>
      </c>
      <c r="I7" s="355"/>
      <c r="J7" s="354">
        <f>SUMIF(52:52,YEAR(I7)&amp;"-"&amp;MONTH(I7),53:53)</f>
        <v>0</v>
      </c>
      <c r="K7" s="38"/>
      <c r="L7" s="855"/>
      <c r="M7" s="856"/>
      <c r="N7" s="856"/>
      <c r="O7" s="856"/>
      <c r="P7" s="3387" t="s">
        <v>1677</v>
      </c>
      <c r="Q7" s="3421"/>
      <c r="R7" s="660" t="s">
        <v>14</v>
      </c>
      <c r="S7" s="661">
        <f t="shared" ref="S7:S15" si="0">F7</f>
        <v>0</v>
      </c>
      <c r="T7" s="660" t="s">
        <v>14</v>
      </c>
      <c r="U7" s="661">
        <f t="shared" ref="U7:U15" si="1">H7</f>
        <v>0</v>
      </c>
      <c r="V7" s="660" t="s">
        <v>14</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55"/>
      <c r="M8" s="856"/>
      <c r="N8" s="856"/>
      <c r="O8" s="856"/>
      <c r="P8" s="3387" t="s">
        <v>1680</v>
      </c>
      <c r="Q8" s="3388"/>
      <c r="R8" s="660" t="s">
        <v>14</v>
      </c>
      <c r="S8" s="661">
        <f t="shared" si="0"/>
        <v>100</v>
      </c>
      <c r="T8" s="660" t="s">
        <v>14</v>
      </c>
      <c r="U8" s="661">
        <f t="shared" si="1"/>
        <v>100</v>
      </c>
      <c r="V8" s="660" t="s">
        <v>14</v>
      </c>
      <c r="W8" s="661">
        <f t="shared" si="2"/>
        <v>100</v>
      </c>
      <c r="X8" s="662"/>
      <c r="Y8" s="3387" t="s">
        <v>1680</v>
      </c>
      <c r="Z8" s="3388"/>
      <c r="AA8" s="50">
        <f t="shared" ref="AA8:AA40" si="3">D8/F8</f>
        <v>1</v>
      </c>
      <c r="AB8" s="50">
        <f t="shared" ref="AB8:AB40" si="4">D8/H8</f>
        <v>1</v>
      </c>
      <c r="AC8" s="50">
        <f t="shared" ref="AC8:AC40" si="5">D8/J8</f>
        <v>1</v>
      </c>
    </row>
    <row r="9" spans="1:29" s="102"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55"/>
      <c r="M9" s="856"/>
      <c r="N9" s="856"/>
      <c r="O9" s="857"/>
      <c r="P9" s="3431"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19"/>
      <c r="F10" s="118">
        <f>SUMIF(59:59,E10,60:60)-SUMIF(59:59,C10,60:60)+100</f>
        <v>100</v>
      </c>
      <c r="G10" s="3120"/>
      <c r="H10" s="118">
        <f>SUMIF(59:59,G10,60:60)-SUMIF(59:59,C10,60:60)+100</f>
        <v>100</v>
      </c>
      <c r="I10" s="3119"/>
      <c r="J10" s="118">
        <f>SUMIF(59:59,I10,60:60)-SUMIF(59:59,C10,60:60)+100</f>
        <v>100</v>
      </c>
      <c r="K10" s="38"/>
      <c r="L10" s="858"/>
      <c r="M10" s="859"/>
      <c r="N10" s="859"/>
      <c r="O10" s="860"/>
      <c r="P10" s="3431"/>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1"/>
      <c r="M11" s="854"/>
      <c r="N11" s="854"/>
      <c r="O11" s="862"/>
      <c r="P11" s="3431"/>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07"/>
      <c r="H12" s="118">
        <f>SUMIF(64:64,G12,65:65)-SUMIF(64:64,C12,65:65)+100</f>
        <v>100</v>
      </c>
      <c r="I12" s="406"/>
      <c r="J12" s="118">
        <f>SUMIF(64:64,I12,65:65)-SUMIF(64:64,C12,65:65)+100</f>
        <v>100</v>
      </c>
      <c r="K12" s="538"/>
      <c r="L12" s="855"/>
      <c r="M12" s="856"/>
      <c r="N12" s="856"/>
      <c r="O12" s="857"/>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07"/>
      <c r="H13" s="373">
        <f>SUMIF(66:66,G13,67:67)-SUMIF(66:66,C13,67:67)+100</f>
        <v>100</v>
      </c>
      <c r="I13" s="406"/>
      <c r="J13" s="373">
        <f>SUMIF(66:66,I13,67:67)-SUMIF(66:66,C13,67:67)+100</f>
        <v>100</v>
      </c>
      <c r="K13" s="538"/>
      <c r="L13" s="863"/>
      <c r="M13" s="854"/>
      <c r="N13" s="854"/>
      <c r="O13" s="862"/>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5"/>
      <c r="F14" s="376">
        <f>SUMIF(68:68,E14,69:69)-SUMIF(68:68,C14,69:69)+100</f>
        <v>100</v>
      </c>
      <c r="G14" s="1807"/>
      <c r="H14" s="376">
        <f>SUMIF(68:68,G14,69:69)-SUMIF(68:68,C14,69:69)+100</f>
        <v>100</v>
      </c>
      <c r="I14" s="406"/>
      <c r="J14" s="376">
        <f>SUMIF(68:68,I14,69:69)-SUMIF(68:68,C14,69:69)+100</f>
        <v>100</v>
      </c>
      <c r="K14" s="538"/>
      <c r="L14" s="863"/>
      <c r="M14" s="854"/>
      <c r="N14" s="854"/>
      <c r="O14" s="862"/>
      <c r="P14" s="3431"/>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57">
      <c r="A15" s="378" t="s">
        <v>1687</v>
      </c>
      <c r="B15" s="58" t="s">
        <v>1824</v>
      </c>
      <c r="C15" s="180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3"/>
      <c r="M15" s="854"/>
      <c r="N15" s="854"/>
      <c r="O15" s="862"/>
      <c r="P15" s="3424" t="s">
        <v>1688</v>
      </c>
      <c r="Q15" s="1252" t="str">
        <f t="shared" si="6"/>
        <v>产业集聚程度</v>
      </c>
      <c r="R15" s="663" t="s">
        <v>14</v>
      </c>
      <c r="S15" s="664">
        <f t="shared" si="0"/>
        <v>100</v>
      </c>
      <c r="T15" s="663" t="s">
        <v>14</v>
      </c>
      <c r="U15" s="664">
        <f t="shared" si="1"/>
        <v>100</v>
      </c>
      <c r="V15" s="663" t="s">
        <v>14</v>
      </c>
      <c r="W15" s="664">
        <f t="shared" si="2"/>
        <v>100</v>
      </c>
      <c r="X15" s="1254"/>
      <c r="Y15" s="3424" t="s">
        <v>1688</v>
      </c>
      <c r="Z15" s="1253" t="str">
        <f t="shared" si="7"/>
        <v>产业集聚程度</v>
      </c>
      <c r="AA15" s="1253">
        <f t="shared" si="3"/>
        <v>1</v>
      </c>
      <c r="AB15" s="1253">
        <f t="shared" si="4"/>
        <v>1</v>
      </c>
      <c r="AC15" s="1253">
        <f t="shared" si="5"/>
        <v>1</v>
      </c>
    </row>
    <row r="16" spans="1:29" ht="15">
      <c r="A16" s="366"/>
      <c r="B16" s="384"/>
      <c r="C16" s="385"/>
      <c r="D16" s="386"/>
      <c r="E16" s="385"/>
      <c r="F16" s="387"/>
      <c r="G16" s="385"/>
      <c r="H16" s="388"/>
      <c r="I16" s="385"/>
      <c r="J16" s="386"/>
      <c r="K16" s="540"/>
      <c r="L16" s="863"/>
      <c r="M16" s="854"/>
      <c r="N16" s="854"/>
      <c r="O16" s="862"/>
      <c r="P16" s="3425"/>
      <c r="Q16" s="1252"/>
      <c r="R16" s="663"/>
      <c r="S16" s="664"/>
      <c r="T16" s="663"/>
      <c r="U16" s="664"/>
      <c r="V16" s="663"/>
      <c r="W16" s="664"/>
      <c r="X16" s="1254"/>
      <c r="Y16" s="3425"/>
      <c r="Z16" s="1253"/>
      <c r="AA16" s="1253">
        <v>1</v>
      </c>
      <c r="AB16" s="1253">
        <v>1</v>
      </c>
      <c r="AC16" s="1253">
        <v>1</v>
      </c>
    </row>
    <row r="17" spans="1:29" ht="85.5">
      <c r="A17" s="366"/>
      <c r="B17" s="389" t="s">
        <v>1256</v>
      </c>
      <c r="C17" s="174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3"/>
      <c r="M17" s="854"/>
      <c r="N17" s="854"/>
      <c r="O17" s="862"/>
      <c r="P17" s="3425"/>
      <c r="Q17" s="1252" t="str">
        <f>B17</f>
        <v>交通便捷度</v>
      </c>
      <c r="R17" s="663" t="s">
        <v>14</v>
      </c>
      <c r="S17" s="664">
        <f>F17</f>
        <v>100</v>
      </c>
      <c r="T17" s="663" t="s">
        <v>14</v>
      </c>
      <c r="U17" s="664">
        <f>H17</f>
        <v>100</v>
      </c>
      <c r="V17" s="663" t="s">
        <v>14</v>
      </c>
      <c r="W17" s="664">
        <f>J17</f>
        <v>100</v>
      </c>
      <c r="X17" s="1254"/>
      <c r="Y17" s="3425"/>
      <c r="Z17" s="1253" t="str">
        <f>Q17</f>
        <v>交通便捷度</v>
      </c>
      <c r="AA17" s="1253">
        <f t="shared" si="3"/>
        <v>1</v>
      </c>
      <c r="AB17" s="1253">
        <f t="shared" si="4"/>
        <v>1</v>
      </c>
      <c r="AC17" s="1253">
        <f t="shared" si="5"/>
        <v>1</v>
      </c>
    </row>
    <row r="18" spans="1:29" ht="15">
      <c r="A18" s="366"/>
      <c r="B18" s="394"/>
      <c r="C18" s="1744"/>
      <c r="D18" s="388"/>
      <c r="E18" s="1746"/>
      <c r="F18" s="391"/>
      <c r="G18" s="1745"/>
      <c r="H18" s="386"/>
      <c r="I18" s="1746"/>
      <c r="J18" s="386"/>
      <c r="K18" s="540"/>
      <c r="L18" s="863"/>
      <c r="M18" s="854"/>
      <c r="N18" s="854"/>
      <c r="O18" s="862"/>
      <c r="P18" s="3425"/>
      <c r="Q18" s="1252"/>
      <c r="R18" s="663"/>
      <c r="S18" s="664"/>
      <c r="T18" s="663"/>
      <c r="U18" s="664"/>
      <c r="V18" s="663"/>
      <c r="W18" s="664"/>
      <c r="X18" s="1254"/>
      <c r="Y18" s="3425"/>
      <c r="Z18" s="1253"/>
      <c r="AA18" s="1253">
        <v>1</v>
      </c>
      <c r="AB18" s="1253">
        <v>1</v>
      </c>
      <c r="AC18" s="1253">
        <v>1</v>
      </c>
    </row>
    <row r="19" spans="1:29" ht="42.75">
      <c r="A19" s="366"/>
      <c r="B19" s="389" t="s">
        <v>1809</v>
      </c>
      <c r="C19" s="174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3"/>
      <c r="M19" s="854"/>
      <c r="N19" s="854"/>
      <c r="O19" s="862"/>
      <c r="P19" s="3425"/>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253">
        <f t="shared" si="5"/>
        <v>1</v>
      </c>
    </row>
    <row r="20" spans="1:29" ht="15">
      <c r="A20" s="366"/>
      <c r="B20" s="394"/>
      <c r="C20" s="385"/>
      <c r="D20" s="386"/>
      <c r="E20" s="1741"/>
      <c r="F20" s="387"/>
      <c r="G20" s="1740"/>
      <c r="H20" s="386"/>
      <c r="I20" s="1741"/>
      <c r="J20" s="386"/>
      <c r="K20" s="540"/>
      <c r="L20" s="863"/>
      <c r="M20" s="854"/>
      <c r="N20" s="854"/>
      <c r="O20" s="862"/>
      <c r="P20" s="3425"/>
      <c r="Q20" s="1252"/>
      <c r="R20" s="663"/>
      <c r="S20" s="664"/>
      <c r="T20" s="663"/>
      <c r="U20" s="664"/>
      <c r="V20" s="663"/>
      <c r="W20" s="664"/>
      <c r="X20" s="1254"/>
      <c r="Y20" s="3425"/>
      <c r="Z20" s="1253"/>
      <c r="AA20" s="1253">
        <v>1</v>
      </c>
      <c r="AB20" s="1253">
        <v>1</v>
      </c>
      <c r="AC20" s="1253">
        <v>1</v>
      </c>
    </row>
    <row r="21" spans="1:29" ht="28.5">
      <c r="A21" s="366"/>
      <c r="B21" s="585" t="s">
        <v>1810</v>
      </c>
      <c r="C21" s="174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3"/>
      <c r="M21" s="854"/>
      <c r="N21" s="854"/>
      <c r="O21" s="862"/>
      <c r="P21" s="3425"/>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7"/>
      <c r="G22" s="385"/>
      <c r="H22" s="386"/>
      <c r="I22" s="385"/>
      <c r="J22" s="386"/>
      <c r="K22" s="1054"/>
      <c r="L22" s="863"/>
      <c r="M22" s="854"/>
      <c r="N22" s="854"/>
      <c r="O22" s="862"/>
      <c r="P22" s="3425"/>
      <c r="Q22" s="1252"/>
      <c r="R22" s="663"/>
      <c r="S22" s="664"/>
      <c r="T22" s="663"/>
      <c r="U22" s="664"/>
      <c r="V22" s="663"/>
      <c r="W22" s="664"/>
      <c r="X22" s="1254"/>
      <c r="Y22" s="3425"/>
      <c r="Z22" s="1253"/>
      <c r="AA22" s="1253">
        <v>1</v>
      </c>
      <c r="AB22" s="1253">
        <v>1</v>
      </c>
      <c r="AC22" s="1253">
        <v>1</v>
      </c>
    </row>
    <row r="23" spans="1:29" ht="71.25">
      <c r="A23" s="366"/>
      <c r="B23" s="389" t="s">
        <v>1811</v>
      </c>
      <c r="C23" s="174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3"/>
      <c r="M23" s="854"/>
      <c r="N23" s="854"/>
      <c r="O23" s="862"/>
      <c r="P23" s="3425"/>
      <c r="Q23" s="1252" t="str">
        <f>B23</f>
        <v>环境质量</v>
      </c>
      <c r="R23" s="663" t="s">
        <v>14</v>
      </c>
      <c r="S23" s="664">
        <f>F23</f>
        <v>100</v>
      </c>
      <c r="T23" s="663" t="s">
        <v>14</v>
      </c>
      <c r="U23" s="664">
        <f>H23</f>
        <v>100</v>
      </c>
      <c r="V23" s="663" t="s">
        <v>14</v>
      </c>
      <c r="W23" s="664">
        <f>J23</f>
        <v>100</v>
      </c>
      <c r="X23" s="1254"/>
      <c r="Y23" s="3425"/>
      <c r="Z23" s="1253" t="str">
        <f>Q23</f>
        <v>环境质量</v>
      </c>
      <c r="AA23" s="1253">
        <f t="shared" si="3"/>
        <v>1</v>
      </c>
      <c r="AB23" s="1253">
        <f t="shared" si="4"/>
        <v>1</v>
      </c>
      <c r="AC23" s="1253">
        <f t="shared" si="5"/>
        <v>1</v>
      </c>
    </row>
    <row r="24" spans="1:29" ht="15">
      <c r="A24" s="366"/>
      <c r="B24" s="585"/>
      <c r="C24" s="385"/>
      <c r="D24" s="386"/>
      <c r="E24" s="1741"/>
      <c r="F24" s="387"/>
      <c r="G24" s="1740"/>
      <c r="H24" s="386"/>
      <c r="I24" s="1741"/>
      <c r="J24" s="386"/>
      <c r="K24" s="540"/>
      <c r="L24" s="863"/>
      <c r="M24" s="854"/>
      <c r="N24" s="854"/>
      <c r="O24" s="862"/>
      <c r="P24" s="3425"/>
      <c r="Q24" s="1252"/>
      <c r="R24" s="663"/>
      <c r="S24" s="664"/>
      <c r="T24" s="663"/>
      <c r="U24" s="664"/>
      <c r="V24" s="663"/>
      <c r="W24" s="664"/>
      <c r="X24" s="1254"/>
      <c r="Y24" s="3425"/>
      <c r="Z24" s="1253"/>
      <c r="AA24" s="1253">
        <v>1</v>
      </c>
      <c r="AB24" s="1253">
        <v>1</v>
      </c>
      <c r="AC24" s="1253">
        <v>1</v>
      </c>
    </row>
    <row r="25" spans="1:29" ht="15">
      <c r="A25" s="347"/>
      <c r="B25" s="1056">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3"/>
      <c r="M25" s="854"/>
      <c r="N25" s="854"/>
      <c r="O25" s="862"/>
      <c r="P25" s="3425"/>
      <c r="Q25" s="1252">
        <f>B25</f>
        <v>111</v>
      </c>
      <c r="R25" s="663" t="s">
        <v>14</v>
      </c>
      <c r="S25" s="664">
        <f>F25</f>
        <v>100</v>
      </c>
      <c r="T25" s="663" t="s">
        <v>14</v>
      </c>
      <c r="U25" s="664">
        <f>H25</f>
        <v>100</v>
      </c>
      <c r="V25" s="663" t="s">
        <v>14</v>
      </c>
      <c r="W25" s="664">
        <f>J25</f>
        <v>100</v>
      </c>
      <c r="X25" s="1254"/>
      <c r="Y25" s="3425"/>
      <c r="Z25" s="1253">
        <f>Q25</f>
        <v>111</v>
      </c>
      <c r="AA25" s="1253">
        <f t="shared" si="3"/>
        <v>1</v>
      </c>
      <c r="AB25" s="1253">
        <f t="shared" si="4"/>
        <v>1</v>
      </c>
      <c r="AC25" s="1253">
        <f t="shared" si="5"/>
        <v>1</v>
      </c>
    </row>
    <row r="26" spans="1:29" ht="15">
      <c r="A26" s="366"/>
      <c r="B26" s="1056">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3"/>
      <c r="M26" s="854"/>
      <c r="N26" s="854"/>
      <c r="O26" s="862"/>
      <c r="P26" s="3425"/>
      <c r="Q26" s="1252">
        <f t="shared" ref="Q26:Q40" si="11">B26</f>
        <v>111</v>
      </c>
      <c r="R26" s="663" t="s">
        <v>14</v>
      </c>
      <c r="S26" s="664">
        <f>F26</f>
        <v>100</v>
      </c>
      <c r="T26" s="663" t="s">
        <v>14</v>
      </c>
      <c r="U26" s="664">
        <f>H26</f>
        <v>100</v>
      </c>
      <c r="V26" s="663" t="s">
        <v>14</v>
      </c>
      <c r="W26" s="664">
        <f>J26</f>
        <v>100</v>
      </c>
      <c r="X26" s="1254"/>
      <c r="Y26" s="3425"/>
      <c r="Z26" s="1253">
        <f>Q26</f>
        <v>111</v>
      </c>
      <c r="AA26" s="1253">
        <f t="shared" si="3"/>
        <v>1</v>
      </c>
      <c r="AB26" s="1253">
        <f t="shared" si="4"/>
        <v>1</v>
      </c>
      <c r="AC26" s="1253">
        <f t="shared" si="5"/>
        <v>1</v>
      </c>
    </row>
    <row r="27" spans="1:29" s="102" customFormat="1" ht="15">
      <c r="A27" s="369"/>
      <c r="B27" s="1056">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5"/>
      <c r="M27" s="856"/>
      <c r="N27" s="856"/>
      <c r="O27" s="857"/>
      <c r="P27" s="3425"/>
      <c r="Q27" s="529">
        <f t="shared" si="11"/>
        <v>111</v>
      </c>
      <c r="R27" s="660" t="s">
        <v>14</v>
      </c>
      <c r="S27" s="661">
        <f>F27</f>
        <v>100</v>
      </c>
      <c r="T27" s="660" t="s">
        <v>14</v>
      </c>
      <c r="U27" s="661">
        <f>H27</f>
        <v>100</v>
      </c>
      <c r="V27" s="660" t="s">
        <v>14</v>
      </c>
      <c r="W27" s="661">
        <f>J27</f>
        <v>100</v>
      </c>
      <c r="X27" s="662"/>
      <c r="Y27" s="3425"/>
      <c r="Z27" s="50">
        <f>Q27</f>
        <v>111</v>
      </c>
      <c r="AA27" s="1253">
        <f>D27/F27</f>
        <v>1</v>
      </c>
      <c r="AB27" s="1253">
        <f>D27/H27</f>
        <v>1</v>
      </c>
      <c r="AC27" s="1253">
        <f>D27/J27</f>
        <v>1</v>
      </c>
    </row>
    <row r="28" spans="1:29" ht="15.75" thickBot="1">
      <c r="A28" s="374"/>
      <c r="B28" s="1056">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3"/>
      <c r="M28" s="854"/>
      <c r="N28" s="854"/>
      <c r="O28" s="862"/>
      <c r="P28" s="3425"/>
      <c r="Q28" s="1252">
        <f t="shared" si="11"/>
        <v>111</v>
      </c>
      <c r="R28" s="663" t="s">
        <v>14</v>
      </c>
      <c r="S28" s="664">
        <f t="shared" ref="S28:S40" si="12">F28</f>
        <v>100</v>
      </c>
      <c r="T28" s="663" t="s">
        <v>14</v>
      </c>
      <c r="U28" s="664">
        <f t="shared" ref="U28:U40" si="13">H28</f>
        <v>100</v>
      </c>
      <c r="V28" s="663" t="s">
        <v>14</v>
      </c>
      <c r="W28" s="664">
        <f t="shared" ref="W28:W40" si="14">J28</f>
        <v>100</v>
      </c>
      <c r="X28" s="1254"/>
      <c r="Y28" s="3425"/>
      <c r="Z28" s="1253">
        <f t="shared" ref="Z28:Z40" si="15">Q28</f>
        <v>111</v>
      </c>
      <c r="AA28" s="1253">
        <f t="shared" si="3"/>
        <v>1</v>
      </c>
      <c r="AB28" s="1253">
        <f t="shared" si="4"/>
        <v>1</v>
      </c>
      <c r="AC28" s="1253">
        <f t="shared" si="5"/>
        <v>1</v>
      </c>
    </row>
    <row r="29" spans="1:29" ht="28.5">
      <c r="A29" s="403" t="s">
        <v>1691</v>
      </c>
      <c r="B29" s="60" t="s">
        <v>1814</v>
      </c>
      <c r="C29" s="1753"/>
      <c r="D29" s="404">
        <v>100</v>
      </c>
      <c r="E29" s="1753"/>
      <c r="F29" s="399">
        <f>SUMIF(88:88,E29,89:89)-SUMIF(88:88,C29,89:89)+100</f>
        <v>100</v>
      </c>
      <c r="G29" s="1753"/>
      <c r="H29" s="373">
        <f>SUMIF(88:88,G29,89:89)-SUMIF(88:88,C29,89:89)+100</f>
        <v>100</v>
      </c>
      <c r="I29" s="1753"/>
      <c r="J29" s="404">
        <f>SUMIF(88:88,I29,89:89)-SUMIF(88:88,C29,89:89)+100</f>
        <v>100</v>
      </c>
      <c r="K29" s="537"/>
      <c r="L29" s="863"/>
      <c r="M29" s="854"/>
      <c r="N29" s="854"/>
      <c r="O29" s="862"/>
      <c r="P29" s="3481" t="s">
        <v>1693</v>
      </c>
      <c r="Q29" s="1252" t="str">
        <f t="shared" si="11"/>
        <v>建筑类型</v>
      </c>
      <c r="R29" s="663" t="s">
        <v>14</v>
      </c>
      <c r="S29" s="664">
        <f t="shared" si="12"/>
        <v>100</v>
      </c>
      <c r="T29" s="663" t="s">
        <v>14</v>
      </c>
      <c r="U29" s="664">
        <f t="shared" si="13"/>
        <v>100</v>
      </c>
      <c r="V29" s="663" t="s">
        <v>14</v>
      </c>
      <c r="W29" s="664">
        <f t="shared" si="14"/>
        <v>100</v>
      </c>
      <c r="X29" s="1254"/>
      <c r="Y29" s="3429" t="s">
        <v>1693</v>
      </c>
      <c r="Z29" s="1253" t="str">
        <f t="shared" si="15"/>
        <v>建筑类型</v>
      </c>
      <c r="AA29" s="1253">
        <f t="shared" si="3"/>
        <v>1</v>
      </c>
      <c r="AB29" s="1253">
        <f t="shared" si="4"/>
        <v>1</v>
      </c>
      <c r="AC29" s="125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1"/>
      <c r="M30" s="864"/>
      <c r="N30" s="864"/>
      <c r="O30" s="865"/>
      <c r="P30" s="3429"/>
      <c r="Q30" s="530" t="str">
        <f t="shared" si="11"/>
        <v>项目建筑规模</v>
      </c>
      <c r="R30" s="665" t="s">
        <v>14</v>
      </c>
      <c r="S30" s="666" t="e">
        <f t="shared" si="12"/>
        <v>#N/A</v>
      </c>
      <c r="T30" s="665" t="s">
        <v>14</v>
      </c>
      <c r="U30" s="666" t="e">
        <f t="shared" si="13"/>
        <v>#N/A</v>
      </c>
      <c r="V30" s="665" t="s">
        <v>14</v>
      </c>
      <c r="W30" s="666" t="e">
        <f t="shared" si="14"/>
        <v>#N/A</v>
      </c>
      <c r="X30" s="667"/>
      <c r="Y30" s="3429"/>
      <c r="Z30" s="668" t="str">
        <f t="shared" si="15"/>
        <v>项目建筑规模</v>
      </c>
      <c r="AA30" s="1253" t="e">
        <f t="shared" si="3"/>
        <v>#N/A</v>
      </c>
      <c r="AB30" s="1253" t="e">
        <f t="shared" si="4"/>
        <v>#N/A</v>
      </c>
      <c r="AC30" s="125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3"/>
      <c r="M31" s="854"/>
      <c r="N31" s="854"/>
      <c r="O31" s="862"/>
      <c r="P31" s="3429"/>
      <c r="Q31" s="1252" t="str">
        <f t="shared" si="11"/>
        <v>建筑结构</v>
      </c>
      <c r="R31" s="663" t="s">
        <v>14</v>
      </c>
      <c r="S31" s="664">
        <f t="shared" si="12"/>
        <v>100</v>
      </c>
      <c r="T31" s="663" t="s">
        <v>14</v>
      </c>
      <c r="U31" s="664">
        <f t="shared" si="13"/>
        <v>100</v>
      </c>
      <c r="V31" s="663" t="s">
        <v>14</v>
      </c>
      <c r="W31" s="664">
        <f t="shared" si="14"/>
        <v>100</v>
      </c>
      <c r="X31" s="1254"/>
      <c r="Y31" s="3429"/>
      <c r="Z31" s="1253" t="str">
        <f t="shared" si="15"/>
        <v>建筑结构</v>
      </c>
      <c r="AA31" s="1253">
        <f t="shared" si="3"/>
        <v>1</v>
      </c>
      <c r="AB31" s="1253">
        <f t="shared" si="4"/>
        <v>1</v>
      </c>
      <c r="AC31" s="125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3"/>
      <c r="M32" s="854"/>
      <c r="N32" s="854"/>
      <c r="O32" s="862"/>
      <c r="P32" s="3429"/>
      <c r="Q32" s="1252" t="str">
        <f t="shared" si="11"/>
        <v>公共部分装修</v>
      </c>
      <c r="R32" s="663" t="s">
        <v>14</v>
      </c>
      <c r="S32" s="664">
        <f t="shared" si="12"/>
        <v>100</v>
      </c>
      <c r="T32" s="663" t="s">
        <v>14</v>
      </c>
      <c r="U32" s="664">
        <f t="shared" si="13"/>
        <v>100</v>
      </c>
      <c r="V32" s="663" t="s">
        <v>14</v>
      </c>
      <c r="W32" s="664">
        <f t="shared" si="14"/>
        <v>100</v>
      </c>
      <c r="X32" s="1254"/>
      <c r="Y32" s="3429"/>
      <c r="Z32" s="1253" t="str">
        <f t="shared" si="15"/>
        <v>公共部分装修</v>
      </c>
      <c r="AA32" s="1253">
        <f t="shared" si="3"/>
        <v>1</v>
      </c>
      <c r="AB32" s="1253">
        <f t="shared" si="4"/>
        <v>1</v>
      </c>
      <c r="AC32" s="125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3"/>
      <c r="M33" s="854"/>
      <c r="N33" s="854"/>
      <c r="O33" s="862"/>
      <c r="P33" s="3429"/>
      <c r="Q33" s="1252" t="str">
        <f t="shared" si="11"/>
        <v>成新度</v>
      </c>
      <c r="R33" s="663" t="s">
        <v>14</v>
      </c>
      <c r="S33" s="664" t="e">
        <f t="shared" si="12"/>
        <v>#N/A</v>
      </c>
      <c r="T33" s="663" t="s">
        <v>14</v>
      </c>
      <c r="U33" s="664" t="e">
        <f t="shared" si="13"/>
        <v>#N/A</v>
      </c>
      <c r="V33" s="663" t="s">
        <v>14</v>
      </c>
      <c r="W33" s="664" t="e">
        <f t="shared" si="14"/>
        <v>#N/A</v>
      </c>
      <c r="X33" s="1254"/>
      <c r="Y33" s="3429"/>
      <c r="Z33" s="1253" t="str">
        <f t="shared" si="15"/>
        <v>成新度</v>
      </c>
      <c r="AA33" s="1253" t="e">
        <f t="shared" si="3"/>
        <v>#N/A</v>
      </c>
      <c r="AB33" s="1253" t="e">
        <f t="shared" si="4"/>
        <v>#N/A</v>
      </c>
      <c r="AC33" s="1253" t="e">
        <f t="shared" si="5"/>
        <v>#N/A</v>
      </c>
    </row>
    <row r="34" spans="1:29" s="102"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5"/>
      <c r="M34" s="856"/>
      <c r="N34" s="856"/>
      <c r="O34" s="857"/>
      <c r="P34" s="3429"/>
      <c r="Q34" s="529" t="str">
        <f t="shared" si="11"/>
        <v>物业管理</v>
      </c>
      <c r="R34" s="660" t="s">
        <v>14</v>
      </c>
      <c r="S34" s="661">
        <f t="shared" si="12"/>
        <v>100</v>
      </c>
      <c r="T34" s="660" t="s">
        <v>14</v>
      </c>
      <c r="U34" s="661">
        <f t="shared" si="13"/>
        <v>100</v>
      </c>
      <c r="V34" s="660" t="s">
        <v>14</v>
      </c>
      <c r="W34" s="661">
        <f t="shared" si="14"/>
        <v>100</v>
      </c>
      <c r="X34" s="662"/>
      <c r="Y34" s="3429"/>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3"/>
      <c r="M35" s="854"/>
      <c r="N35" s="854"/>
      <c r="O35" s="862"/>
      <c r="P35" s="3429" t="s">
        <v>1693</v>
      </c>
      <c r="Q35" s="1252" t="str">
        <f t="shared" si="11"/>
        <v>市政基础设施</v>
      </c>
      <c r="R35" s="663" t="s">
        <v>14</v>
      </c>
      <c r="S35" s="664">
        <f t="shared" si="12"/>
        <v>100</v>
      </c>
      <c r="T35" s="663" t="s">
        <v>14</v>
      </c>
      <c r="U35" s="664">
        <f t="shared" si="13"/>
        <v>100</v>
      </c>
      <c r="V35" s="663" t="s">
        <v>14</v>
      </c>
      <c r="W35" s="664">
        <f t="shared" si="14"/>
        <v>100</v>
      </c>
      <c r="X35" s="1254"/>
      <c r="Y35" s="3429" t="s">
        <v>1693</v>
      </c>
      <c r="Z35" s="1253" t="str">
        <f t="shared" si="15"/>
        <v>市政基础设施</v>
      </c>
      <c r="AA35" s="1253">
        <f t="shared" si="3"/>
        <v>1</v>
      </c>
      <c r="AB35" s="1253">
        <f t="shared" si="4"/>
        <v>1</v>
      </c>
      <c r="AC35" s="125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3"/>
      <c r="M36" s="854"/>
      <c r="N36" s="854"/>
      <c r="O36" s="862"/>
      <c r="P36" s="3429"/>
      <c r="Q36" s="1252" t="str">
        <f t="shared" si="11"/>
        <v>内部装修</v>
      </c>
      <c r="R36" s="663" t="s">
        <v>14</v>
      </c>
      <c r="S36" s="664">
        <f t="shared" si="12"/>
        <v>100</v>
      </c>
      <c r="T36" s="663" t="s">
        <v>14</v>
      </c>
      <c r="U36" s="664">
        <f t="shared" si="13"/>
        <v>100</v>
      </c>
      <c r="V36" s="663" t="s">
        <v>14</v>
      </c>
      <c r="W36" s="664">
        <f t="shared" si="14"/>
        <v>100</v>
      </c>
      <c r="X36" s="1254"/>
      <c r="Y36" s="3429"/>
      <c r="Z36" s="1253" t="str">
        <f t="shared" si="15"/>
        <v>内部装修</v>
      </c>
      <c r="AA36" s="1253">
        <f t="shared" si="3"/>
        <v>1</v>
      </c>
      <c r="AB36" s="1253">
        <f t="shared" si="4"/>
        <v>1</v>
      </c>
      <c r="AC36" s="125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3"/>
      <c r="M37" s="854"/>
      <c r="N37" s="854"/>
      <c r="O37" s="862"/>
      <c r="P37" s="3429"/>
      <c r="Q37" s="1252" t="str">
        <f t="shared" si="11"/>
        <v>内部装修状况</v>
      </c>
      <c r="R37" s="663" t="s">
        <v>14</v>
      </c>
      <c r="S37" s="664">
        <f t="shared" si="12"/>
        <v>100</v>
      </c>
      <c r="T37" s="663" t="s">
        <v>14</v>
      </c>
      <c r="U37" s="664">
        <f t="shared" si="13"/>
        <v>100</v>
      </c>
      <c r="V37" s="663" t="s">
        <v>14</v>
      </c>
      <c r="W37" s="664">
        <f t="shared" si="14"/>
        <v>100</v>
      </c>
      <c r="X37" s="1254"/>
      <c r="Y37" s="3429"/>
      <c r="Z37" s="1253" t="str">
        <f t="shared" si="15"/>
        <v>内部装修状况</v>
      </c>
      <c r="AA37" s="1253">
        <f t="shared" si="3"/>
        <v>1</v>
      </c>
      <c r="AB37" s="1253">
        <f t="shared" si="4"/>
        <v>1</v>
      </c>
      <c r="AC37" s="1253">
        <f t="shared" si="5"/>
        <v>1</v>
      </c>
    </row>
    <row r="38" spans="1:29" s="407" customFormat="1" ht="15">
      <c r="A38" s="405"/>
      <c r="B38" s="1056">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1"/>
      <c r="M38" s="864"/>
      <c r="N38" s="864"/>
      <c r="O38" s="865"/>
      <c r="P38" s="3429"/>
      <c r="Q38" s="530">
        <f t="shared" si="11"/>
        <v>111</v>
      </c>
      <c r="R38" s="665" t="s">
        <v>14</v>
      </c>
      <c r="S38" s="666">
        <f t="shared" si="12"/>
        <v>100</v>
      </c>
      <c r="T38" s="665" t="s">
        <v>14</v>
      </c>
      <c r="U38" s="666">
        <f t="shared" si="13"/>
        <v>100</v>
      </c>
      <c r="V38" s="665" t="s">
        <v>14</v>
      </c>
      <c r="W38" s="666">
        <f t="shared" si="14"/>
        <v>100</v>
      </c>
      <c r="X38" s="667"/>
      <c r="Y38" s="3429"/>
      <c r="Z38" s="668">
        <f t="shared" si="15"/>
        <v>111</v>
      </c>
      <c r="AA38" s="1253">
        <f t="shared" si="3"/>
        <v>1</v>
      </c>
      <c r="AB38" s="1253">
        <f t="shared" si="4"/>
        <v>1</v>
      </c>
      <c r="AC38" s="1253">
        <f t="shared" si="5"/>
        <v>1</v>
      </c>
    </row>
    <row r="39" spans="1:29" ht="15">
      <c r="A39" s="408"/>
      <c r="B39" s="1056">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3"/>
      <c r="M39" s="854"/>
      <c r="N39" s="854"/>
      <c r="O39" s="862"/>
      <c r="P39" s="3429"/>
      <c r="Q39" s="1252">
        <f t="shared" si="11"/>
        <v>111</v>
      </c>
      <c r="R39" s="663" t="s">
        <v>14</v>
      </c>
      <c r="S39" s="664">
        <f t="shared" si="12"/>
        <v>100</v>
      </c>
      <c r="T39" s="663" t="s">
        <v>14</v>
      </c>
      <c r="U39" s="664">
        <f t="shared" si="13"/>
        <v>100</v>
      </c>
      <c r="V39" s="663" t="s">
        <v>14</v>
      </c>
      <c r="W39" s="664">
        <f t="shared" si="14"/>
        <v>100</v>
      </c>
      <c r="X39" s="1254"/>
      <c r="Y39" s="3429"/>
      <c r="Z39" s="1253">
        <f t="shared" si="15"/>
        <v>111</v>
      </c>
      <c r="AA39" s="1253">
        <f t="shared" si="3"/>
        <v>1</v>
      </c>
      <c r="AB39" s="1253">
        <f t="shared" si="4"/>
        <v>1</v>
      </c>
      <c r="AC39" s="1253">
        <f t="shared" si="5"/>
        <v>1</v>
      </c>
    </row>
    <row r="40" spans="1:29" ht="15.75" thickBot="1">
      <c r="A40" s="414"/>
      <c r="B40" s="173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3"/>
      <c r="M40" s="854"/>
      <c r="N40" s="854"/>
      <c r="O40" s="862"/>
      <c r="P40" s="3430"/>
      <c r="Q40" s="1252">
        <f t="shared" si="11"/>
        <v>111</v>
      </c>
      <c r="R40" s="663" t="s">
        <v>14</v>
      </c>
      <c r="S40" s="664">
        <f t="shared" si="12"/>
        <v>100</v>
      </c>
      <c r="T40" s="663" t="s">
        <v>14</v>
      </c>
      <c r="U40" s="664">
        <f t="shared" si="13"/>
        <v>100</v>
      </c>
      <c r="V40" s="663" t="s">
        <v>14</v>
      </c>
      <c r="W40" s="664">
        <f t="shared" si="14"/>
        <v>100</v>
      </c>
      <c r="X40" s="1254"/>
      <c r="Y40" s="3430"/>
      <c r="Z40" s="1253">
        <f t="shared" si="15"/>
        <v>111</v>
      </c>
      <c r="AA40" s="1253">
        <f t="shared" si="3"/>
        <v>1</v>
      </c>
      <c r="AB40" s="1253">
        <f t="shared" si="4"/>
        <v>1</v>
      </c>
      <c r="AC40" s="1253">
        <f t="shared" si="5"/>
        <v>1</v>
      </c>
    </row>
    <row r="41" spans="1:29" ht="15">
      <c r="A41" s="415" t="s">
        <v>1705</v>
      </c>
      <c r="B41" s="416"/>
      <c r="C41" s="1071" t="s">
        <v>0</v>
      </c>
      <c r="D41" s="417"/>
      <c r="E41" s="418"/>
      <c r="F41" s="419"/>
      <c r="G41" s="420"/>
      <c r="H41" s="421"/>
      <c r="I41" s="418"/>
      <c r="J41" s="421"/>
      <c r="K41" s="670"/>
      <c r="L41" s="866"/>
      <c r="M41" s="854"/>
      <c r="N41" s="854"/>
      <c r="O41" s="854"/>
      <c r="P41" s="3431" t="str">
        <f>A41</f>
        <v>成交单价（元/平方米）</v>
      </c>
      <c r="Q41" s="3431"/>
      <c r="R41" s="3419">
        <f>E41</f>
        <v>0</v>
      </c>
      <c r="S41" s="3419"/>
      <c r="T41" s="3419">
        <f>G41</f>
        <v>0</v>
      </c>
      <c r="U41" s="3419"/>
      <c r="V41" s="3419">
        <f>I41</f>
        <v>0</v>
      </c>
      <c r="W41" s="3419"/>
      <c r="X41" s="384"/>
      <c r="Y41" s="669"/>
      <c r="Z41" s="384"/>
      <c r="AA41" s="384"/>
      <c r="AB41" s="384"/>
      <c r="AC41" s="384"/>
    </row>
    <row r="42" spans="1:29" ht="15.75" thickBot="1">
      <c r="A42" s="422" t="s">
        <v>1790</v>
      </c>
      <c r="B42" s="423"/>
      <c r="C42" s="1072" t="e">
        <f>R43</f>
        <v>#DIV/0!</v>
      </c>
      <c r="D42" s="2130" t="s">
        <v>2130</v>
      </c>
      <c r="E42" s="1073" t="e">
        <f>R42</f>
        <v>#DIV/0!</v>
      </c>
      <c r="F42" s="2131"/>
      <c r="G42" s="1072" t="e">
        <f>T42</f>
        <v>#DIV/0!</v>
      </c>
      <c r="H42" s="2131"/>
      <c r="I42" s="1073" t="e">
        <f>V42</f>
        <v>#DIV/0!</v>
      </c>
      <c r="J42" s="2131"/>
      <c r="K42" s="2133">
        <f>F42+H42+J42</f>
        <v>0</v>
      </c>
      <c r="L42" s="866"/>
      <c r="M42" s="854"/>
      <c r="N42" s="854"/>
      <c r="O42" s="854"/>
      <c r="P42" s="3431" t="str">
        <f>A42</f>
        <v>比较价值（元/平方米）</v>
      </c>
      <c r="Q42" s="3431"/>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4"/>
      <c r="Y42" s="384"/>
      <c r="Z42" s="384"/>
      <c r="AA42" s="384"/>
      <c r="AB42" s="384"/>
      <c r="AC42" s="384"/>
    </row>
    <row r="43" spans="1:29" ht="15.75" thickBot="1">
      <c r="A43" s="426" t="s">
        <v>1791</v>
      </c>
      <c r="B43" s="427"/>
      <c r="C43" s="350" t="e">
        <f>R43</f>
        <v>#DIV/0!</v>
      </c>
      <c r="D43" s="350"/>
      <c r="E43" s="350"/>
      <c r="F43" s="350"/>
      <c r="G43" s="350"/>
      <c r="H43" s="350"/>
      <c r="I43" s="350"/>
      <c r="J43" s="350"/>
      <c r="K43" s="671"/>
      <c r="L43" s="866"/>
      <c r="M43" s="854"/>
      <c r="N43" s="854"/>
      <c r="O43" s="854"/>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4"/>
      <c r="Y43" s="384"/>
      <c r="Z43" s="384"/>
      <c r="AA43" s="384"/>
      <c r="AB43" s="384"/>
      <c r="AC43" s="384"/>
    </row>
    <row r="44" spans="1:29">
      <c r="A44" s="2475"/>
      <c r="B44" s="2475"/>
      <c r="C44" s="2475"/>
      <c r="D44" s="2475"/>
      <c r="E44" s="2475"/>
      <c r="F44" s="2475"/>
      <c r="G44" s="2486"/>
      <c r="H44" s="2475"/>
      <c r="I44" s="2475"/>
      <c r="J44" s="2475"/>
      <c r="K44" s="2487"/>
      <c r="L44" s="830"/>
      <c r="M44" s="854"/>
      <c r="N44" s="854"/>
      <c r="O44" s="854"/>
    </row>
    <row r="45" spans="1:29">
      <c r="A45" s="2475"/>
      <c r="B45" s="2475"/>
      <c r="C45" s="2475"/>
      <c r="D45" s="2475"/>
      <c r="E45" s="2475"/>
      <c r="F45" s="2475"/>
      <c r="G45" s="2475"/>
      <c r="H45" s="2475"/>
      <c r="I45" s="2475"/>
      <c r="J45" s="2475"/>
      <c r="K45" s="2487"/>
      <c r="L45" s="830"/>
      <c r="M45" s="854"/>
      <c r="N45" s="854"/>
      <c r="O45" s="854"/>
    </row>
    <row r="46" spans="1:29"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830"/>
      <c r="M46" s="854"/>
      <c r="N46" s="854"/>
      <c r="O46" s="854"/>
    </row>
    <row r="47" spans="1:29"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830"/>
      <c r="M47" s="854"/>
      <c r="N47" s="854"/>
      <c r="O47" s="854"/>
    </row>
    <row r="48" spans="1:29"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869"/>
      <c r="M48" s="867"/>
      <c r="N48" s="867"/>
      <c r="O48" s="867"/>
    </row>
    <row r="49" spans="1:17" s="436" customFormat="1">
      <c r="A49" s="2485"/>
      <c r="B49" s="2488"/>
      <c r="C49" s="2489"/>
      <c r="D49" s="2485"/>
      <c r="E49" s="2485"/>
      <c r="F49" s="2485"/>
      <c r="G49" s="2485"/>
      <c r="H49" s="2485"/>
      <c r="I49" s="2485"/>
      <c r="J49" s="2485"/>
      <c r="K49" s="2490"/>
      <c r="L49" s="869"/>
      <c r="M49" s="867"/>
      <c r="N49" s="867"/>
      <c r="O49" s="867"/>
    </row>
    <row r="50" spans="1:17">
      <c r="A50" s="2475"/>
      <c r="B50" s="2488"/>
      <c r="C50" s="2489"/>
      <c r="D50" s="2475"/>
      <c r="E50" s="2475"/>
      <c r="F50" s="2475"/>
      <c r="G50" s="2475"/>
      <c r="H50" s="2475"/>
      <c r="I50" s="2475"/>
      <c r="J50" s="2475"/>
      <c r="K50" s="2487"/>
      <c r="L50" s="830"/>
      <c r="M50" s="854"/>
      <c r="N50" s="854"/>
      <c r="O50" s="854"/>
    </row>
    <row r="51" spans="1:17" ht="21.75" thickBot="1">
      <c r="A51" s="654" t="s">
        <v>1795</v>
      </c>
      <c r="B51" s="384"/>
      <c r="C51" s="655"/>
      <c r="D51" s="655"/>
      <c r="E51" s="655"/>
      <c r="F51" s="656"/>
      <c r="G51" s="656"/>
      <c r="H51" s="655"/>
      <c r="I51" s="655"/>
      <c r="J51" s="655"/>
      <c r="K51" s="880"/>
      <c r="L51" s="881"/>
      <c r="M51" s="879"/>
      <c r="N51" s="879"/>
      <c r="O51" s="879"/>
      <c r="P51" s="437"/>
      <c r="Q51" s="438"/>
    </row>
    <row r="52" spans="1:17" s="441" customFormat="1" ht="15">
      <c r="A52" s="439" t="s">
        <v>1676</v>
      </c>
      <c r="B52" s="440"/>
      <c r="C52" s="1093" t="str">
        <f>YEAR(C7)&amp;"-"&amp;MONTH(C7)</f>
        <v>2024-10</v>
      </c>
      <c r="D52" s="1094">
        <f>EDATE(C52,-1)</f>
        <v>45536</v>
      </c>
      <c r="E52" s="1094">
        <f t="shared" ref="E52:O52" si="16">EDATE(D52,-1)</f>
        <v>45505</v>
      </c>
      <c r="F52" s="1094">
        <f t="shared" si="16"/>
        <v>45474</v>
      </c>
      <c r="G52" s="1094">
        <f t="shared" si="16"/>
        <v>45444</v>
      </c>
      <c r="H52" s="1094">
        <f t="shared" si="16"/>
        <v>45413</v>
      </c>
      <c r="I52" s="1094">
        <f t="shared" si="16"/>
        <v>45383</v>
      </c>
      <c r="J52" s="1094">
        <f t="shared" si="16"/>
        <v>45352</v>
      </c>
      <c r="K52" s="1094">
        <f t="shared" si="16"/>
        <v>45323</v>
      </c>
      <c r="L52" s="1094">
        <f t="shared" si="16"/>
        <v>45292</v>
      </c>
      <c r="M52" s="1094">
        <f t="shared" si="16"/>
        <v>45261</v>
      </c>
      <c r="N52" s="1094">
        <f t="shared" si="16"/>
        <v>45231</v>
      </c>
      <c r="O52" s="1094">
        <f t="shared" si="16"/>
        <v>45200</v>
      </c>
    </row>
    <row r="53" spans="1:17" s="102" customFormat="1" ht="15">
      <c r="A53" s="442"/>
      <c r="B53" s="443"/>
      <c r="C53" s="1092">
        <v>100</v>
      </c>
      <c r="D53" s="445"/>
      <c r="E53" s="445"/>
      <c r="F53" s="445"/>
      <c r="G53" s="445"/>
      <c r="H53" s="445"/>
      <c r="I53" s="445"/>
      <c r="J53" s="445"/>
      <c r="K53" s="445"/>
      <c r="L53" s="445"/>
      <c r="M53" s="446"/>
      <c r="N53" s="445"/>
      <c r="O53" s="447"/>
      <c r="P53" s="438"/>
    </row>
    <row r="54" spans="1:17" s="102" customFormat="1" ht="15.75" thickBot="1">
      <c r="A54" s="448" t="s">
        <v>1713</v>
      </c>
      <c r="B54" s="449"/>
      <c r="C54" s="450"/>
      <c r="D54" s="451"/>
      <c r="E54" s="451"/>
      <c r="F54" s="451"/>
      <c r="G54" s="451"/>
      <c r="H54" s="451"/>
      <c r="I54" s="451"/>
      <c r="J54" s="451"/>
      <c r="K54" s="451"/>
      <c r="L54" s="451"/>
      <c r="M54" s="452"/>
      <c r="N54" s="2526"/>
      <c r="O54" s="2527"/>
      <c r="P54" s="438"/>
      <c r="Q54" s="438"/>
    </row>
    <row r="55" spans="1:17" s="102" customFormat="1" ht="15">
      <c r="A55" s="454" t="s">
        <v>1678</v>
      </c>
      <c r="B55" s="443"/>
      <c r="C55" s="455" t="s">
        <v>1773</v>
      </c>
      <c r="D55" s="31"/>
      <c r="E55" s="31"/>
      <c r="F55" s="31"/>
      <c r="G55" s="31"/>
      <c r="H55" s="31"/>
      <c r="I55" s="31"/>
      <c r="J55" s="31"/>
      <c r="K55" s="31"/>
      <c r="L55" s="456"/>
      <c r="M55" s="457"/>
      <c r="N55" s="871"/>
      <c r="O55" s="871"/>
      <c r="P55" s="458"/>
      <c r="Q55" s="438"/>
    </row>
    <row r="56" spans="1:17" s="102" customFormat="1" ht="15.75" thickBot="1">
      <c r="A56" s="454"/>
      <c r="B56" s="443"/>
      <c r="C56" s="562">
        <v>100</v>
      </c>
      <c r="D56" s="445"/>
      <c r="E56" s="445"/>
      <c r="F56" s="445"/>
      <c r="G56" s="445"/>
      <c r="H56" s="445"/>
      <c r="I56" s="445"/>
      <c r="J56" s="445"/>
      <c r="K56" s="445"/>
      <c r="L56" s="445"/>
      <c r="M56" s="447"/>
      <c r="N56" s="871"/>
      <c r="O56" s="871"/>
      <c r="P56" s="438"/>
      <c r="Q56" s="438"/>
    </row>
    <row r="57" spans="1:17">
      <c r="A57" s="378" t="s">
        <v>1716</v>
      </c>
      <c r="B57" s="459" t="s">
        <v>1682</v>
      </c>
      <c r="C57" s="460">
        <f>C9</f>
        <v>0</v>
      </c>
      <c r="D57" s="461"/>
      <c r="E57" s="461"/>
      <c r="F57" s="461"/>
      <c r="G57" s="461"/>
      <c r="H57" s="461"/>
      <c r="I57" s="461"/>
      <c r="J57" s="461"/>
      <c r="K57" s="462"/>
      <c r="L57" s="463"/>
      <c r="M57" s="464"/>
      <c r="N57" s="872"/>
      <c r="O57" s="872"/>
      <c r="P57" s="40"/>
      <c r="Q57" s="438"/>
    </row>
    <row r="58" spans="1:17" ht="15.75" thickBot="1">
      <c r="A58" s="366"/>
      <c r="B58" s="465"/>
      <c r="C58" s="466">
        <v>100</v>
      </c>
      <c r="D58" s="466"/>
      <c r="E58" s="466"/>
      <c r="F58" s="466"/>
      <c r="G58" s="466"/>
      <c r="H58" s="466"/>
      <c r="I58" s="466"/>
      <c r="J58" s="466"/>
      <c r="K58" s="466"/>
      <c r="L58" s="466"/>
      <c r="M58" s="467"/>
      <c r="N58" s="873"/>
      <c r="O58" s="873"/>
      <c r="P58" s="40"/>
      <c r="Q58" s="438"/>
    </row>
    <row r="59" spans="1:17" ht="27.75" thickTop="1">
      <c r="A59" s="366"/>
      <c r="B59" s="468" t="s">
        <v>1685</v>
      </c>
      <c r="C59" s="512"/>
      <c r="D59" s="512"/>
      <c r="E59" s="512"/>
      <c r="F59" s="512"/>
      <c r="G59" s="512"/>
      <c r="H59" s="512"/>
      <c r="I59" s="512"/>
      <c r="J59" s="512"/>
      <c r="K59" s="513"/>
      <c r="L59" s="514"/>
      <c r="M59" s="515"/>
      <c r="N59" s="872"/>
      <c r="O59" s="872"/>
      <c r="P59" s="40"/>
      <c r="Q59" s="438"/>
    </row>
    <row r="60" spans="1:17" ht="15.75" thickBot="1">
      <c r="A60" s="366"/>
      <c r="B60" s="473"/>
      <c r="C60" s="466"/>
      <c r="D60" s="466"/>
      <c r="E60" s="466"/>
      <c r="F60" s="466"/>
      <c r="G60" s="466"/>
      <c r="H60" s="466"/>
      <c r="I60" s="466"/>
      <c r="J60" s="466"/>
      <c r="K60" s="466"/>
      <c r="L60" s="466"/>
      <c r="M60" s="467"/>
      <c r="N60" s="873"/>
      <c r="O60" s="873"/>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3"/>
      <c r="O61" s="873"/>
      <c r="P61" s="40"/>
      <c r="Q61" s="438"/>
    </row>
    <row r="62" spans="1:17" ht="15">
      <c r="A62" s="366"/>
      <c r="B62" s="478"/>
      <c r="C62" s="479">
        <v>0</v>
      </c>
      <c r="D62" s="479">
        <v>2</v>
      </c>
      <c r="E62" s="479"/>
      <c r="F62" s="479"/>
      <c r="G62" s="479"/>
      <c r="H62" s="479"/>
      <c r="I62" s="479"/>
      <c r="J62" s="479"/>
      <c r="K62" s="480"/>
      <c r="L62" s="481"/>
      <c r="M62" s="482"/>
      <c r="N62" s="872"/>
      <c r="O62" s="872"/>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3"/>
      <c r="O63" s="873"/>
      <c r="P63" s="40"/>
      <c r="Q63" s="438"/>
    </row>
    <row r="64" spans="1:17" s="407" customFormat="1" ht="15.75" thickTop="1">
      <c r="A64" s="483"/>
      <c r="B64" s="468">
        <f>B12</f>
        <v>111</v>
      </c>
      <c r="C64" s="484"/>
      <c r="D64" s="484"/>
      <c r="E64" s="484"/>
      <c r="F64" s="484"/>
      <c r="G64" s="484"/>
      <c r="H64" s="485"/>
      <c r="I64" s="485"/>
      <c r="J64" s="485"/>
      <c r="K64" s="485"/>
      <c r="L64" s="486"/>
      <c r="M64" s="487"/>
      <c r="N64" s="874"/>
      <c r="O64" s="874"/>
      <c r="P64" s="488"/>
      <c r="Q64" s="489"/>
    </row>
    <row r="65" spans="1:17" s="407" customFormat="1" ht="15.75" thickBot="1">
      <c r="A65" s="483"/>
      <c r="B65" s="473"/>
      <c r="C65" s="490"/>
      <c r="D65" s="466"/>
      <c r="E65" s="466"/>
      <c r="F65" s="466"/>
      <c r="G65" s="466"/>
      <c r="H65" s="466"/>
      <c r="I65" s="466"/>
      <c r="J65" s="466"/>
      <c r="K65" s="466"/>
      <c r="L65" s="466"/>
      <c r="M65" s="467"/>
      <c r="N65" s="873"/>
      <c r="O65" s="873"/>
      <c r="P65" s="488"/>
      <c r="Q65" s="489"/>
    </row>
    <row r="66" spans="1:17" s="407" customFormat="1" ht="15.75" thickTop="1">
      <c r="A66" s="483"/>
      <c r="B66" s="468">
        <f>B13</f>
        <v>111</v>
      </c>
      <c r="C66" s="484"/>
      <c r="D66" s="484"/>
      <c r="E66" s="484"/>
      <c r="F66" s="484"/>
      <c r="G66" s="484"/>
      <c r="H66" s="485"/>
      <c r="I66" s="485"/>
      <c r="J66" s="485"/>
      <c r="K66" s="485"/>
      <c r="L66" s="486"/>
      <c r="M66" s="487"/>
      <c r="N66" s="874"/>
      <c r="O66" s="874"/>
      <c r="Q66" s="491"/>
    </row>
    <row r="67" spans="1:17" s="407" customFormat="1" ht="15.75" thickBot="1">
      <c r="A67" s="483"/>
      <c r="B67" s="473"/>
      <c r="C67" s="490"/>
      <c r="D67" s="466"/>
      <c r="E67" s="466"/>
      <c r="F67" s="466"/>
      <c r="G67" s="490"/>
      <c r="H67" s="492"/>
      <c r="I67" s="492"/>
      <c r="J67" s="492"/>
      <c r="K67" s="492"/>
      <c r="L67" s="492"/>
      <c r="M67" s="493"/>
      <c r="N67" s="874"/>
      <c r="O67" s="874"/>
      <c r="P67" s="488"/>
      <c r="Q67" s="489"/>
    </row>
    <row r="68" spans="1:17" s="407" customFormat="1" ht="15.75" thickTop="1">
      <c r="A68" s="483"/>
      <c r="B68" s="476">
        <f>B14</f>
        <v>111</v>
      </c>
      <c r="C68" s="31"/>
      <c r="D68" s="31"/>
      <c r="E68" s="31"/>
      <c r="F68" s="31"/>
      <c r="G68" s="31"/>
      <c r="H68" s="494"/>
      <c r="I68" s="494"/>
      <c r="J68" s="494"/>
      <c r="K68" s="494"/>
      <c r="L68" s="495"/>
      <c r="M68" s="496"/>
      <c r="N68" s="874"/>
      <c r="O68" s="874"/>
      <c r="P68" s="497"/>
      <c r="Q68" s="489"/>
    </row>
    <row r="69" spans="1:17" s="407" customFormat="1" ht="15.75" thickBot="1">
      <c r="A69" s="498"/>
      <c r="B69" s="499"/>
      <c r="C69" s="500"/>
      <c r="D69" s="500"/>
      <c r="E69" s="500"/>
      <c r="F69" s="500"/>
      <c r="G69" s="500"/>
      <c r="H69" s="501"/>
      <c r="I69" s="501"/>
      <c r="J69" s="501"/>
      <c r="K69" s="501"/>
      <c r="L69" s="501"/>
      <c r="M69" s="502"/>
      <c r="N69" s="874"/>
      <c r="O69" s="874"/>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2"/>
      <c r="O70" s="872"/>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3"/>
      <c r="O71" s="873"/>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2"/>
      <c r="O72" s="872"/>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3"/>
      <c r="O73" s="873"/>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2"/>
      <c r="O74" s="872"/>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3"/>
      <c r="O75" s="873"/>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53"/>
      <c r="N76" s="873"/>
      <c r="O76" s="873"/>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3"/>
      <c r="O77" s="873"/>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2"/>
      <c r="O78" s="872"/>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3"/>
      <c r="O79" s="873"/>
      <c r="P79" s="40"/>
      <c r="Q79" s="438"/>
    </row>
    <row r="80" spans="1:17" s="102" customFormat="1" ht="15.75" thickTop="1">
      <c r="A80" s="369"/>
      <c r="B80" s="468">
        <f>B25</f>
        <v>111</v>
      </c>
      <c r="C80" s="484"/>
      <c r="D80" s="484"/>
      <c r="E80" s="484"/>
      <c r="F80" s="484"/>
      <c r="G80" s="484"/>
      <c r="H80" s="484"/>
      <c r="I80" s="484"/>
      <c r="J80" s="484"/>
      <c r="K80" s="484"/>
      <c r="L80" s="509"/>
      <c r="M80" s="510"/>
      <c r="N80" s="871"/>
      <c r="O80" s="871"/>
      <c r="P80" s="40"/>
      <c r="Q80" s="438"/>
    </row>
    <row r="81" spans="1:17" s="102" customFormat="1" ht="15.75" thickBot="1">
      <c r="A81" s="369"/>
      <c r="B81" s="473"/>
      <c r="C81" s="490"/>
      <c r="D81" s="466"/>
      <c r="E81" s="466"/>
      <c r="F81" s="466"/>
      <c r="G81" s="466"/>
      <c r="H81" s="466"/>
      <c r="I81" s="466"/>
      <c r="J81" s="466"/>
      <c r="K81" s="466"/>
      <c r="L81" s="466"/>
      <c r="M81" s="467"/>
      <c r="N81" s="873"/>
      <c r="O81" s="873"/>
      <c r="P81" s="40"/>
      <c r="Q81" s="438"/>
    </row>
    <row r="82" spans="1:17" s="102" customFormat="1" ht="15.75" thickTop="1">
      <c r="A82" s="369"/>
      <c r="B82" s="468">
        <f>B26</f>
        <v>111</v>
      </c>
      <c r="C82" s="484"/>
      <c r="D82" s="484"/>
      <c r="E82" s="484"/>
      <c r="F82" s="484"/>
      <c r="G82" s="484"/>
      <c r="H82" s="484"/>
      <c r="I82" s="484"/>
      <c r="J82" s="484"/>
      <c r="K82" s="484"/>
      <c r="L82" s="509"/>
      <c r="M82" s="510"/>
      <c r="N82" s="871"/>
      <c r="O82" s="871"/>
      <c r="P82" s="40"/>
      <c r="Q82" s="438"/>
    </row>
    <row r="83" spans="1:17" s="102" customFormat="1" ht="15.75" thickBot="1">
      <c r="A83" s="369"/>
      <c r="B83" s="473"/>
      <c r="C83" s="490"/>
      <c r="D83" s="466"/>
      <c r="E83" s="466"/>
      <c r="F83" s="466"/>
      <c r="G83" s="466"/>
      <c r="H83" s="466"/>
      <c r="I83" s="466"/>
      <c r="J83" s="466"/>
      <c r="K83" s="466"/>
      <c r="L83" s="466"/>
      <c r="M83" s="467"/>
      <c r="N83" s="873"/>
      <c r="O83" s="873"/>
      <c r="P83" s="40"/>
      <c r="Q83" s="438"/>
    </row>
    <row r="84" spans="1:17" s="407" customFormat="1" ht="15.75" thickTop="1">
      <c r="A84" s="483"/>
      <c r="B84" s="468">
        <f>B27</f>
        <v>111</v>
      </c>
      <c r="C84" s="484"/>
      <c r="D84" s="484"/>
      <c r="E84" s="484"/>
      <c r="F84" s="484"/>
      <c r="G84" s="484"/>
      <c r="H84" s="484"/>
      <c r="I84" s="484"/>
      <c r="J84" s="484"/>
      <c r="K84" s="484"/>
      <c r="L84" s="509"/>
      <c r="M84" s="510"/>
      <c r="N84" s="874"/>
      <c r="O84" s="874"/>
      <c r="P84" s="488"/>
      <c r="Q84" s="489"/>
    </row>
    <row r="85" spans="1:17" s="407" customFormat="1" ht="15.75" thickBot="1">
      <c r="A85" s="483"/>
      <c r="B85" s="473"/>
      <c r="C85" s="490"/>
      <c r="D85" s="466"/>
      <c r="E85" s="466"/>
      <c r="F85" s="466"/>
      <c r="G85" s="466"/>
      <c r="H85" s="466"/>
      <c r="I85" s="466"/>
      <c r="J85" s="466"/>
      <c r="K85" s="466"/>
      <c r="L85" s="466"/>
      <c r="M85" s="467"/>
      <c r="N85" s="874"/>
      <c r="O85" s="874"/>
      <c r="P85" s="488"/>
      <c r="Q85" s="489"/>
    </row>
    <row r="86" spans="1:17" ht="15.75" thickTop="1">
      <c r="A86" s="366"/>
      <c r="B86" s="476">
        <f>B28</f>
        <v>111</v>
      </c>
      <c r="C86" s="31"/>
      <c r="D86" s="31"/>
      <c r="E86" s="31"/>
      <c r="F86" s="31"/>
      <c r="G86" s="516"/>
      <c r="H86" s="516"/>
      <c r="I86" s="516"/>
      <c r="J86" s="516"/>
      <c r="K86" s="517"/>
      <c r="L86" s="518"/>
      <c r="M86" s="519"/>
      <c r="N86" s="872"/>
      <c r="O86" s="872"/>
      <c r="P86" s="40"/>
      <c r="Q86" s="438"/>
    </row>
    <row r="87" spans="1:17" ht="15.75" thickBot="1">
      <c r="A87" s="374"/>
      <c r="B87" s="499"/>
      <c r="C87" s="500"/>
      <c r="D87" s="500"/>
      <c r="E87" s="500"/>
      <c r="F87" s="500"/>
      <c r="G87" s="520"/>
      <c r="H87" s="520"/>
      <c r="I87" s="520"/>
      <c r="J87" s="520"/>
      <c r="K87" s="520"/>
      <c r="L87" s="520"/>
      <c r="M87" s="521"/>
      <c r="N87" s="873"/>
      <c r="O87" s="873"/>
      <c r="P87" s="40"/>
      <c r="Q87" s="438"/>
    </row>
    <row r="88" spans="1:17">
      <c r="A88" s="378" t="s">
        <v>1691</v>
      </c>
      <c r="B88" s="459" t="s">
        <v>1733</v>
      </c>
      <c r="C88" s="461"/>
      <c r="D88" s="461"/>
      <c r="E88" s="461"/>
      <c r="F88" s="461"/>
      <c r="G88" s="461"/>
      <c r="H88" s="461"/>
      <c r="I88" s="461"/>
      <c r="J88" s="461"/>
      <c r="K88" s="462"/>
      <c r="L88" s="463"/>
      <c r="M88" s="464"/>
      <c r="N88" s="872"/>
      <c r="O88" s="872"/>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3"/>
      <c r="O89" s="873"/>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1"/>
      <c r="O90" s="871"/>
      <c r="P90" s="40"/>
      <c r="Q90" s="438"/>
    </row>
    <row r="91" spans="1:17" s="407" customFormat="1">
      <c r="A91" s="405"/>
      <c r="B91" s="522"/>
      <c r="C91" s="6"/>
      <c r="D91" s="6"/>
      <c r="E91" s="6"/>
      <c r="F91" s="6"/>
      <c r="G91" s="6"/>
      <c r="H91" s="6"/>
      <c r="I91" s="6"/>
      <c r="J91" s="523"/>
      <c r="K91" s="523"/>
      <c r="L91" s="524"/>
      <c r="M91" s="525"/>
      <c r="N91" s="874"/>
      <c r="O91" s="874"/>
      <c r="P91" s="488"/>
      <c r="Q91" s="489"/>
    </row>
    <row r="92" spans="1:17" s="407" customFormat="1" ht="15.75" thickBot="1">
      <c r="A92" s="483"/>
      <c r="B92" s="473"/>
      <c r="C92" s="490"/>
      <c r="D92" s="466"/>
      <c r="E92" s="466"/>
      <c r="F92" s="466"/>
      <c r="G92" s="466"/>
      <c r="H92" s="466"/>
      <c r="I92" s="466"/>
      <c r="J92" s="466"/>
      <c r="K92" s="466"/>
      <c r="L92" s="466"/>
      <c r="M92" s="467"/>
      <c r="N92" s="873"/>
      <c r="O92" s="873"/>
      <c r="P92" s="488"/>
      <c r="Q92" s="489"/>
    </row>
    <row r="93" spans="1:17" ht="15" thickTop="1">
      <c r="A93" s="408"/>
      <c r="B93" s="468" t="s">
        <v>1735</v>
      </c>
      <c r="C93" s="484"/>
      <c r="D93" s="484"/>
      <c r="E93" s="512"/>
      <c r="F93" s="512"/>
      <c r="G93" s="512"/>
      <c r="H93" s="512"/>
      <c r="I93" s="512"/>
      <c r="J93" s="512"/>
      <c r="K93" s="513"/>
      <c r="L93" s="514"/>
      <c r="M93" s="515"/>
      <c r="N93" s="872"/>
      <c r="O93" s="872"/>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3"/>
      <c r="O94" s="873"/>
      <c r="P94" s="40"/>
      <c r="Q94" s="438"/>
    </row>
    <row r="95" spans="1:17" ht="15" thickTop="1">
      <c r="A95" s="408"/>
      <c r="B95" s="468" t="s">
        <v>1737</v>
      </c>
      <c r="C95" s="484"/>
      <c r="D95" s="484"/>
      <c r="E95" s="484"/>
      <c r="F95" s="512"/>
      <c r="G95" s="512"/>
      <c r="H95" s="512"/>
      <c r="I95" s="512"/>
      <c r="J95" s="512"/>
      <c r="K95" s="513"/>
      <c r="L95" s="514"/>
      <c r="M95" s="515"/>
      <c r="N95" s="872"/>
      <c r="O95" s="872"/>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3"/>
      <c r="O96" s="873"/>
      <c r="P96" s="40"/>
      <c r="Q96" s="438"/>
    </row>
    <row r="97" spans="1:17" ht="15" thickTop="1">
      <c r="A97" s="408"/>
      <c r="B97" s="468" t="s">
        <v>1187</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2"/>
      <c r="O97" s="872"/>
      <c r="P97" s="40"/>
      <c r="Q97" s="438"/>
    </row>
    <row r="98" spans="1:17">
      <c r="A98" s="408"/>
      <c r="B98" s="476"/>
      <c r="C98" s="529">
        <v>0.5</v>
      </c>
      <c r="D98" s="529">
        <v>0.6</v>
      </c>
      <c r="E98" s="529">
        <v>0.7</v>
      </c>
      <c r="F98" s="529">
        <v>0.8</v>
      </c>
      <c r="G98" s="529">
        <v>0.9</v>
      </c>
      <c r="H98" s="529">
        <v>1.0001</v>
      </c>
      <c r="I98" s="547"/>
      <c r="J98" s="547"/>
      <c r="K98" s="548"/>
      <c r="L98" s="549"/>
      <c r="M98" s="550"/>
      <c r="N98" s="872"/>
      <c r="O98" s="872"/>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3"/>
      <c r="O99" s="873"/>
      <c r="P99" s="40"/>
      <c r="Q99" s="438"/>
    </row>
    <row r="100" spans="1:17" s="407" customFormat="1" ht="15" thickTop="1">
      <c r="A100" s="405"/>
      <c r="B100" s="468" t="s">
        <v>1738</v>
      </c>
      <c r="C100" s="484"/>
      <c r="D100" s="484"/>
      <c r="E100" s="484"/>
      <c r="F100" s="484"/>
      <c r="G100" s="484"/>
      <c r="H100" s="512"/>
      <c r="I100" s="512"/>
      <c r="J100" s="512"/>
      <c r="K100" s="513"/>
      <c r="L100" s="514"/>
      <c r="M100" s="515"/>
      <c r="N100" s="874"/>
      <c r="O100" s="874"/>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4"/>
      <c r="O101" s="874"/>
      <c r="P101" s="488"/>
      <c r="Q101" s="489"/>
    </row>
    <row r="102" spans="1:17" ht="15" thickTop="1">
      <c r="A102" s="408"/>
      <c r="B102" s="468" t="s">
        <v>1739</v>
      </c>
      <c r="C102" s="484"/>
      <c r="D102" s="484"/>
      <c r="E102" s="484"/>
      <c r="F102" s="484"/>
      <c r="G102" s="484"/>
      <c r="H102" s="512"/>
      <c r="I102" s="512"/>
      <c r="J102" s="512"/>
      <c r="K102" s="513"/>
      <c r="L102" s="514"/>
      <c r="M102" s="515"/>
      <c r="N102" s="872"/>
      <c r="O102" s="872"/>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3"/>
      <c r="O103" s="873"/>
      <c r="P103" s="40"/>
      <c r="Q103" s="438"/>
    </row>
    <row r="104" spans="1:17" ht="15" thickTop="1">
      <c r="A104" s="408"/>
      <c r="B104" s="468" t="s">
        <v>1741</v>
      </c>
      <c r="C104" s="484"/>
      <c r="D104" s="484"/>
      <c r="E104" s="484"/>
      <c r="F104" s="484"/>
      <c r="G104" s="484"/>
      <c r="H104" s="512"/>
      <c r="I104" s="512"/>
      <c r="J104" s="512"/>
      <c r="K104" s="513"/>
      <c r="L104" s="514"/>
      <c r="M104" s="515"/>
      <c r="N104" s="872"/>
      <c r="O104" s="872"/>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3"/>
      <c r="O105" s="873"/>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3"/>
      <c r="O106" s="873"/>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3"/>
      <c r="O107" s="873"/>
      <c r="P107" s="40"/>
      <c r="Q107" s="438"/>
    </row>
    <row r="108" spans="1:17" s="407" customFormat="1" ht="15" thickTop="1">
      <c r="A108" s="405"/>
      <c r="B108" s="468">
        <f>B38</f>
        <v>111</v>
      </c>
      <c r="C108" s="484"/>
      <c r="D108" s="484"/>
      <c r="E108" s="484"/>
      <c r="F108" s="484"/>
      <c r="G108" s="484"/>
      <c r="H108" s="485"/>
      <c r="I108" s="485"/>
      <c r="J108" s="485"/>
      <c r="K108" s="485"/>
      <c r="L108" s="486"/>
      <c r="M108" s="487"/>
      <c r="N108" s="874"/>
      <c r="O108" s="874"/>
      <c r="P108" s="488"/>
      <c r="Q108" s="489"/>
    </row>
    <row r="109" spans="1:17" s="407" customFormat="1" ht="15.75" thickBot="1">
      <c r="A109" s="483"/>
      <c r="B109" s="465"/>
      <c r="C109" s="490"/>
      <c r="D109" s="466"/>
      <c r="E109" s="466"/>
      <c r="F109" s="466"/>
      <c r="G109" s="490"/>
      <c r="H109" s="492"/>
      <c r="I109" s="492"/>
      <c r="J109" s="492"/>
      <c r="K109" s="492"/>
      <c r="L109" s="492"/>
      <c r="M109" s="493"/>
      <c r="N109" s="874"/>
      <c r="O109" s="874"/>
      <c r="P109" s="488"/>
      <c r="Q109" s="489"/>
    </row>
    <row r="110" spans="1:17" ht="15" thickTop="1">
      <c r="A110" s="408"/>
      <c r="B110" s="468">
        <f>B39</f>
        <v>111</v>
      </c>
      <c r="C110" s="484"/>
      <c r="D110" s="484"/>
      <c r="E110" s="484"/>
      <c r="F110" s="484"/>
      <c r="G110" s="484"/>
      <c r="H110" s="485"/>
      <c r="I110" s="485"/>
      <c r="J110" s="485"/>
      <c r="K110" s="485"/>
      <c r="L110" s="486"/>
      <c r="M110" s="487"/>
      <c r="N110" s="872"/>
      <c r="O110" s="872"/>
      <c r="P110" s="40"/>
      <c r="Q110" s="438"/>
    </row>
    <row r="111" spans="1:17" ht="15.75" thickBot="1">
      <c r="A111" s="366"/>
      <c r="B111" s="473"/>
      <c r="C111" s="490"/>
      <c r="D111" s="466"/>
      <c r="E111" s="466"/>
      <c r="F111" s="466"/>
      <c r="G111" s="490"/>
      <c r="H111" s="492"/>
      <c r="I111" s="492"/>
      <c r="J111" s="492"/>
      <c r="K111" s="492"/>
      <c r="L111" s="492"/>
      <c r="M111" s="493"/>
      <c r="N111" s="873"/>
      <c r="O111" s="873"/>
      <c r="P111" s="40"/>
      <c r="Q111" s="438"/>
    </row>
    <row r="112" spans="1:17" ht="15" thickTop="1">
      <c r="A112" s="408"/>
      <c r="B112" s="476">
        <f>B40</f>
        <v>111</v>
      </c>
      <c r="C112" s="31"/>
      <c r="D112" s="31"/>
      <c r="E112" s="31"/>
      <c r="F112" s="31"/>
      <c r="G112" s="516"/>
      <c r="H112" s="516"/>
      <c r="I112" s="516"/>
      <c r="J112" s="516"/>
      <c r="K112" s="31"/>
      <c r="L112" s="456"/>
      <c r="M112" s="519"/>
      <c r="N112" s="872"/>
      <c r="O112" s="872"/>
      <c r="P112" s="40"/>
      <c r="Q112" s="438"/>
    </row>
    <row r="113" spans="1:17" ht="15.75" thickBot="1">
      <c r="A113" s="374"/>
      <c r="B113" s="499"/>
      <c r="C113" s="500"/>
      <c r="D113" s="500"/>
      <c r="E113" s="500"/>
      <c r="F113" s="500"/>
      <c r="G113" s="520"/>
      <c r="H113" s="520"/>
      <c r="I113" s="520"/>
      <c r="J113" s="520"/>
      <c r="K113" s="520"/>
      <c r="L113" s="520"/>
      <c r="M113" s="521"/>
      <c r="N113" s="873"/>
      <c r="O113" s="873"/>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3323</v>
      </c>
      <c r="C1" s="1131" t="s">
        <v>1659</v>
      </c>
      <c r="D1" s="1132"/>
      <c r="E1" s="3118"/>
      <c r="F1" s="1724"/>
      <c r="G1" s="1134" t="s">
        <v>1764</v>
      </c>
      <c r="H1" s="1133"/>
      <c r="I1" s="1133"/>
      <c r="J1" s="1133"/>
      <c r="K1" s="1135"/>
      <c r="L1" s="1136"/>
      <c r="M1" s="1137"/>
      <c r="N1" s="1137"/>
      <c r="O1" s="1137"/>
      <c r="P1" s="1138"/>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IF(B37="元/平方米",ROUND(C39*D3/10000,0),ROUND(F3*C39/10000,0)),IF(B37="元/平方米",ROUND(C39*D3/10000,0),ROUND(F3*C39/10000,0))-D2),IF(E1="单套模式",IF(C2="——",IF(B37="元/平方米",ROUND(C39*D3/10000,0),ROUND(F3*C39/10000,0)),IF(B37="元/平方米",ROUND(C39*D3/10000,0),ROUND(F3*C39/10000,0))-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1076"/>
      <c r="Q2" s="340"/>
      <c r="R2" s="340"/>
      <c r="S2" s="340"/>
      <c r="T2" s="340"/>
      <c r="U2" s="340"/>
      <c r="V2" s="340"/>
      <c r="W2" s="340"/>
      <c r="X2" s="340"/>
      <c r="Y2" s="340"/>
      <c r="Z2" s="340"/>
      <c r="AA2" s="340"/>
      <c r="AB2" s="340"/>
      <c r="AC2" s="659"/>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48"/>
      <c r="H3" s="848"/>
      <c r="I3" s="848"/>
      <c r="J3" s="848"/>
      <c r="K3" s="850"/>
      <c r="L3" s="2491"/>
      <c r="M3" s="2492" t="e">
        <f ca="1">IF(C2="——",IF(B37="元/平方米",ROUND(C39*D3/10000,0),ROUND(F3*C39/10000,0)),IF(B37="元/平方米",ROUND(C39*D3/10000,0),ROUND(F3*C39/10000,0))-D2)</f>
        <v>#DIV/0!</v>
      </c>
      <c r="N3" s="2492"/>
      <c r="O3" s="2492"/>
      <c r="P3" s="1076"/>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SUMIF(48:48,YEAR(E7)&amp;"-"&amp;MONTH(E7),49:49)</f>
        <v>0</v>
      </c>
      <c r="G7" s="355"/>
      <c r="H7" s="354">
        <f>SUMIF(48:48,YEAR(G7)&amp;"-"&amp;MONTH(G7),49:49)</f>
        <v>0</v>
      </c>
      <c r="I7" s="355"/>
      <c r="J7" s="354">
        <f>SUMIF(48:48,YEAR(I7)&amp;"-"&amp;MONTH(I7),49:49)</f>
        <v>0</v>
      </c>
      <c r="K7" s="38"/>
      <c r="L7" s="2476"/>
      <c r="M7" s="2427"/>
      <c r="N7" s="2427"/>
      <c r="O7" s="2427"/>
      <c r="P7" s="3387" t="s">
        <v>1677</v>
      </c>
      <c r="Q7" s="3421"/>
      <c r="R7" s="660" t="s">
        <v>14</v>
      </c>
      <c r="S7" s="661">
        <f t="shared" ref="S7:S14" si="0">F7</f>
        <v>0</v>
      </c>
      <c r="T7" s="660" t="s">
        <v>14</v>
      </c>
      <c r="U7" s="661">
        <f t="shared" ref="U7:U14" si="1">H7</f>
        <v>0</v>
      </c>
      <c r="V7" s="660" t="s">
        <v>14</v>
      </c>
      <c r="W7" s="661">
        <f t="shared" ref="W7:W14" si="2">J7</f>
        <v>0</v>
      </c>
      <c r="X7" s="662"/>
      <c r="Y7" s="3387" t="s">
        <v>1677</v>
      </c>
      <c r="Z7" s="3388"/>
      <c r="AA7" s="50" t="e">
        <f>D7/F7</f>
        <v>#DIV/0!</v>
      </c>
      <c r="AB7" s="50" t="e">
        <f>D7/H7</f>
        <v>#DIV/0!</v>
      </c>
      <c r="AC7" s="50" t="e">
        <f>D7/J7</f>
        <v>#DIV/0!</v>
      </c>
    </row>
    <row r="8" spans="1:29" s="102"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76"/>
      <c r="M8" s="2427"/>
      <c r="N8" s="2427"/>
      <c r="O8" s="2427"/>
      <c r="P8" s="3387" t="s">
        <v>1680</v>
      </c>
      <c r="Q8" s="3388"/>
      <c r="R8" s="660" t="s">
        <v>14</v>
      </c>
      <c r="S8" s="661">
        <f t="shared" si="0"/>
        <v>100</v>
      </c>
      <c r="T8" s="660" t="s">
        <v>14</v>
      </c>
      <c r="U8" s="661">
        <f t="shared" si="1"/>
        <v>100</v>
      </c>
      <c r="V8" s="660" t="s">
        <v>14</v>
      </c>
      <c r="W8" s="661">
        <f t="shared" si="2"/>
        <v>100</v>
      </c>
      <c r="X8" s="662"/>
      <c r="Y8" s="3387" t="s">
        <v>1680</v>
      </c>
      <c r="Z8" s="3388"/>
      <c r="AA8" s="50">
        <f t="shared" ref="AA8:AA36" si="3">D8/F8</f>
        <v>1</v>
      </c>
      <c r="AB8" s="50">
        <f t="shared" ref="AB8:AB36" si="4">D8/H8</f>
        <v>1</v>
      </c>
      <c r="AC8" s="50">
        <f t="shared" ref="AC8:AC36" si="5">D8/J8</f>
        <v>1</v>
      </c>
    </row>
    <row r="9" spans="1:29" s="102"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76"/>
      <c r="M9" s="2427"/>
      <c r="N9" s="2427"/>
      <c r="O9" s="2427"/>
      <c r="P9" s="3431" t="s">
        <v>1683</v>
      </c>
      <c r="Q9" s="529" t="str">
        <f t="shared" ref="Q9:Q14" si="6">B9</f>
        <v>用途</v>
      </c>
      <c r="R9" s="660" t="s">
        <v>14</v>
      </c>
      <c r="S9" s="661">
        <f t="shared" si="0"/>
        <v>100</v>
      </c>
      <c r="T9" s="660" t="s">
        <v>14</v>
      </c>
      <c r="U9" s="661">
        <f t="shared" si="1"/>
        <v>100</v>
      </c>
      <c r="V9" s="660" t="s">
        <v>14</v>
      </c>
      <c r="W9" s="661">
        <f t="shared" si="2"/>
        <v>100</v>
      </c>
      <c r="X9" s="662"/>
      <c r="Y9" s="3360" t="s">
        <v>1684</v>
      </c>
      <c r="Z9" s="50" t="str">
        <f t="shared" ref="Z9:Z14" si="7">Q9</f>
        <v>用途</v>
      </c>
      <c r="AA9" s="50">
        <f t="shared" si="3"/>
        <v>1</v>
      </c>
      <c r="AB9" s="50">
        <f t="shared" si="4"/>
        <v>1</v>
      </c>
      <c r="AC9" s="50">
        <f t="shared" si="5"/>
        <v>1</v>
      </c>
    </row>
    <row r="10" spans="1:29" s="365" customFormat="1" ht="27">
      <c r="A10" s="564"/>
      <c r="B10" s="565" t="s">
        <v>1685</v>
      </c>
      <c r="C10" s="3119"/>
      <c r="D10" s="118">
        <v>100</v>
      </c>
      <c r="E10" s="3119"/>
      <c r="F10" s="118">
        <f>SUMIF(55:55,E10,56:56)-SUMIF(55:55,C10,56:56)+100</f>
        <v>100</v>
      </c>
      <c r="G10" s="3120"/>
      <c r="H10" s="118">
        <f>SUMIF(55:55,G10,56:56)-SUMIF(55:55,C10,56:56)+100</f>
        <v>100</v>
      </c>
      <c r="I10" s="3119"/>
      <c r="J10" s="118">
        <f>SUMIF(55:55,I10,56:56)-SUMIF(55:55,C10,56:56)+100</f>
        <v>100</v>
      </c>
      <c r="K10" s="38"/>
      <c r="L10" s="2477"/>
      <c r="M10" s="2478"/>
      <c r="N10" s="2478"/>
      <c r="O10" s="2478"/>
      <c r="P10" s="3431"/>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79"/>
      <c r="M11" s="2475"/>
      <c r="N11" s="2475"/>
      <c r="O11" s="2475"/>
      <c r="P11" s="3431"/>
      <c r="Q11" s="529">
        <f t="shared" si="6"/>
        <v>111</v>
      </c>
      <c r="R11" s="660" t="s">
        <v>14</v>
      </c>
      <c r="S11" s="661">
        <f t="shared" si="0"/>
        <v>100</v>
      </c>
      <c r="T11" s="660" t="s">
        <v>14</v>
      </c>
      <c r="U11" s="661">
        <f t="shared" si="1"/>
        <v>100</v>
      </c>
      <c r="V11" s="660" t="s">
        <v>14</v>
      </c>
      <c r="W11" s="661">
        <f t="shared" si="2"/>
        <v>100</v>
      </c>
      <c r="X11" s="662"/>
      <c r="Y11" s="3360"/>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6"/>
      <c r="M12" s="2427"/>
      <c r="N12" s="2427"/>
      <c r="O12" s="2427"/>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0"/>
      <c r="M13" s="2475"/>
      <c r="N13" s="2475"/>
      <c r="O13" s="2475"/>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
      <c r="A14" s="344" t="s">
        <v>1687</v>
      </c>
      <c r="B14" s="553" t="s">
        <v>1830</v>
      </c>
      <c r="C14" s="180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0"/>
      <c r="M14" s="2475"/>
      <c r="N14" s="2475"/>
      <c r="O14" s="2475"/>
      <c r="P14" s="3424" t="s">
        <v>1688</v>
      </c>
      <c r="Q14" s="1252" t="str">
        <f t="shared" si="6"/>
        <v>交通便捷度</v>
      </c>
      <c r="R14" s="663" t="s">
        <v>14</v>
      </c>
      <c r="S14" s="664">
        <f t="shared" si="0"/>
        <v>100</v>
      </c>
      <c r="T14" s="663" t="s">
        <v>14</v>
      </c>
      <c r="U14" s="664">
        <f t="shared" si="1"/>
        <v>100</v>
      </c>
      <c r="V14" s="663" t="s">
        <v>14</v>
      </c>
      <c r="W14" s="664">
        <f t="shared" si="2"/>
        <v>100</v>
      </c>
      <c r="X14" s="1254"/>
      <c r="Y14" s="3424" t="s">
        <v>1688</v>
      </c>
      <c r="Z14" s="1253" t="str">
        <f t="shared" si="7"/>
        <v>交通便捷度</v>
      </c>
      <c r="AA14" s="1253">
        <f t="shared" si="3"/>
        <v>1</v>
      </c>
      <c r="AB14" s="1253">
        <f t="shared" si="4"/>
        <v>1</v>
      </c>
      <c r="AC14" s="1253">
        <f t="shared" si="5"/>
        <v>1</v>
      </c>
    </row>
    <row r="15" spans="1:29" ht="15">
      <c r="A15" s="347"/>
      <c r="B15" s="570"/>
      <c r="C15" s="385"/>
      <c r="D15" s="386"/>
      <c r="E15" s="385"/>
      <c r="F15" s="387"/>
      <c r="G15" s="385"/>
      <c r="H15" s="388"/>
      <c r="I15" s="385"/>
      <c r="J15" s="386"/>
      <c r="K15" s="540"/>
      <c r="L15" s="2480"/>
      <c r="M15" s="2475"/>
      <c r="N15" s="2475"/>
      <c r="O15" s="2475"/>
      <c r="P15" s="3425"/>
      <c r="Q15" s="1252"/>
      <c r="R15" s="663"/>
      <c r="S15" s="664"/>
      <c r="T15" s="663"/>
      <c r="U15" s="664"/>
      <c r="V15" s="663"/>
      <c r="W15" s="664"/>
      <c r="X15" s="1254"/>
      <c r="Y15" s="3425"/>
      <c r="Z15" s="1253"/>
      <c r="AA15" s="1253">
        <v>1</v>
      </c>
      <c r="AB15" s="1253">
        <v>1</v>
      </c>
      <c r="AC15" s="1253">
        <v>1</v>
      </c>
    </row>
    <row r="16" spans="1:29" ht="15">
      <c r="A16" s="347"/>
      <c r="B16" s="555" t="s">
        <v>1809</v>
      </c>
      <c r="C16" s="174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0"/>
      <c r="M16" s="2475"/>
      <c r="N16" s="2475"/>
      <c r="O16" s="2475"/>
      <c r="P16" s="3425"/>
      <c r="Q16" s="1252" t="str">
        <f>B16</f>
        <v>公共配套设施</v>
      </c>
      <c r="R16" s="663" t="s">
        <v>14</v>
      </c>
      <c r="S16" s="664">
        <f>F16</f>
        <v>100</v>
      </c>
      <c r="T16" s="663" t="s">
        <v>14</v>
      </c>
      <c r="U16" s="664">
        <f>H16</f>
        <v>100</v>
      </c>
      <c r="V16" s="663" t="s">
        <v>14</v>
      </c>
      <c r="W16" s="664">
        <f>J16</f>
        <v>100</v>
      </c>
      <c r="X16" s="1254"/>
      <c r="Y16" s="3425"/>
      <c r="Z16" s="1253" t="str">
        <f>Q16</f>
        <v>公共配套设施</v>
      </c>
      <c r="AA16" s="1253">
        <f t="shared" si="3"/>
        <v>1</v>
      </c>
      <c r="AB16" s="1253">
        <f t="shared" si="4"/>
        <v>1</v>
      </c>
      <c r="AC16" s="1253">
        <f t="shared" si="5"/>
        <v>1</v>
      </c>
    </row>
    <row r="17" spans="1:29" ht="15">
      <c r="A17" s="347"/>
      <c r="B17" s="400"/>
      <c r="C17" s="1744"/>
      <c r="D17" s="386"/>
      <c r="E17" s="385"/>
      <c r="F17" s="387"/>
      <c r="G17" s="385"/>
      <c r="H17" s="386"/>
      <c r="I17" s="385"/>
      <c r="J17" s="386"/>
      <c r="K17" s="540"/>
      <c r="L17" s="2480"/>
      <c r="M17" s="2475"/>
      <c r="N17" s="2475"/>
      <c r="O17" s="2475"/>
      <c r="P17" s="3425"/>
      <c r="Q17" s="1252"/>
      <c r="R17" s="663"/>
      <c r="S17" s="664"/>
      <c r="T17" s="663"/>
      <c r="U17" s="664"/>
      <c r="V17" s="663"/>
      <c r="W17" s="664"/>
      <c r="X17" s="1254"/>
      <c r="Y17" s="3425"/>
      <c r="Z17" s="1253"/>
      <c r="AA17" s="1253">
        <v>1</v>
      </c>
      <c r="AB17" s="1253">
        <v>1</v>
      </c>
      <c r="AC17" s="1253">
        <v>1</v>
      </c>
    </row>
    <row r="18" spans="1:29" ht="15">
      <c r="A18" s="347"/>
      <c r="B18" s="556" t="s">
        <v>1810</v>
      </c>
      <c r="C18" s="174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0"/>
      <c r="M18" s="2475"/>
      <c r="N18" s="2475"/>
      <c r="O18" s="2475"/>
      <c r="P18" s="3425"/>
      <c r="Q18" s="1252" t="str">
        <f>B18</f>
        <v>基础设施水平</v>
      </c>
      <c r="R18" s="663" t="s">
        <v>14</v>
      </c>
      <c r="S18" s="664">
        <f>F18</f>
        <v>100</v>
      </c>
      <c r="T18" s="663" t="s">
        <v>14</v>
      </c>
      <c r="U18" s="664">
        <f>H18</f>
        <v>100</v>
      </c>
      <c r="V18" s="663" t="s">
        <v>14</v>
      </c>
      <c r="W18" s="664">
        <f>J18</f>
        <v>100</v>
      </c>
      <c r="X18" s="1254"/>
      <c r="Y18" s="3425"/>
      <c r="Z18" s="1253" t="str">
        <f>Q18</f>
        <v>基础设施水平</v>
      </c>
      <c r="AA18" s="1253">
        <f t="shared" ref="AA18" si="8">D18/F18</f>
        <v>1</v>
      </c>
      <c r="AB18" s="1253">
        <f t="shared" ref="AB18" si="9">D18/H18</f>
        <v>1</v>
      </c>
      <c r="AC18" s="1253">
        <f t="shared" ref="AC18" si="10">D18/J18</f>
        <v>1</v>
      </c>
    </row>
    <row r="19" spans="1:29" ht="15">
      <c r="A19" s="347"/>
      <c r="B19" s="556"/>
      <c r="C19" s="1744"/>
      <c r="D19" s="388"/>
      <c r="E19" s="1744"/>
      <c r="F19" s="391"/>
      <c r="G19" s="1744"/>
      <c r="H19" s="386"/>
      <c r="I19" s="385"/>
      <c r="J19" s="386"/>
      <c r="K19" s="1054"/>
      <c r="L19" s="2480"/>
      <c r="M19" s="2475"/>
      <c r="N19" s="2475"/>
      <c r="O19" s="2475"/>
      <c r="P19" s="3425"/>
      <c r="Q19" s="1252"/>
      <c r="R19" s="663"/>
      <c r="S19" s="664"/>
      <c r="T19" s="663"/>
      <c r="U19" s="664"/>
      <c r="V19" s="663"/>
      <c r="W19" s="664"/>
      <c r="X19" s="1254"/>
      <c r="Y19" s="3425"/>
      <c r="Z19" s="1253"/>
      <c r="AA19" s="1253">
        <v>1</v>
      </c>
      <c r="AB19" s="1253">
        <v>1</v>
      </c>
      <c r="AC19" s="1253">
        <v>1</v>
      </c>
    </row>
    <row r="20" spans="1:29" ht="15">
      <c r="A20" s="347"/>
      <c r="B20" s="555" t="s">
        <v>1831</v>
      </c>
      <c r="C20" s="1743"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0"/>
      <c r="M20" s="2475"/>
      <c r="N20" s="2475"/>
      <c r="O20" s="2475"/>
      <c r="P20" s="3425"/>
      <c r="Q20" s="1252" t="str">
        <f>B20</f>
        <v>自然及人文环境</v>
      </c>
      <c r="R20" s="663" t="s">
        <v>14</v>
      </c>
      <c r="S20" s="664">
        <f>F20</f>
        <v>100</v>
      </c>
      <c r="T20" s="663" t="s">
        <v>14</v>
      </c>
      <c r="U20" s="664">
        <f>H20</f>
        <v>100</v>
      </c>
      <c r="V20" s="663" t="s">
        <v>14</v>
      </c>
      <c r="W20" s="664">
        <f>J20</f>
        <v>100</v>
      </c>
      <c r="X20" s="1254"/>
      <c r="Y20" s="3425"/>
      <c r="Z20" s="1253" t="str">
        <f>Q20</f>
        <v>自然及人文环境</v>
      </c>
      <c r="AA20" s="1253">
        <f t="shared" si="3"/>
        <v>1</v>
      </c>
      <c r="AB20" s="1253">
        <f t="shared" si="4"/>
        <v>1</v>
      </c>
      <c r="AC20" s="1253">
        <f t="shared" si="5"/>
        <v>1</v>
      </c>
    </row>
    <row r="21" spans="1:29" ht="15">
      <c r="A21" s="347"/>
      <c r="B21" s="400"/>
      <c r="C21" s="385"/>
      <c r="D21" s="386"/>
      <c r="E21" s="385"/>
      <c r="F21" s="387"/>
      <c r="G21" s="385"/>
      <c r="H21" s="386"/>
      <c r="I21" s="385"/>
      <c r="J21" s="386"/>
      <c r="K21" s="540"/>
      <c r="L21" s="2480"/>
      <c r="M21" s="2475"/>
      <c r="N21" s="2475"/>
      <c r="O21" s="2475"/>
      <c r="P21" s="3425"/>
      <c r="Q21" s="1252"/>
      <c r="R21" s="663"/>
      <c r="S21" s="664"/>
      <c r="T21" s="663"/>
      <c r="U21" s="664"/>
      <c r="V21" s="663"/>
      <c r="W21" s="664"/>
      <c r="X21" s="1254"/>
      <c r="Y21" s="3425"/>
      <c r="Z21" s="1253"/>
      <c r="AA21" s="1253">
        <v>1</v>
      </c>
      <c r="AB21" s="1253">
        <v>1</v>
      </c>
      <c r="AC21" s="125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0"/>
      <c r="M22" s="2475"/>
      <c r="N22" s="2475"/>
      <c r="O22" s="2475"/>
      <c r="P22" s="3425"/>
      <c r="Q22" s="1252" t="str">
        <f>B22</f>
        <v>楼层</v>
      </c>
      <c r="R22" s="663" t="s">
        <v>14</v>
      </c>
      <c r="S22" s="664">
        <f>F22</f>
        <v>100</v>
      </c>
      <c r="T22" s="663" t="s">
        <v>14</v>
      </c>
      <c r="U22" s="664">
        <f>H22</f>
        <v>100</v>
      </c>
      <c r="V22" s="663" t="s">
        <v>14</v>
      </c>
      <c r="W22" s="664">
        <f>J22</f>
        <v>100</v>
      </c>
      <c r="X22" s="1254"/>
      <c r="Y22" s="3425"/>
      <c r="Z22" s="1253" t="str">
        <f>Q22</f>
        <v>楼层</v>
      </c>
      <c r="AA22" s="1253">
        <f t="shared" si="3"/>
        <v>1</v>
      </c>
      <c r="AB22" s="1253">
        <f t="shared" si="4"/>
        <v>1</v>
      </c>
      <c r="AC22" s="125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0"/>
      <c r="M23" s="2475"/>
      <c r="N23" s="2475"/>
      <c r="O23" s="2475"/>
      <c r="P23" s="3425"/>
      <c r="Q23" s="1252">
        <f>B23</f>
        <v>111</v>
      </c>
      <c r="R23" s="663" t="s">
        <v>14</v>
      </c>
      <c r="S23" s="664">
        <f>F23</f>
        <v>100</v>
      </c>
      <c r="T23" s="663" t="s">
        <v>14</v>
      </c>
      <c r="U23" s="664">
        <f>H23</f>
        <v>100</v>
      </c>
      <c r="V23" s="663" t="s">
        <v>14</v>
      </c>
      <c r="W23" s="664">
        <f>J23</f>
        <v>100</v>
      </c>
      <c r="X23" s="1254"/>
      <c r="Y23" s="3425"/>
      <c r="Z23" s="1253">
        <f>Q23</f>
        <v>111</v>
      </c>
      <c r="AA23" s="1253">
        <f t="shared" si="3"/>
        <v>1</v>
      </c>
      <c r="AB23" s="1253">
        <f t="shared" si="4"/>
        <v>1</v>
      </c>
      <c r="AC23" s="125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0"/>
      <c r="M24" s="2475"/>
      <c r="N24" s="2475"/>
      <c r="O24" s="2475"/>
      <c r="P24" s="3425"/>
      <c r="Q24" s="1252">
        <f t="shared" ref="Q24:Q36" si="11">B24</f>
        <v>111</v>
      </c>
      <c r="R24" s="663" t="s">
        <v>14</v>
      </c>
      <c r="S24" s="664">
        <f>F24</f>
        <v>100</v>
      </c>
      <c r="T24" s="663" t="s">
        <v>14</v>
      </c>
      <c r="U24" s="664">
        <f>H24</f>
        <v>100</v>
      </c>
      <c r="V24" s="663" t="s">
        <v>14</v>
      </c>
      <c r="W24" s="664">
        <f>J24</f>
        <v>100</v>
      </c>
      <c r="X24" s="1254"/>
      <c r="Y24" s="3425"/>
      <c r="Z24" s="1253">
        <f>Q24</f>
        <v>111</v>
      </c>
      <c r="AA24" s="1253">
        <f t="shared" si="3"/>
        <v>1</v>
      </c>
      <c r="AB24" s="1253">
        <f t="shared" si="4"/>
        <v>1</v>
      </c>
      <c r="AC24" s="125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6"/>
      <c r="M25" s="2427"/>
      <c r="N25" s="2427"/>
      <c r="O25" s="2427"/>
      <c r="P25" s="3425"/>
      <c r="Q25" s="529">
        <f t="shared" si="11"/>
        <v>111</v>
      </c>
      <c r="R25" s="660" t="s">
        <v>14</v>
      </c>
      <c r="S25" s="661">
        <f>F25</f>
        <v>100</v>
      </c>
      <c r="T25" s="660" t="s">
        <v>14</v>
      </c>
      <c r="U25" s="661">
        <f>H25</f>
        <v>100</v>
      </c>
      <c r="V25" s="660" t="s">
        <v>14</v>
      </c>
      <c r="W25" s="661">
        <f>J25</f>
        <v>100</v>
      </c>
      <c r="X25" s="662"/>
      <c r="Y25" s="3425"/>
      <c r="Z25" s="50">
        <f>Q25</f>
        <v>111</v>
      </c>
      <c r="AA25" s="1253">
        <f>D25/F25</f>
        <v>1</v>
      </c>
      <c r="AB25" s="1253">
        <f>D25/H25</f>
        <v>1</v>
      </c>
      <c r="AC25" s="1253">
        <f>D25/J25</f>
        <v>1</v>
      </c>
    </row>
    <row r="26" spans="1:29" ht="28.5">
      <c r="A26" s="573" t="s">
        <v>1691</v>
      </c>
      <c r="B26" s="59" t="s">
        <v>1833</v>
      </c>
      <c r="C26" s="1809" t="str">
        <f>B1</f>
        <v>车库</v>
      </c>
      <c r="D26" s="386">
        <v>100</v>
      </c>
      <c r="E26" s="385"/>
      <c r="F26" s="387">
        <f>SUMIF(79:79,E26,80:80)-SUMIF(79:79,C26,80:80)+100</f>
        <v>0</v>
      </c>
      <c r="G26" s="385"/>
      <c r="H26" s="386">
        <f>SUMIF(79:79,G26,80:80)-SUMIF(79:79,C26,80:80)+100</f>
        <v>0</v>
      </c>
      <c r="I26" s="385"/>
      <c r="J26" s="386">
        <f>SUMIF(79:79,I26,80:80)-SUMIF(79:79,C26,80:80)+100</f>
        <v>0</v>
      </c>
      <c r="K26" s="537"/>
      <c r="L26" s="2480"/>
      <c r="M26" s="2475"/>
      <c r="N26" s="2475"/>
      <c r="O26" s="2475"/>
      <c r="P26" s="3481" t="s">
        <v>1693</v>
      </c>
      <c r="Q26" s="1252" t="str">
        <f t="shared" si="11"/>
        <v>配套类型</v>
      </c>
      <c r="R26" s="663" t="s">
        <v>14</v>
      </c>
      <c r="S26" s="664">
        <f t="shared" ref="S26:S36" si="12">F26</f>
        <v>0</v>
      </c>
      <c r="T26" s="663" t="s">
        <v>14</v>
      </c>
      <c r="U26" s="664">
        <f t="shared" ref="U26:U36" si="13">H26</f>
        <v>0</v>
      </c>
      <c r="V26" s="663" t="s">
        <v>14</v>
      </c>
      <c r="W26" s="664">
        <f t="shared" ref="W26:W36" si="14">J26</f>
        <v>0</v>
      </c>
      <c r="X26" s="1254"/>
      <c r="Y26" s="3429" t="s">
        <v>1693</v>
      </c>
      <c r="Z26" s="1253" t="str">
        <f t="shared" ref="Z26:Z36" si="15">Q26</f>
        <v>配套类型</v>
      </c>
      <c r="AA26" s="1253" t="e">
        <f t="shared" si="3"/>
        <v>#DIV/0!</v>
      </c>
      <c r="AB26" s="1253" t="e">
        <f t="shared" si="4"/>
        <v>#DIV/0!</v>
      </c>
      <c r="AC26" s="125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79"/>
      <c r="M27" s="2481"/>
      <c r="N27" s="2481"/>
      <c r="O27" s="2481"/>
      <c r="P27" s="3429"/>
      <c r="Q27" s="530" t="str">
        <f t="shared" si="11"/>
        <v>项目停车位配比</v>
      </c>
      <c r="R27" s="665" t="s">
        <v>14</v>
      </c>
      <c r="S27" s="666">
        <f t="shared" si="12"/>
        <v>100</v>
      </c>
      <c r="T27" s="665" t="s">
        <v>14</v>
      </c>
      <c r="U27" s="666">
        <f t="shared" si="13"/>
        <v>100</v>
      </c>
      <c r="V27" s="665" t="s">
        <v>14</v>
      </c>
      <c r="W27" s="666">
        <f t="shared" si="14"/>
        <v>100</v>
      </c>
      <c r="X27" s="667"/>
      <c r="Y27" s="3429"/>
      <c r="Z27" s="668" t="str">
        <f t="shared" si="15"/>
        <v>项目停车位配比</v>
      </c>
      <c r="AA27" s="1253">
        <f t="shared" si="3"/>
        <v>1</v>
      </c>
      <c r="AB27" s="1253">
        <f t="shared" si="4"/>
        <v>1</v>
      </c>
      <c r="AC27" s="125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0"/>
      <c r="M28" s="2475"/>
      <c r="N28" s="2475"/>
      <c r="O28" s="2475"/>
      <c r="P28" s="3429"/>
      <c r="Q28" s="1252" t="str">
        <f t="shared" si="11"/>
        <v>公共部分装修</v>
      </c>
      <c r="R28" s="663" t="s">
        <v>14</v>
      </c>
      <c r="S28" s="664">
        <f t="shared" si="12"/>
        <v>100</v>
      </c>
      <c r="T28" s="663" t="s">
        <v>14</v>
      </c>
      <c r="U28" s="664">
        <f t="shared" si="13"/>
        <v>100</v>
      </c>
      <c r="V28" s="663" t="s">
        <v>14</v>
      </c>
      <c r="W28" s="664">
        <f t="shared" si="14"/>
        <v>100</v>
      </c>
      <c r="X28" s="1254"/>
      <c r="Y28" s="3429"/>
      <c r="Z28" s="1253" t="str">
        <f t="shared" si="15"/>
        <v>公共部分装修</v>
      </c>
      <c r="AA28" s="1253">
        <f t="shared" si="3"/>
        <v>1</v>
      </c>
      <c r="AB28" s="1253">
        <f t="shared" si="4"/>
        <v>1</v>
      </c>
      <c r="AC28" s="125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0"/>
      <c r="M29" s="2475"/>
      <c r="N29" s="2475"/>
      <c r="O29" s="2475"/>
      <c r="P29" s="3429"/>
      <c r="Q29" s="1252" t="str">
        <f t="shared" si="11"/>
        <v>成新率</v>
      </c>
      <c r="R29" s="663" t="s">
        <v>14</v>
      </c>
      <c r="S29" s="664" t="e">
        <f t="shared" si="12"/>
        <v>#N/A</v>
      </c>
      <c r="T29" s="663" t="s">
        <v>14</v>
      </c>
      <c r="U29" s="664" t="e">
        <f t="shared" si="13"/>
        <v>#N/A</v>
      </c>
      <c r="V29" s="663" t="s">
        <v>14</v>
      </c>
      <c r="W29" s="664" t="e">
        <f t="shared" si="14"/>
        <v>#N/A</v>
      </c>
      <c r="X29" s="1254"/>
      <c r="Y29" s="3429"/>
      <c r="Z29" s="1253" t="str">
        <f t="shared" si="15"/>
        <v>成新率</v>
      </c>
      <c r="AA29" s="1253" t="e">
        <f t="shared" si="3"/>
        <v>#N/A</v>
      </c>
      <c r="AB29" s="1253" t="e">
        <f t="shared" si="4"/>
        <v>#N/A</v>
      </c>
      <c r="AC29" s="125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0"/>
      <c r="M30" s="2475"/>
      <c r="N30" s="2475"/>
      <c r="O30" s="2475"/>
      <c r="P30" s="3429"/>
      <c r="Q30" s="1252" t="str">
        <f t="shared" si="11"/>
        <v>物业等级</v>
      </c>
      <c r="R30" s="663" t="s">
        <v>14</v>
      </c>
      <c r="S30" s="664">
        <f t="shared" si="12"/>
        <v>100</v>
      </c>
      <c r="T30" s="663" t="s">
        <v>14</v>
      </c>
      <c r="U30" s="664">
        <f t="shared" si="13"/>
        <v>100</v>
      </c>
      <c r="V30" s="663" t="s">
        <v>14</v>
      </c>
      <c r="W30" s="664">
        <f t="shared" si="14"/>
        <v>100</v>
      </c>
      <c r="X30" s="1254"/>
      <c r="Y30" s="3429"/>
      <c r="Z30" s="1253" t="str">
        <f t="shared" si="15"/>
        <v>物业等级</v>
      </c>
      <c r="AA30" s="1253">
        <f t="shared" si="3"/>
        <v>1</v>
      </c>
      <c r="AB30" s="1253">
        <f t="shared" si="4"/>
        <v>1</v>
      </c>
      <c r="AC30" s="1253">
        <f t="shared" si="5"/>
        <v>1</v>
      </c>
    </row>
    <row r="31" spans="1:29" s="102"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6"/>
      <c r="M31" s="2427"/>
      <c r="N31" s="2427"/>
      <c r="O31" s="2427"/>
      <c r="P31" s="3429"/>
      <c r="Q31" s="529" t="str">
        <f t="shared" si="11"/>
        <v>停车位面积</v>
      </c>
      <c r="R31" s="660" t="s">
        <v>14</v>
      </c>
      <c r="S31" s="661" t="e">
        <f t="shared" si="12"/>
        <v>#N/A</v>
      </c>
      <c r="T31" s="660" t="s">
        <v>14</v>
      </c>
      <c r="U31" s="661" t="e">
        <f t="shared" si="13"/>
        <v>#N/A</v>
      </c>
      <c r="V31" s="660" t="s">
        <v>14</v>
      </c>
      <c r="W31" s="661" t="e">
        <f t="shared" si="14"/>
        <v>#N/A</v>
      </c>
      <c r="X31" s="662"/>
      <c r="Y31" s="3429"/>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0"/>
      <c r="M32" s="2475"/>
      <c r="N32" s="2475"/>
      <c r="O32" s="2475"/>
      <c r="P32" s="3429" t="s">
        <v>1693</v>
      </c>
      <c r="Q32" s="1252" t="str">
        <f t="shared" si="11"/>
        <v>车位类型</v>
      </c>
      <c r="R32" s="663" t="s">
        <v>14</v>
      </c>
      <c r="S32" s="664">
        <f t="shared" si="12"/>
        <v>100</v>
      </c>
      <c r="T32" s="663" t="s">
        <v>14</v>
      </c>
      <c r="U32" s="664">
        <f t="shared" si="13"/>
        <v>100</v>
      </c>
      <c r="V32" s="663" t="s">
        <v>14</v>
      </c>
      <c r="W32" s="664">
        <f t="shared" si="14"/>
        <v>100</v>
      </c>
      <c r="X32" s="1254"/>
      <c r="Y32" s="3429" t="s">
        <v>1693</v>
      </c>
      <c r="Z32" s="1253" t="str">
        <f t="shared" si="15"/>
        <v>车位类型</v>
      </c>
      <c r="AA32" s="1253">
        <f t="shared" si="3"/>
        <v>1</v>
      </c>
      <c r="AB32" s="1253">
        <f t="shared" si="4"/>
        <v>1</v>
      </c>
      <c r="AC32" s="125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0"/>
      <c r="M33" s="2475"/>
      <c r="N33" s="2475"/>
      <c r="O33" s="2475"/>
      <c r="P33" s="3429"/>
      <c r="Q33" s="1252" t="str">
        <f t="shared" si="11"/>
        <v>是否直接入户</v>
      </c>
      <c r="R33" s="663" t="s">
        <v>14</v>
      </c>
      <c r="S33" s="664">
        <f t="shared" si="12"/>
        <v>100</v>
      </c>
      <c r="T33" s="663" t="s">
        <v>14</v>
      </c>
      <c r="U33" s="664">
        <f t="shared" si="13"/>
        <v>100</v>
      </c>
      <c r="V33" s="663" t="s">
        <v>14</v>
      </c>
      <c r="W33" s="664">
        <f t="shared" si="14"/>
        <v>100</v>
      </c>
      <c r="X33" s="1254"/>
      <c r="Y33" s="3429"/>
      <c r="Z33" s="1253" t="str">
        <f t="shared" si="15"/>
        <v>是否直接入户</v>
      </c>
      <c r="AA33" s="1253">
        <f t="shared" si="3"/>
        <v>1</v>
      </c>
      <c r="AB33" s="1253">
        <f t="shared" si="4"/>
        <v>1</v>
      </c>
      <c r="AC33" s="125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0"/>
      <c r="M34" s="2475"/>
      <c r="N34" s="2475"/>
      <c r="O34" s="2475"/>
      <c r="P34" s="3429"/>
      <c r="Q34" s="1252">
        <f t="shared" si="11"/>
        <v>111</v>
      </c>
      <c r="R34" s="663" t="s">
        <v>14</v>
      </c>
      <c r="S34" s="664">
        <f t="shared" si="12"/>
        <v>100</v>
      </c>
      <c r="T34" s="663" t="s">
        <v>14</v>
      </c>
      <c r="U34" s="664">
        <f t="shared" si="13"/>
        <v>100</v>
      </c>
      <c r="V34" s="663" t="s">
        <v>14</v>
      </c>
      <c r="W34" s="664">
        <f t="shared" si="14"/>
        <v>100</v>
      </c>
      <c r="X34" s="1254"/>
      <c r="Y34" s="3429"/>
      <c r="Z34" s="1253">
        <f t="shared" si="15"/>
        <v>111</v>
      </c>
      <c r="AA34" s="1253">
        <f t="shared" si="3"/>
        <v>1</v>
      </c>
      <c r="AB34" s="1253">
        <f t="shared" si="4"/>
        <v>1</v>
      </c>
      <c r="AC34" s="125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9"/>
      <c r="M35" s="2481"/>
      <c r="N35" s="2481"/>
      <c r="O35" s="2481"/>
      <c r="P35" s="3429"/>
      <c r="Q35" s="530">
        <f t="shared" si="11"/>
        <v>111</v>
      </c>
      <c r="R35" s="665" t="s">
        <v>14</v>
      </c>
      <c r="S35" s="666">
        <f t="shared" si="12"/>
        <v>100</v>
      </c>
      <c r="T35" s="665" t="s">
        <v>14</v>
      </c>
      <c r="U35" s="666">
        <f t="shared" si="13"/>
        <v>100</v>
      </c>
      <c r="V35" s="665" t="s">
        <v>14</v>
      </c>
      <c r="W35" s="666">
        <f t="shared" si="14"/>
        <v>100</v>
      </c>
      <c r="X35" s="667"/>
      <c r="Y35" s="3429"/>
      <c r="Z35" s="668">
        <f t="shared" si="15"/>
        <v>111</v>
      </c>
      <c r="AA35" s="1253">
        <f t="shared" si="3"/>
        <v>1</v>
      </c>
      <c r="AB35" s="1253">
        <f t="shared" si="4"/>
        <v>1</v>
      </c>
      <c r="AC35" s="125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0"/>
      <c r="M36" s="2475"/>
      <c r="N36" s="2475"/>
      <c r="O36" s="2475"/>
      <c r="P36" s="3429"/>
      <c r="Q36" s="1252">
        <f t="shared" si="11"/>
        <v>111</v>
      </c>
      <c r="R36" s="663" t="s">
        <v>14</v>
      </c>
      <c r="S36" s="664">
        <f t="shared" si="12"/>
        <v>100</v>
      </c>
      <c r="T36" s="663" t="s">
        <v>14</v>
      </c>
      <c r="U36" s="664">
        <f t="shared" si="13"/>
        <v>100</v>
      </c>
      <c r="V36" s="663" t="s">
        <v>14</v>
      </c>
      <c r="W36" s="664">
        <f t="shared" si="14"/>
        <v>100</v>
      </c>
      <c r="X36" s="1254"/>
      <c r="Y36" s="3429"/>
      <c r="Z36" s="1253">
        <f t="shared" si="15"/>
        <v>111</v>
      </c>
      <c r="AA36" s="1253">
        <f t="shared" si="3"/>
        <v>1</v>
      </c>
      <c r="AB36" s="1253">
        <f t="shared" si="4"/>
        <v>1</v>
      </c>
      <c r="AC36" s="1253">
        <f t="shared" si="5"/>
        <v>1</v>
      </c>
    </row>
    <row r="37" spans="1:29" ht="15">
      <c r="A37" s="415" t="s">
        <v>1841</v>
      </c>
      <c r="B37" s="1810" t="s">
        <v>3344</v>
      </c>
      <c r="C37" s="1071" t="s">
        <v>0</v>
      </c>
      <c r="D37" s="417"/>
      <c r="E37" s="418"/>
      <c r="F37" s="419"/>
      <c r="G37" s="420"/>
      <c r="H37" s="421"/>
      <c r="I37" s="418"/>
      <c r="J37" s="421"/>
      <c r="K37" s="544"/>
      <c r="L37" s="2482"/>
      <c r="M37" s="2475"/>
      <c r="N37" s="2475"/>
      <c r="O37" s="2475"/>
      <c r="P37" s="3431" t="str">
        <f>A37</f>
        <v>成交单价</v>
      </c>
      <c r="Q37" s="3431"/>
      <c r="R37" s="3419">
        <f>E37</f>
        <v>0</v>
      </c>
      <c r="S37" s="3419"/>
      <c r="T37" s="3419">
        <f>G37</f>
        <v>0</v>
      </c>
      <c r="U37" s="3419"/>
      <c r="V37" s="3419">
        <f>I37</f>
        <v>0</v>
      </c>
      <c r="W37" s="3419"/>
      <c r="X37" s="384"/>
      <c r="Y37" s="669"/>
      <c r="Z37" s="384"/>
      <c r="AA37" s="384"/>
      <c r="AB37" s="384"/>
      <c r="AC37" s="384"/>
    </row>
    <row r="38" spans="1:29" ht="15.75" thickBot="1">
      <c r="A38" s="422" t="s">
        <v>1842</v>
      </c>
      <c r="B38" s="423" t="str">
        <f>B37</f>
        <v>元/平方米</v>
      </c>
      <c r="C38" s="1072" t="e">
        <f>R39</f>
        <v>#DIV/0!</v>
      </c>
      <c r="D38" s="2130" t="s">
        <v>2130</v>
      </c>
      <c r="E38" s="1073" t="e">
        <f>R38</f>
        <v>#DIV/0!</v>
      </c>
      <c r="F38" s="2131"/>
      <c r="G38" s="1072" t="e">
        <f>T38</f>
        <v>#DIV/0!</v>
      </c>
      <c r="H38" s="2131"/>
      <c r="I38" s="1073" t="e">
        <f>V38</f>
        <v>#DIV/0!</v>
      </c>
      <c r="J38" s="2131"/>
      <c r="K38" s="2133">
        <f>F38+H38+J38</f>
        <v>0</v>
      </c>
      <c r="L38" s="2482"/>
      <c r="M38" s="2475"/>
      <c r="N38" s="2475"/>
      <c r="O38" s="2475"/>
      <c r="P38" s="3431" t="str">
        <f>A38</f>
        <v>比较价值（元/平方米）</v>
      </c>
      <c r="Q38" s="3431"/>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2"/>
      <c r="M39" s="2475"/>
      <c r="N39" s="2475"/>
      <c r="O39" s="2475"/>
      <c r="P39" s="3472" t="str">
        <f>A39</f>
        <v>估价对象XX用房的比较价值（楼面单价，元/平方米）</v>
      </c>
      <c r="Q39" s="3473"/>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6" customFormat="1" ht="13.5" customHeight="1">
      <c r="A44" s="2485"/>
      <c r="B44" s="2485"/>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6"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77" t="s">
        <v>1847</v>
      </c>
      <c r="B47" s="854"/>
      <c r="C47" s="879"/>
      <c r="D47" s="879"/>
      <c r="E47" s="879"/>
      <c r="F47" s="1078"/>
      <c r="G47" s="1078"/>
      <c r="H47" s="879"/>
      <c r="I47" s="879"/>
      <c r="J47" s="879"/>
      <c r="K47" s="880"/>
      <c r="L47" s="881"/>
      <c r="M47" s="879"/>
      <c r="N47" s="2525"/>
      <c r="O47" s="2525"/>
      <c r="P47" s="2514"/>
      <c r="Q47" s="2496"/>
      <c r="R47" s="2475"/>
      <c r="S47" s="2475"/>
      <c r="T47" s="2475"/>
      <c r="U47" s="2475"/>
      <c r="V47" s="2475"/>
      <c r="W47" s="2475"/>
      <c r="X47" s="2475"/>
      <c r="Y47" s="2475"/>
      <c r="Z47" s="2475"/>
      <c r="AA47" s="2475"/>
      <c r="AB47" s="2475"/>
      <c r="AC47" s="2475"/>
    </row>
    <row r="48" spans="1:29" s="441" customFormat="1" ht="15">
      <c r="A48" s="439" t="s">
        <v>1848</v>
      </c>
      <c r="B48" s="440"/>
      <c r="C48" s="1093" t="str">
        <f>YEAR(C7)&amp;"-"&amp;MONTH(C7)</f>
        <v>2024-10</v>
      </c>
      <c r="D48" s="1094">
        <f>EDATE(C48,-1)</f>
        <v>45536</v>
      </c>
      <c r="E48" s="1094">
        <f t="shared" ref="E48:O48" si="16">EDATE(D48,-1)</f>
        <v>45505</v>
      </c>
      <c r="F48" s="1094">
        <f t="shared" si="16"/>
        <v>45474</v>
      </c>
      <c r="G48" s="1094">
        <f t="shared" si="16"/>
        <v>45444</v>
      </c>
      <c r="H48" s="1094">
        <f t="shared" si="16"/>
        <v>45413</v>
      </c>
      <c r="I48" s="1094">
        <f t="shared" si="16"/>
        <v>45383</v>
      </c>
      <c r="J48" s="1094">
        <f t="shared" si="16"/>
        <v>45352</v>
      </c>
      <c r="K48" s="1094">
        <f t="shared" si="16"/>
        <v>45323</v>
      </c>
      <c r="L48" s="1094">
        <f t="shared" si="16"/>
        <v>45292</v>
      </c>
      <c r="M48" s="1094">
        <f t="shared" si="16"/>
        <v>45261</v>
      </c>
      <c r="N48" s="1094">
        <f t="shared" si="16"/>
        <v>45231</v>
      </c>
      <c r="O48" s="1094">
        <f t="shared" si="16"/>
        <v>45200</v>
      </c>
      <c r="P48" s="2515"/>
      <c r="Q48" s="2498"/>
      <c r="R48" s="2498"/>
      <c r="S48" s="2498"/>
      <c r="T48" s="2498"/>
      <c r="U48" s="2498"/>
      <c r="V48" s="2498"/>
      <c r="W48" s="2498"/>
      <c r="X48" s="2498"/>
      <c r="Y48" s="2498"/>
      <c r="Z48" s="2498"/>
      <c r="AA48" s="2498"/>
      <c r="AB48" s="2498"/>
      <c r="AC48" s="2498"/>
    </row>
    <row r="49" spans="1:29" s="102" customFormat="1" ht="15">
      <c r="A49" s="442"/>
      <c r="B49" s="443"/>
      <c r="C49" s="1087">
        <v>100</v>
      </c>
      <c r="D49" s="445"/>
      <c r="E49" s="445"/>
      <c r="F49" s="445"/>
      <c r="G49" s="445"/>
      <c r="H49" s="445"/>
      <c r="I49" s="445"/>
      <c r="J49" s="445"/>
      <c r="K49" s="445"/>
      <c r="L49" s="445"/>
      <c r="M49" s="446"/>
      <c r="N49" s="445"/>
      <c r="O49" s="446"/>
      <c r="P49" s="2516"/>
      <c r="Q49" s="2427"/>
      <c r="R49" s="2427"/>
      <c r="S49" s="2427"/>
      <c r="T49" s="2427"/>
      <c r="U49" s="2427"/>
      <c r="V49" s="2427"/>
      <c r="W49" s="2427"/>
      <c r="X49" s="2427"/>
      <c r="Y49" s="2427"/>
      <c r="Z49" s="2427"/>
      <c r="AA49" s="2427"/>
      <c r="AB49" s="2427"/>
      <c r="AC49" s="2427"/>
    </row>
    <row r="50" spans="1:29" s="102" customFormat="1" ht="15.75" thickBot="1">
      <c r="A50" s="448" t="s">
        <v>1713</v>
      </c>
      <c r="B50" s="449"/>
      <c r="C50" s="450"/>
      <c r="D50" s="451"/>
      <c r="E50" s="451"/>
      <c r="F50" s="451"/>
      <c r="G50" s="451"/>
      <c r="H50" s="451"/>
      <c r="I50" s="451"/>
      <c r="J50" s="451"/>
      <c r="K50" s="451"/>
      <c r="L50" s="451"/>
      <c r="M50" s="452"/>
      <c r="N50" s="451"/>
      <c r="O50" s="452"/>
      <c r="P50" s="2516"/>
      <c r="Q50" s="2496"/>
      <c r="R50" s="2427"/>
      <c r="S50" s="2427"/>
      <c r="T50" s="2427"/>
      <c r="U50" s="2427"/>
      <c r="V50" s="2427"/>
      <c r="W50" s="2427"/>
      <c r="X50" s="2427"/>
      <c r="Y50" s="2427"/>
      <c r="Z50" s="2427"/>
      <c r="AA50" s="2427"/>
      <c r="AB50" s="2427"/>
      <c r="AC50" s="2427"/>
    </row>
    <row r="51" spans="1:29" s="102" customFormat="1" ht="15">
      <c r="A51" s="454" t="s">
        <v>1678</v>
      </c>
      <c r="B51" s="443"/>
      <c r="C51" s="455" t="s">
        <v>1773</v>
      </c>
      <c r="D51" s="31"/>
      <c r="E51" s="31"/>
      <c r="F51" s="31"/>
      <c r="G51" s="31"/>
      <c r="H51" s="31"/>
      <c r="I51" s="31"/>
      <c r="J51" s="31"/>
      <c r="K51" s="31"/>
      <c r="L51" s="456"/>
      <c r="M51" s="457"/>
      <c r="N51" s="2508"/>
      <c r="O51" s="2508"/>
      <c r="P51" s="2517"/>
      <c r="Q51" s="2496"/>
      <c r="R51" s="2427"/>
      <c r="S51" s="2427"/>
      <c r="T51" s="2427"/>
      <c r="U51" s="2427"/>
      <c r="V51" s="2427"/>
      <c r="W51" s="2427"/>
      <c r="X51" s="2427"/>
      <c r="Y51" s="2427"/>
      <c r="Z51" s="2427"/>
      <c r="AA51" s="2427"/>
      <c r="AB51" s="2427"/>
      <c r="AC51" s="2427"/>
    </row>
    <row r="52" spans="1:29" s="102" customFormat="1" ht="15.75" thickBot="1">
      <c r="A52" s="454"/>
      <c r="B52" s="443"/>
      <c r="C52" s="562">
        <v>100</v>
      </c>
      <c r="D52" s="445"/>
      <c r="E52" s="445"/>
      <c r="F52" s="445"/>
      <c r="G52" s="445"/>
      <c r="H52" s="445"/>
      <c r="I52" s="445"/>
      <c r="J52" s="445"/>
      <c r="K52" s="445"/>
      <c r="L52" s="445"/>
      <c r="M52" s="447"/>
      <c r="N52" s="2508"/>
      <c r="O52" s="2508"/>
      <c r="P52" s="2516"/>
      <c r="Q52" s="2496"/>
      <c r="R52" s="2427"/>
      <c r="S52" s="2427"/>
      <c r="T52" s="2427"/>
      <c r="U52" s="2427"/>
      <c r="V52" s="2427"/>
      <c r="W52" s="2427"/>
      <c r="X52" s="2427"/>
      <c r="Y52" s="2427"/>
      <c r="Z52" s="2427"/>
      <c r="AA52" s="2427"/>
      <c r="AB52" s="2427"/>
      <c r="AC52" s="2427"/>
    </row>
    <row r="53" spans="1:29">
      <c r="A53" s="378" t="s">
        <v>1716</v>
      </c>
      <c r="B53" s="459" t="s">
        <v>1682</v>
      </c>
      <c r="C53" s="460">
        <f>C9</f>
        <v>0</v>
      </c>
      <c r="D53" s="461"/>
      <c r="E53" s="461"/>
      <c r="F53" s="461"/>
      <c r="G53" s="461"/>
      <c r="H53" s="461"/>
      <c r="I53" s="461"/>
      <c r="J53" s="461"/>
      <c r="K53" s="462"/>
      <c r="L53" s="463"/>
      <c r="M53" s="464"/>
      <c r="N53" s="2509"/>
      <c r="O53" s="2509"/>
      <c r="P53" s="2518"/>
      <c r="Q53" s="2496"/>
      <c r="R53" s="2475"/>
      <c r="S53" s="2475"/>
      <c r="T53" s="2475"/>
      <c r="U53" s="2475"/>
      <c r="V53" s="2475"/>
      <c r="W53" s="2475"/>
      <c r="X53" s="2475"/>
      <c r="Y53" s="2475"/>
      <c r="Z53" s="2475"/>
      <c r="AA53" s="2475"/>
      <c r="AB53" s="2475"/>
      <c r="AC53" s="2475"/>
    </row>
    <row r="54" spans="1:29" ht="15.75" thickBot="1">
      <c r="A54" s="366"/>
      <c r="B54" s="465"/>
      <c r="C54" s="466">
        <v>100</v>
      </c>
      <c r="D54" s="466"/>
      <c r="E54" s="466"/>
      <c r="F54" s="466"/>
      <c r="G54" s="466"/>
      <c r="H54" s="466"/>
      <c r="I54" s="466"/>
      <c r="J54" s="466"/>
      <c r="K54" s="466"/>
      <c r="L54" s="466"/>
      <c r="M54" s="467"/>
      <c r="N54" s="2510"/>
      <c r="O54" s="2510"/>
      <c r="P54" s="2518"/>
      <c r="Q54" s="2496"/>
      <c r="R54" s="2475"/>
      <c r="S54" s="2475"/>
      <c r="T54" s="2475"/>
      <c r="U54" s="2475"/>
      <c r="V54" s="2475"/>
      <c r="W54" s="2475"/>
      <c r="X54" s="2475"/>
      <c r="Y54" s="2475"/>
      <c r="Z54" s="2475"/>
      <c r="AA54" s="2475"/>
      <c r="AB54" s="2475"/>
      <c r="AC54" s="2475"/>
    </row>
    <row r="55" spans="1:29" ht="27.75" thickTop="1">
      <c r="A55" s="366"/>
      <c r="B55" s="468" t="s">
        <v>1685</v>
      </c>
      <c r="C55" s="512"/>
      <c r="D55" s="512"/>
      <c r="E55" s="512"/>
      <c r="F55" s="512"/>
      <c r="G55" s="512"/>
      <c r="H55" s="512"/>
      <c r="I55" s="512"/>
      <c r="J55" s="512"/>
      <c r="K55" s="513"/>
      <c r="L55" s="514"/>
      <c r="M55" s="515"/>
      <c r="N55" s="2509"/>
      <c r="O55" s="2509"/>
      <c r="P55" s="2518"/>
      <c r="Q55" s="2496"/>
      <c r="R55" s="2475"/>
      <c r="S55" s="2475"/>
      <c r="T55" s="2475"/>
      <c r="U55" s="2475"/>
      <c r="V55" s="2475"/>
      <c r="W55" s="2475"/>
      <c r="X55" s="2475"/>
      <c r="Y55" s="2475"/>
      <c r="Z55" s="2475"/>
      <c r="AA55" s="2475"/>
      <c r="AB55" s="2475"/>
      <c r="AC55" s="2475"/>
    </row>
    <row r="56" spans="1:29" ht="15.75" thickBot="1">
      <c r="A56" s="366"/>
      <c r="B56" s="473"/>
      <c r="C56" s="466"/>
      <c r="D56" s="466"/>
      <c r="E56" s="466"/>
      <c r="F56" s="466"/>
      <c r="G56" s="466"/>
      <c r="H56" s="466"/>
      <c r="I56" s="466"/>
      <c r="J56" s="466"/>
      <c r="K56" s="466"/>
      <c r="L56" s="466"/>
      <c r="M56" s="467"/>
      <c r="N56" s="2510"/>
      <c r="O56" s="2510"/>
      <c r="P56" s="2518"/>
      <c r="Q56" s="2496"/>
      <c r="R56" s="2475"/>
      <c r="S56" s="2475"/>
      <c r="T56" s="2475"/>
      <c r="U56" s="2475"/>
      <c r="V56" s="2475"/>
      <c r="W56" s="2475"/>
      <c r="X56" s="2475"/>
      <c r="Y56" s="2475"/>
      <c r="Z56" s="2475"/>
      <c r="AA56" s="2475"/>
      <c r="AB56" s="2475"/>
      <c r="AC56" s="2475"/>
    </row>
    <row r="57" spans="1:29" ht="15.75" thickTop="1">
      <c r="A57" s="366"/>
      <c r="B57" s="580">
        <f>B11</f>
        <v>111</v>
      </c>
      <c r="C57" s="479"/>
      <c r="D57" s="479"/>
      <c r="E57" s="479"/>
      <c r="F57" s="479"/>
      <c r="G57" s="479"/>
      <c r="H57" s="479"/>
      <c r="I57" s="479"/>
      <c r="J57" s="479"/>
      <c r="K57" s="480"/>
      <c r="L57" s="481"/>
      <c r="M57" s="482"/>
      <c r="N57" s="2509"/>
      <c r="O57" s="2509"/>
      <c r="P57" s="2518"/>
      <c r="Q57" s="2496"/>
      <c r="R57" s="2475"/>
      <c r="S57" s="2475"/>
      <c r="T57" s="2475"/>
      <c r="U57" s="2475"/>
      <c r="V57" s="2475"/>
      <c r="W57" s="2475"/>
      <c r="X57" s="2475"/>
      <c r="Y57" s="2475"/>
      <c r="Z57" s="2475"/>
      <c r="AA57" s="2475"/>
      <c r="AB57" s="2475"/>
      <c r="AC57" s="2475"/>
    </row>
    <row r="58" spans="1:29" ht="15.75" thickBot="1">
      <c r="A58" s="366"/>
      <c r="B58" s="465"/>
      <c r="C58" s="490"/>
      <c r="D58" s="466"/>
      <c r="E58" s="466"/>
      <c r="F58" s="466"/>
      <c r="G58" s="466"/>
      <c r="H58" s="466"/>
      <c r="I58" s="466"/>
      <c r="J58" s="466"/>
      <c r="K58" s="466"/>
      <c r="L58" s="466"/>
      <c r="M58" s="467"/>
      <c r="N58" s="2510"/>
      <c r="O58" s="2510"/>
      <c r="P58" s="2518"/>
      <c r="Q58" s="2496"/>
      <c r="R58" s="2475"/>
      <c r="S58" s="2475"/>
      <c r="T58" s="2475"/>
      <c r="U58" s="2475"/>
      <c r="V58" s="2475"/>
      <c r="W58" s="2475"/>
      <c r="X58" s="2475"/>
      <c r="Y58" s="2475"/>
      <c r="Z58" s="2475"/>
      <c r="AA58" s="2475"/>
      <c r="AB58" s="2475"/>
      <c r="AC58" s="2475"/>
    </row>
    <row r="59" spans="1:29" s="407" customFormat="1" ht="15.75" thickTop="1">
      <c r="A59" s="483"/>
      <c r="B59" s="468">
        <f>B12</f>
        <v>111</v>
      </c>
      <c r="C59" s="479"/>
      <c r="D59" s="479"/>
      <c r="E59" s="479"/>
      <c r="F59" s="479"/>
      <c r="G59" s="484"/>
      <c r="H59" s="485"/>
      <c r="I59" s="485"/>
      <c r="J59" s="485"/>
      <c r="K59" s="485"/>
      <c r="L59" s="486"/>
      <c r="M59" s="487"/>
      <c r="N59" s="2511"/>
      <c r="O59" s="2511"/>
      <c r="P59" s="2519"/>
      <c r="Q59" s="2503"/>
      <c r="R59" s="2481"/>
      <c r="S59" s="2481"/>
      <c r="T59" s="2481"/>
      <c r="U59" s="2481"/>
      <c r="V59" s="2481"/>
      <c r="W59" s="2481"/>
      <c r="X59" s="2481"/>
      <c r="Y59" s="2481"/>
      <c r="Z59" s="2481"/>
      <c r="AA59" s="2481"/>
      <c r="AB59" s="2481"/>
      <c r="AC59" s="2481"/>
    </row>
    <row r="60" spans="1:29" s="407" customFormat="1" ht="15.75" thickBot="1">
      <c r="A60" s="483"/>
      <c r="B60" s="473"/>
      <c r="C60" s="490"/>
      <c r="D60" s="466"/>
      <c r="E60" s="466"/>
      <c r="F60" s="466"/>
      <c r="G60" s="466"/>
      <c r="H60" s="466"/>
      <c r="I60" s="466"/>
      <c r="J60" s="466"/>
      <c r="K60" s="466"/>
      <c r="L60" s="466"/>
      <c r="M60" s="467"/>
      <c r="N60" s="2510"/>
      <c r="O60" s="2510"/>
      <c r="P60" s="2519"/>
      <c r="Q60" s="2503"/>
      <c r="R60" s="2481"/>
      <c r="S60" s="2481"/>
      <c r="T60" s="2481"/>
      <c r="U60" s="2481"/>
      <c r="V60" s="2481"/>
      <c r="W60" s="2481"/>
      <c r="X60" s="2481"/>
      <c r="Y60" s="2481"/>
      <c r="Z60" s="2481"/>
      <c r="AA60" s="2481"/>
      <c r="AB60" s="2481"/>
      <c r="AC60" s="2481"/>
    </row>
    <row r="61" spans="1:29" s="407" customFormat="1" ht="15.75" thickTop="1">
      <c r="A61" s="483"/>
      <c r="B61" s="468">
        <f>B13</f>
        <v>111</v>
      </c>
      <c r="C61" s="484"/>
      <c r="D61" s="484"/>
      <c r="E61" s="484"/>
      <c r="F61" s="484"/>
      <c r="G61" s="484"/>
      <c r="H61" s="485"/>
      <c r="I61" s="485"/>
      <c r="J61" s="485"/>
      <c r="K61" s="485"/>
      <c r="L61" s="486"/>
      <c r="M61" s="487"/>
      <c r="N61" s="2511"/>
      <c r="O61" s="2511"/>
      <c r="P61" s="2520"/>
      <c r="Q61" s="2505"/>
      <c r="R61" s="2481"/>
      <c r="S61" s="2481"/>
      <c r="T61" s="2481"/>
      <c r="U61" s="2481"/>
      <c r="V61" s="2481"/>
      <c r="W61" s="2481"/>
      <c r="X61" s="2481"/>
      <c r="Y61" s="2481"/>
      <c r="Z61" s="2481"/>
      <c r="AA61" s="2481"/>
      <c r="AB61" s="2481"/>
      <c r="AC61" s="2481"/>
    </row>
    <row r="62" spans="1:29" s="407" customFormat="1" ht="15.75" thickBot="1">
      <c r="A62" s="483"/>
      <c r="B62" s="473"/>
      <c r="C62" s="490"/>
      <c r="D62" s="490"/>
      <c r="E62" s="490"/>
      <c r="F62" s="490"/>
      <c r="G62" s="490"/>
      <c r="H62" s="492"/>
      <c r="I62" s="492"/>
      <c r="J62" s="492"/>
      <c r="K62" s="492"/>
      <c r="L62" s="492"/>
      <c r="M62" s="493"/>
      <c r="N62" s="2511"/>
      <c r="O62" s="2511"/>
      <c r="P62" s="2519"/>
      <c r="Q62" s="2503"/>
      <c r="R62" s="2481"/>
      <c r="S62" s="2481"/>
      <c r="T62" s="2481"/>
      <c r="U62" s="2481"/>
      <c r="V62" s="2481"/>
      <c r="W62" s="2481"/>
      <c r="X62" s="2481"/>
      <c r="Y62" s="2481"/>
      <c r="Z62" s="2481"/>
      <c r="AA62" s="2481"/>
      <c r="AB62" s="2481"/>
      <c r="AC62" s="2481"/>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09"/>
      <c r="O63" s="2509"/>
      <c r="P63" s="2522"/>
      <c r="Q63" s="2496"/>
      <c r="R63" s="2475"/>
      <c r="S63" s="2475"/>
      <c r="T63" s="2475"/>
      <c r="U63" s="2475"/>
      <c r="V63" s="2475"/>
      <c r="W63" s="2475"/>
      <c r="X63" s="2475"/>
      <c r="Y63" s="2475"/>
      <c r="Z63" s="2475"/>
      <c r="AA63" s="2475"/>
      <c r="AB63" s="2475"/>
      <c r="AC63" s="247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0"/>
      <c r="O64" s="2510"/>
      <c r="P64" s="2518"/>
      <c r="Q64" s="2496"/>
      <c r="R64" s="2475"/>
      <c r="S64" s="2475"/>
      <c r="T64" s="2475"/>
      <c r="U64" s="2475"/>
      <c r="V64" s="2475"/>
      <c r="W64" s="2475"/>
      <c r="X64" s="2475"/>
      <c r="Y64" s="2475"/>
      <c r="Z64" s="2475"/>
      <c r="AA64" s="2475"/>
      <c r="AB64" s="2475"/>
      <c r="AC64" s="2475"/>
    </row>
    <row r="65" spans="1:29" ht="15.75" thickTop="1">
      <c r="A65" s="366"/>
      <c r="B65" s="468" t="s">
        <v>1724</v>
      </c>
      <c r="C65" s="508" t="s">
        <v>1718</v>
      </c>
      <c r="D65" s="508" t="s">
        <v>1719</v>
      </c>
      <c r="E65" s="508" t="s">
        <v>1720</v>
      </c>
      <c r="F65" s="508" t="s">
        <v>1721</v>
      </c>
      <c r="G65" s="508" t="s">
        <v>1722</v>
      </c>
      <c r="H65" s="469"/>
      <c r="I65" s="469"/>
      <c r="J65" s="469"/>
      <c r="K65" s="470"/>
      <c r="L65" s="471"/>
      <c r="M65" s="472"/>
      <c r="N65" s="2509"/>
      <c r="O65" s="2509"/>
      <c r="P65" s="2518"/>
      <c r="Q65" s="2496"/>
      <c r="R65" s="2475"/>
      <c r="S65" s="2475"/>
      <c r="T65" s="2475"/>
      <c r="U65" s="2475"/>
      <c r="V65" s="2475"/>
      <c r="W65" s="2475"/>
      <c r="X65" s="2475"/>
      <c r="Y65" s="2475"/>
      <c r="Z65" s="2475"/>
      <c r="AA65" s="2475"/>
      <c r="AB65" s="2475"/>
      <c r="AC65" s="247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0"/>
      <c r="O66" s="2510"/>
      <c r="P66" s="2518"/>
      <c r="Q66" s="2496"/>
      <c r="R66" s="2475"/>
      <c r="S66" s="2475"/>
      <c r="T66" s="2475"/>
      <c r="U66" s="2475"/>
      <c r="V66" s="2475"/>
      <c r="W66" s="2475"/>
      <c r="X66" s="2475"/>
      <c r="Y66" s="2475"/>
      <c r="Z66" s="2475"/>
      <c r="AA66" s="2475"/>
      <c r="AB66" s="2475"/>
      <c r="AC66" s="2475"/>
    </row>
    <row r="67" spans="1:29" ht="15.75" thickTop="1">
      <c r="A67" s="366"/>
      <c r="B67" s="476" t="s">
        <v>1810</v>
      </c>
      <c r="C67" s="580" t="s">
        <v>1796</v>
      </c>
      <c r="D67" s="580" t="s">
        <v>1797</v>
      </c>
      <c r="E67" s="580" t="s">
        <v>1798</v>
      </c>
      <c r="F67" s="580" t="s">
        <v>1799</v>
      </c>
      <c r="G67" s="580" t="s">
        <v>1800</v>
      </c>
      <c r="H67" s="469"/>
      <c r="I67" s="469"/>
      <c r="J67" s="469"/>
      <c r="K67" s="469"/>
      <c r="L67" s="469"/>
      <c r="M67" s="1053"/>
      <c r="N67" s="2510"/>
      <c r="O67" s="2510"/>
      <c r="P67" s="2518"/>
      <c r="Q67" s="2496"/>
      <c r="R67" s="2475"/>
      <c r="S67" s="2475"/>
      <c r="T67" s="2475"/>
      <c r="U67" s="2475"/>
      <c r="V67" s="2475"/>
      <c r="W67" s="2475"/>
      <c r="X67" s="2475"/>
      <c r="Y67" s="2475"/>
      <c r="Z67" s="2475"/>
      <c r="AA67" s="2475"/>
      <c r="AB67" s="2475"/>
      <c r="AC67" s="247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0"/>
      <c r="O68" s="2510"/>
      <c r="P68" s="2518"/>
      <c r="Q68" s="2496"/>
      <c r="R68" s="2475"/>
      <c r="S68" s="2475"/>
      <c r="T68" s="2475"/>
      <c r="U68" s="2475"/>
      <c r="V68" s="2475"/>
      <c r="W68" s="2475"/>
      <c r="X68" s="2475"/>
      <c r="Y68" s="2475"/>
      <c r="Z68" s="2475"/>
      <c r="AA68" s="2475"/>
      <c r="AB68" s="2475"/>
      <c r="AC68" s="2475"/>
    </row>
    <row r="69" spans="1:29" ht="15.75" thickTop="1">
      <c r="A69" s="366"/>
      <c r="B69" s="468" t="s">
        <v>1730</v>
      </c>
      <c r="C69" s="508" t="s">
        <v>1718</v>
      </c>
      <c r="D69" s="508" t="s">
        <v>1719</v>
      </c>
      <c r="E69" s="508" t="s">
        <v>1720</v>
      </c>
      <c r="F69" s="508" t="s">
        <v>1721</v>
      </c>
      <c r="G69" s="508" t="s">
        <v>1722</v>
      </c>
      <c r="H69" s="469"/>
      <c r="I69" s="469"/>
      <c r="J69" s="469"/>
      <c r="K69" s="470"/>
      <c r="L69" s="471"/>
      <c r="M69" s="472"/>
      <c r="N69" s="2509"/>
      <c r="O69" s="2509"/>
      <c r="P69" s="2518"/>
      <c r="Q69" s="2496"/>
      <c r="R69" s="2475"/>
      <c r="S69" s="2475"/>
      <c r="T69" s="2475"/>
      <c r="U69" s="2475"/>
      <c r="V69" s="2475"/>
      <c r="W69" s="2475"/>
      <c r="X69" s="2475"/>
      <c r="Y69" s="2475"/>
      <c r="Z69" s="2475"/>
      <c r="AA69" s="2475"/>
      <c r="AB69" s="2475"/>
      <c r="AC69" s="247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0"/>
      <c r="O70" s="2510"/>
      <c r="P70" s="2518"/>
      <c r="Q70" s="2496"/>
      <c r="R70" s="2475"/>
      <c r="S70" s="2475"/>
      <c r="T70" s="2475"/>
      <c r="U70" s="2475"/>
      <c r="V70" s="2475"/>
      <c r="W70" s="2475"/>
      <c r="X70" s="2475"/>
      <c r="Y70" s="2475"/>
      <c r="Z70" s="2475"/>
      <c r="AA70" s="2475"/>
      <c r="AB70" s="2475"/>
      <c r="AC70" s="2475"/>
    </row>
    <row r="71" spans="1:29" ht="15.75" thickTop="1">
      <c r="A71" s="366"/>
      <c r="B71" s="468" t="s">
        <v>1849</v>
      </c>
      <c r="C71" s="484"/>
      <c r="D71" s="484"/>
      <c r="E71" s="484"/>
      <c r="F71" s="484"/>
      <c r="G71" s="484"/>
      <c r="H71" s="512"/>
      <c r="I71" s="512"/>
      <c r="J71" s="512"/>
      <c r="K71" s="513"/>
      <c r="L71" s="514"/>
      <c r="M71" s="515"/>
      <c r="N71" s="2509"/>
      <c r="O71" s="2509"/>
      <c r="P71" s="2518"/>
      <c r="Q71" s="2496"/>
      <c r="R71" s="2475"/>
      <c r="S71" s="2475"/>
      <c r="T71" s="2475"/>
      <c r="U71" s="2475"/>
      <c r="V71" s="2475"/>
      <c r="W71" s="2475"/>
      <c r="X71" s="2475"/>
      <c r="Y71" s="2475"/>
      <c r="Z71" s="2475"/>
      <c r="AA71" s="2475"/>
      <c r="AB71" s="2475"/>
      <c r="AC71" s="247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0"/>
      <c r="O72" s="2510"/>
      <c r="P72" s="2518"/>
      <c r="Q72" s="2496"/>
      <c r="R72" s="2475"/>
      <c r="S72" s="2475"/>
      <c r="T72" s="2475"/>
      <c r="U72" s="2475"/>
      <c r="V72" s="2475"/>
      <c r="W72" s="2475"/>
      <c r="X72" s="2475"/>
      <c r="Y72" s="2475"/>
      <c r="Z72" s="2475"/>
      <c r="AA72" s="2475"/>
      <c r="AB72" s="2475"/>
      <c r="AC72" s="2475"/>
    </row>
    <row r="73" spans="1:29" s="102" customFormat="1" ht="15.75" thickTop="1">
      <c r="A73" s="369"/>
      <c r="B73" s="468">
        <f>B23</f>
        <v>111</v>
      </c>
      <c r="C73" s="479"/>
      <c r="D73" s="479"/>
      <c r="E73" s="479"/>
      <c r="F73" s="479"/>
      <c r="G73" s="484"/>
      <c r="H73" s="484"/>
      <c r="I73" s="484"/>
      <c r="J73" s="484"/>
      <c r="K73" s="484"/>
      <c r="L73" s="509"/>
      <c r="M73" s="510"/>
      <c r="N73" s="2508"/>
      <c r="O73" s="2508"/>
      <c r="P73" s="2518"/>
      <c r="Q73" s="2496"/>
      <c r="R73" s="2427"/>
      <c r="S73" s="2427"/>
      <c r="T73" s="2427"/>
      <c r="U73" s="2427"/>
      <c r="V73" s="2427"/>
      <c r="W73" s="2427"/>
      <c r="X73" s="2427"/>
      <c r="Y73" s="2427"/>
      <c r="Z73" s="2427"/>
      <c r="AA73" s="2427"/>
      <c r="AB73" s="2427"/>
      <c r="AC73" s="2427"/>
    </row>
    <row r="74" spans="1:29" s="102" customFormat="1" ht="15.75" thickBot="1">
      <c r="A74" s="369"/>
      <c r="B74" s="473"/>
      <c r="C74" s="490"/>
      <c r="D74" s="466"/>
      <c r="E74" s="466"/>
      <c r="F74" s="466"/>
      <c r="G74" s="466"/>
      <c r="H74" s="466"/>
      <c r="I74" s="466"/>
      <c r="J74" s="466"/>
      <c r="K74" s="466"/>
      <c r="L74" s="466"/>
      <c r="M74" s="467"/>
      <c r="N74" s="2510"/>
      <c r="O74" s="2510"/>
      <c r="P74" s="2518"/>
      <c r="Q74" s="2496"/>
      <c r="R74" s="2427"/>
      <c r="S74" s="2427"/>
      <c r="T74" s="2427"/>
      <c r="U74" s="2427"/>
      <c r="V74" s="2427"/>
      <c r="W74" s="2427"/>
      <c r="X74" s="2427"/>
      <c r="Y74" s="2427"/>
      <c r="Z74" s="2427"/>
      <c r="AA74" s="2427"/>
      <c r="AB74" s="2427"/>
      <c r="AC74" s="2427"/>
    </row>
    <row r="75" spans="1:29" s="102" customFormat="1" ht="15.75" thickTop="1">
      <c r="A75" s="369"/>
      <c r="B75" s="468">
        <f>B24</f>
        <v>111</v>
      </c>
      <c r="C75" s="479"/>
      <c r="D75" s="479"/>
      <c r="E75" s="479"/>
      <c r="F75" s="479"/>
      <c r="G75" s="484"/>
      <c r="H75" s="484"/>
      <c r="I75" s="484"/>
      <c r="J75" s="484"/>
      <c r="K75" s="484"/>
      <c r="L75" s="484"/>
      <c r="M75" s="510"/>
      <c r="N75" s="2508"/>
      <c r="O75" s="2508"/>
      <c r="P75" s="2518"/>
      <c r="Q75" s="2496"/>
      <c r="R75" s="2427"/>
      <c r="S75" s="2427"/>
      <c r="T75" s="2427"/>
      <c r="U75" s="2427"/>
      <c r="V75" s="2427"/>
      <c r="W75" s="2427"/>
      <c r="X75" s="2427"/>
      <c r="Y75" s="2427"/>
      <c r="Z75" s="2427"/>
      <c r="AA75" s="2427"/>
      <c r="AB75" s="2427"/>
      <c r="AC75" s="2427"/>
    </row>
    <row r="76" spans="1:29" s="102" customFormat="1" ht="15.75" thickBot="1">
      <c r="A76" s="369"/>
      <c r="B76" s="473"/>
      <c r="C76" s="490"/>
      <c r="D76" s="466"/>
      <c r="E76" s="466"/>
      <c r="F76" s="466"/>
      <c r="G76" s="466"/>
      <c r="H76" s="466"/>
      <c r="I76" s="466"/>
      <c r="J76" s="466"/>
      <c r="K76" s="466"/>
      <c r="L76" s="466"/>
      <c r="M76" s="467"/>
      <c r="N76" s="2510"/>
      <c r="O76" s="2510"/>
      <c r="P76" s="2518"/>
      <c r="Q76" s="2496"/>
      <c r="R76" s="2427"/>
      <c r="S76" s="2427"/>
      <c r="T76" s="2427"/>
      <c r="U76" s="2427"/>
      <c r="V76" s="2427"/>
      <c r="W76" s="2427"/>
      <c r="X76" s="2427"/>
      <c r="Y76" s="2427"/>
      <c r="Z76" s="2427"/>
      <c r="AA76" s="2427"/>
      <c r="AB76" s="2427"/>
      <c r="AC76" s="2427"/>
    </row>
    <row r="77" spans="1:29" s="407" customFormat="1" ht="15.75" thickTop="1">
      <c r="A77" s="483"/>
      <c r="B77" s="468">
        <f>B25</f>
        <v>111</v>
      </c>
      <c r="C77" s="484"/>
      <c r="D77" s="484"/>
      <c r="E77" s="484"/>
      <c r="F77" s="484"/>
      <c r="G77" s="484"/>
      <c r="H77" s="485"/>
      <c r="I77" s="485"/>
      <c r="J77" s="485"/>
      <c r="K77" s="485"/>
      <c r="L77" s="486"/>
      <c r="M77" s="487"/>
      <c r="N77" s="2511"/>
      <c r="O77" s="2511"/>
      <c r="P77" s="2519"/>
      <c r="Q77" s="2503"/>
      <c r="R77" s="2481"/>
      <c r="S77" s="2481"/>
      <c r="T77" s="2481"/>
      <c r="U77" s="2481"/>
      <c r="V77" s="2481"/>
      <c r="W77" s="2481"/>
      <c r="X77" s="2481"/>
      <c r="Y77" s="2481"/>
      <c r="Z77" s="2481"/>
      <c r="AA77" s="2481"/>
      <c r="AB77" s="2481"/>
      <c r="AC77" s="2481"/>
    </row>
    <row r="78" spans="1:29" s="407" customFormat="1" ht="15.75" thickBot="1">
      <c r="A78" s="483"/>
      <c r="B78" s="473"/>
      <c r="C78" s="490"/>
      <c r="D78" s="490"/>
      <c r="E78" s="490"/>
      <c r="F78" s="490"/>
      <c r="G78" s="466"/>
      <c r="H78" s="466"/>
      <c r="I78" s="466"/>
      <c r="J78" s="466"/>
      <c r="K78" s="466"/>
      <c r="L78" s="466"/>
      <c r="M78" s="467"/>
      <c r="N78" s="2511"/>
      <c r="O78" s="2511"/>
      <c r="P78" s="2519"/>
      <c r="Q78" s="2503"/>
      <c r="R78" s="2481"/>
      <c r="S78" s="2481"/>
      <c r="T78" s="2481"/>
      <c r="U78" s="2481"/>
      <c r="V78" s="2481"/>
      <c r="W78" s="2481"/>
      <c r="X78" s="2481"/>
      <c r="Y78" s="2481"/>
      <c r="Z78" s="2481"/>
      <c r="AA78" s="2481"/>
      <c r="AB78" s="2481"/>
      <c r="AC78" s="2481"/>
    </row>
    <row r="79" spans="1:29" ht="27.75" thickTop="1">
      <c r="A79" s="378" t="s">
        <v>1691</v>
      </c>
      <c r="B79" s="459" t="s">
        <v>1850</v>
      </c>
      <c r="C79" s="460" t="str">
        <f>C26</f>
        <v>车库</v>
      </c>
      <c r="D79" s="461"/>
      <c r="E79" s="461"/>
      <c r="F79" s="461"/>
      <c r="G79" s="461"/>
      <c r="H79" s="461"/>
      <c r="I79" s="461"/>
      <c r="J79" s="461"/>
      <c r="K79" s="462"/>
      <c r="L79" s="463"/>
      <c r="M79" s="464"/>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6"/>
      <c r="B81" s="468" t="s">
        <v>1851</v>
      </c>
      <c r="C81" s="581"/>
      <c r="D81" s="581"/>
      <c r="E81" s="581"/>
      <c r="F81" s="581"/>
      <c r="G81" s="581"/>
      <c r="H81" s="581"/>
      <c r="I81" s="581"/>
      <c r="J81" s="581"/>
      <c r="K81" s="582"/>
      <c r="L81" s="583"/>
      <c r="M81" s="584"/>
      <c r="N81" s="2508"/>
      <c r="O81" s="2508"/>
      <c r="P81" s="2518"/>
      <c r="Q81" s="2496"/>
      <c r="R81" s="2475"/>
      <c r="S81" s="2475"/>
      <c r="T81" s="2475"/>
      <c r="U81" s="2475"/>
      <c r="V81" s="2475"/>
      <c r="W81" s="2475"/>
      <c r="X81" s="2475"/>
      <c r="Y81" s="2475"/>
      <c r="Z81" s="2475"/>
      <c r="AA81" s="2475"/>
      <c r="AB81" s="2475"/>
      <c r="AC81" s="2475"/>
    </row>
    <row r="82" spans="1:29" s="407" customFormat="1" ht="15.75" thickBot="1">
      <c r="A82" s="483"/>
      <c r="B82" s="473"/>
      <c r="C82" s="490"/>
      <c r="D82" s="466"/>
      <c r="E82" s="466"/>
      <c r="F82" s="466"/>
      <c r="G82" s="466"/>
      <c r="H82" s="466"/>
      <c r="I82" s="466"/>
      <c r="J82" s="466"/>
      <c r="K82" s="466"/>
      <c r="L82" s="466"/>
      <c r="M82" s="467"/>
      <c r="N82" s="2510"/>
      <c r="O82" s="2510"/>
      <c r="P82" s="2519"/>
      <c r="Q82" s="2503"/>
      <c r="R82" s="2481"/>
      <c r="S82" s="2481"/>
      <c r="T82" s="2481"/>
      <c r="U82" s="2481"/>
      <c r="V82" s="2481"/>
      <c r="W82" s="2481"/>
      <c r="X82" s="2481"/>
      <c r="Y82" s="2481"/>
      <c r="Z82" s="2481"/>
      <c r="AA82" s="2481"/>
      <c r="AB82" s="2481"/>
      <c r="AC82" s="2481"/>
    </row>
    <row r="83" spans="1:29" ht="15" thickTop="1">
      <c r="A83" s="408"/>
      <c r="B83" s="468" t="s">
        <v>1737</v>
      </c>
      <c r="C83" s="484"/>
      <c r="D83" s="484"/>
      <c r="E83" s="512"/>
      <c r="F83" s="512"/>
      <c r="G83" s="512"/>
      <c r="H83" s="512"/>
      <c r="I83" s="512"/>
      <c r="J83" s="512"/>
      <c r="K83" s="513"/>
      <c r="L83" s="514"/>
      <c r="M83" s="515"/>
      <c r="N83" s="2509"/>
      <c r="O83" s="2509"/>
      <c r="P83" s="2518"/>
      <c r="Q83" s="2496"/>
      <c r="R83" s="2475"/>
      <c r="S83" s="2475"/>
      <c r="T83" s="2475"/>
      <c r="U83" s="2475"/>
      <c r="V83" s="2475"/>
      <c r="W83" s="2475"/>
      <c r="X83" s="2475"/>
      <c r="Y83" s="2475"/>
      <c r="Z83" s="2475"/>
      <c r="AA83" s="2475"/>
      <c r="AB83" s="2475"/>
      <c r="AC83" s="247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9"/>
      <c r="O85" s="2509"/>
      <c r="P85" s="2518"/>
      <c r="Q85" s="2496"/>
      <c r="R85" s="2475"/>
      <c r="S85" s="2475"/>
      <c r="T85" s="2475"/>
      <c r="U85" s="2475"/>
      <c r="V85" s="2475"/>
      <c r="W85" s="2475"/>
      <c r="X85" s="2475"/>
      <c r="Y85" s="2475"/>
      <c r="Z85" s="2475"/>
      <c r="AA85" s="2475"/>
      <c r="AB85" s="2475"/>
      <c r="AC85" s="2475"/>
    </row>
    <row r="86" spans="1:29">
      <c r="A86" s="408"/>
      <c r="B86" s="476"/>
      <c r="C86" s="529">
        <v>0.5</v>
      </c>
      <c r="D86" s="529">
        <v>0.6</v>
      </c>
      <c r="E86" s="529">
        <v>0.7</v>
      </c>
      <c r="F86" s="529">
        <v>0.8</v>
      </c>
      <c r="G86" s="529">
        <v>0.9</v>
      </c>
      <c r="H86" s="529">
        <v>1.0001</v>
      </c>
      <c r="I86" s="547"/>
      <c r="J86" s="547"/>
      <c r="K86" s="548"/>
      <c r="L86" s="549"/>
      <c r="M86" s="550"/>
      <c r="N86" s="2509"/>
      <c r="O86" s="2509"/>
      <c r="P86" s="2518"/>
      <c r="Q86" s="2496"/>
      <c r="R86" s="2475"/>
      <c r="S86" s="2475"/>
      <c r="T86" s="2475"/>
      <c r="U86" s="2475"/>
      <c r="V86" s="2475"/>
      <c r="W86" s="2475"/>
      <c r="X86" s="2475"/>
      <c r="Y86" s="2475"/>
      <c r="Z86" s="2475"/>
      <c r="AA86" s="2475"/>
      <c r="AB86" s="2475"/>
      <c r="AC86" s="247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8"/>
      <c r="B88" s="476" t="s">
        <v>1853</v>
      </c>
      <c r="C88" s="461"/>
      <c r="D88" s="461"/>
      <c r="E88" s="461"/>
      <c r="F88" s="461"/>
      <c r="G88" s="461"/>
      <c r="H88" s="461"/>
      <c r="I88" s="461"/>
      <c r="J88" s="461"/>
      <c r="K88" s="462"/>
      <c r="L88" s="463"/>
      <c r="M88" s="464"/>
      <c r="N88" s="2509"/>
      <c r="O88" s="2509"/>
      <c r="P88" s="2518"/>
      <c r="Q88" s="2496"/>
      <c r="R88" s="2475"/>
      <c r="S88" s="2475"/>
      <c r="T88" s="2475"/>
      <c r="U88" s="2475"/>
      <c r="V88" s="2475"/>
      <c r="W88" s="2475"/>
      <c r="X88" s="2475"/>
      <c r="Y88" s="2475"/>
      <c r="Z88" s="2475"/>
      <c r="AA88" s="2475"/>
      <c r="AB88" s="2475"/>
      <c r="AC88" s="247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0"/>
      <c r="O89" s="2510"/>
      <c r="P89" s="2518"/>
      <c r="Q89" s="2496"/>
      <c r="R89" s="2475"/>
      <c r="S89" s="2475"/>
      <c r="T89" s="2475"/>
      <c r="U89" s="2475"/>
      <c r="V89" s="2475"/>
      <c r="W89" s="2475"/>
      <c r="X89" s="2475"/>
      <c r="Y89" s="2475"/>
      <c r="Z89" s="2475"/>
      <c r="AA89" s="2475"/>
      <c r="AB89" s="2475"/>
      <c r="AC89" s="2475"/>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1"/>
      <c r="O90" s="2511"/>
      <c r="P90" s="2519"/>
      <c r="Q90" s="2503"/>
      <c r="R90" s="2481"/>
      <c r="S90" s="2481"/>
      <c r="T90" s="2481"/>
      <c r="U90" s="2481"/>
      <c r="V90" s="2481"/>
      <c r="W90" s="2481"/>
      <c r="X90" s="2481"/>
      <c r="Y90" s="2481"/>
      <c r="Z90" s="2481"/>
      <c r="AA90" s="2481"/>
      <c r="AB90" s="2481"/>
      <c r="AC90" s="2481"/>
    </row>
    <row r="91" spans="1:29" s="407" customFormat="1">
      <c r="A91" s="405"/>
      <c r="B91" s="476"/>
      <c r="C91" s="6"/>
      <c r="D91" s="6"/>
      <c r="E91" s="6"/>
      <c r="F91" s="6"/>
      <c r="G91" s="6"/>
      <c r="H91" s="6"/>
      <c r="I91" s="6"/>
      <c r="J91" s="523"/>
      <c r="K91" s="523"/>
      <c r="L91" s="524"/>
      <c r="M91" s="525"/>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490"/>
      <c r="D92" s="466"/>
      <c r="E92" s="466"/>
      <c r="F92" s="466"/>
      <c r="G92" s="466"/>
      <c r="H92" s="466"/>
      <c r="I92" s="466"/>
      <c r="J92" s="466"/>
      <c r="K92" s="466"/>
      <c r="L92" s="466"/>
      <c r="M92" s="467"/>
      <c r="N92" s="2511"/>
      <c r="O92" s="2511"/>
      <c r="P92" s="2519"/>
      <c r="Q92" s="2503"/>
      <c r="R92" s="2481"/>
      <c r="S92" s="2481"/>
      <c r="T92" s="2481"/>
      <c r="U92" s="2481"/>
      <c r="V92" s="2481"/>
      <c r="W92" s="2481"/>
      <c r="X92" s="2481"/>
      <c r="Y92" s="2481"/>
      <c r="Z92" s="2481"/>
      <c r="AA92" s="2481"/>
      <c r="AB92" s="2481"/>
      <c r="AC92" s="2481"/>
    </row>
    <row r="93" spans="1:29" ht="15" thickTop="1">
      <c r="A93" s="408"/>
      <c r="B93" s="468" t="s">
        <v>1855</v>
      </c>
      <c r="C93" s="484"/>
      <c r="D93" s="484"/>
      <c r="E93" s="512"/>
      <c r="F93" s="512"/>
      <c r="G93" s="512"/>
      <c r="H93" s="512"/>
      <c r="I93" s="512"/>
      <c r="J93" s="512"/>
      <c r="K93" s="513"/>
      <c r="L93" s="514"/>
      <c r="M93" s="515"/>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8"/>
      <c r="B95" s="468" t="s">
        <v>1856</v>
      </c>
      <c r="C95" s="461"/>
      <c r="D95" s="461"/>
      <c r="E95" s="461"/>
      <c r="F95" s="461"/>
      <c r="G95" s="461"/>
      <c r="H95" s="461"/>
      <c r="I95" s="461"/>
      <c r="J95" s="461"/>
      <c r="K95" s="462"/>
      <c r="L95" s="463"/>
      <c r="M95" s="464"/>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0"/>
      <c r="O96" s="2510"/>
      <c r="P96" s="2518"/>
      <c r="Q96" s="2496"/>
      <c r="R96" s="2475"/>
      <c r="S96" s="2475"/>
      <c r="T96" s="2475"/>
      <c r="U96" s="2475"/>
      <c r="V96" s="2475"/>
      <c r="W96" s="2475"/>
      <c r="X96" s="2475"/>
      <c r="Y96" s="2475"/>
      <c r="Z96" s="2475"/>
      <c r="AA96" s="2475"/>
      <c r="AB96" s="2475"/>
      <c r="AC96" s="2475"/>
    </row>
    <row r="97" spans="1:29" ht="15" thickTop="1">
      <c r="A97" s="408"/>
      <c r="B97" s="559">
        <f>B34</f>
        <v>111</v>
      </c>
      <c r="C97" s="479"/>
      <c r="D97" s="479"/>
      <c r="E97" s="479"/>
      <c r="F97" s="479"/>
      <c r="G97" s="484"/>
      <c r="H97" s="485"/>
      <c r="I97" s="485"/>
      <c r="J97" s="485"/>
      <c r="K97" s="485"/>
      <c r="L97" s="486"/>
      <c r="M97" s="487"/>
      <c r="N97" s="2510"/>
      <c r="O97" s="2510"/>
      <c r="P97" s="2523"/>
      <c r="Q97" s="2524"/>
      <c r="R97" s="2475"/>
      <c r="S97" s="2475"/>
      <c r="T97" s="2475"/>
      <c r="U97" s="2475"/>
      <c r="V97" s="2475"/>
      <c r="W97" s="2475"/>
      <c r="X97" s="2475"/>
      <c r="Y97" s="2475"/>
      <c r="Z97" s="2475"/>
      <c r="AA97" s="2475"/>
      <c r="AB97" s="2475"/>
      <c r="AC97" s="2475"/>
    </row>
    <row r="98" spans="1:29" ht="15.75" thickBot="1">
      <c r="A98" s="366"/>
      <c r="B98" s="473"/>
      <c r="C98" s="490"/>
      <c r="D98" s="466"/>
      <c r="E98" s="466"/>
      <c r="F98" s="466"/>
      <c r="G98" s="490"/>
      <c r="H98" s="492"/>
      <c r="I98" s="492"/>
      <c r="J98" s="492"/>
      <c r="K98" s="492"/>
      <c r="L98" s="492"/>
      <c r="M98" s="493"/>
      <c r="N98" s="2510"/>
      <c r="O98" s="2510"/>
      <c r="P98" s="2518"/>
      <c r="Q98" s="2496"/>
      <c r="R98" s="2475"/>
      <c r="S98" s="2475"/>
      <c r="T98" s="2475"/>
      <c r="U98" s="2475"/>
      <c r="V98" s="2475"/>
      <c r="W98" s="2475"/>
      <c r="X98" s="2475"/>
      <c r="Y98" s="2475"/>
      <c r="Z98" s="2475"/>
      <c r="AA98" s="2475"/>
      <c r="AB98" s="2475"/>
      <c r="AC98" s="2475"/>
    </row>
    <row r="99" spans="1:29" s="407" customFormat="1" ht="15" thickTop="1">
      <c r="A99" s="405"/>
      <c r="B99" s="468">
        <f>B35</f>
        <v>111</v>
      </c>
      <c r="C99" s="479"/>
      <c r="D99" s="479"/>
      <c r="E99" s="479"/>
      <c r="F99" s="479"/>
      <c r="G99" s="484"/>
      <c r="H99" s="485"/>
      <c r="I99" s="485"/>
      <c r="J99" s="485"/>
      <c r="K99" s="485"/>
      <c r="L99" s="486"/>
      <c r="M99" s="487"/>
      <c r="N99" s="2511"/>
      <c r="O99" s="2511"/>
      <c r="P99" s="2519"/>
      <c r="Q99" s="2503"/>
      <c r="R99" s="2481"/>
      <c r="S99" s="2481"/>
      <c r="T99" s="2481"/>
      <c r="U99" s="2481"/>
      <c r="V99" s="2481"/>
      <c r="W99" s="2481"/>
      <c r="X99" s="2481"/>
      <c r="Y99" s="2481"/>
      <c r="Z99" s="2481"/>
      <c r="AA99" s="2481"/>
      <c r="AB99" s="2481"/>
      <c r="AC99" s="2481"/>
    </row>
    <row r="100" spans="1:29" s="407" customFormat="1" ht="15.75" thickBot="1">
      <c r="A100" s="483"/>
      <c r="B100" s="465"/>
      <c r="C100" s="490"/>
      <c r="D100" s="466"/>
      <c r="E100" s="466"/>
      <c r="F100" s="466"/>
      <c r="G100" s="490"/>
      <c r="H100" s="492"/>
      <c r="I100" s="492"/>
      <c r="J100" s="492"/>
      <c r="K100" s="492"/>
      <c r="L100" s="492"/>
      <c r="M100" s="493"/>
      <c r="N100" s="2511"/>
      <c r="O100" s="2511"/>
      <c r="P100" s="2519"/>
      <c r="Q100" s="2503"/>
      <c r="R100" s="2481"/>
      <c r="S100" s="2481"/>
      <c r="T100" s="2481"/>
      <c r="U100" s="2481"/>
      <c r="V100" s="2481"/>
      <c r="W100" s="2481"/>
      <c r="X100" s="2481"/>
      <c r="Y100" s="2481"/>
      <c r="Z100" s="2481"/>
      <c r="AA100" s="2481"/>
      <c r="AB100" s="2481"/>
      <c r="AC100" s="2481"/>
    </row>
    <row r="101" spans="1:29" ht="15" thickTop="1">
      <c r="A101" s="408"/>
      <c r="B101" s="468">
        <f>B36</f>
        <v>111</v>
      </c>
      <c r="C101" s="484"/>
      <c r="D101" s="484"/>
      <c r="E101" s="484"/>
      <c r="F101" s="484"/>
      <c r="G101" s="484"/>
      <c r="H101" s="485"/>
      <c r="I101" s="485"/>
      <c r="J101" s="485"/>
      <c r="K101" s="485"/>
      <c r="L101" s="486"/>
      <c r="M101" s="487"/>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90"/>
      <c r="D102" s="490"/>
      <c r="E102" s="490"/>
      <c r="F102" s="490"/>
      <c r="G102" s="490"/>
      <c r="H102" s="492"/>
      <c r="I102" s="492"/>
      <c r="J102" s="492"/>
      <c r="K102" s="492"/>
      <c r="L102" s="492"/>
      <c r="M102" s="493"/>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3324</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IF(E1="项目模式",IF(C2="——",ROUND(C37*D3/10000,0),ROUND(C37*D3/10000,0)-D2),IF(E1="单套模式",IF(C2="——",ROUND(C37*D3/10000,4),ROUND(C37*D3/10000,4)-D2)))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IF(C2="——",C37,ROUND(B2*10000/D3,0))</f>
        <v>#DIV/0!</v>
      </c>
      <c r="C3" s="343" t="s">
        <v>1765</v>
      </c>
      <c r="D3" s="342">
        <f>SUMIF('数据-汇总表'!$C19:$C33,D1,'数据-汇总表'!$E19:$E33)</f>
        <v>0</v>
      </c>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SUMIF(46:46,YEAR(E7)&amp;"-"&amp;MONTH(E7),47:47)</f>
        <v>0</v>
      </c>
      <c r="G7" s="1811"/>
      <c r="H7" s="354">
        <f>SUMIF(46:46,YEAR(G7)&amp;"-"&amp;MONTH(G7),47:47)</f>
        <v>0</v>
      </c>
      <c r="I7" s="355"/>
      <c r="J7" s="354">
        <f>SUMIF(46:46,YEAR(I7)&amp;"-"&amp;MONTH(I7),47:47)</f>
        <v>0</v>
      </c>
      <c r="K7" s="38"/>
      <c r="L7" s="2476"/>
      <c r="M7" s="2427"/>
      <c r="N7" s="2427"/>
      <c r="O7" s="2427"/>
      <c r="P7" s="3387" t="s">
        <v>1677</v>
      </c>
      <c r="Q7" s="3421"/>
      <c r="R7" s="660" t="s">
        <v>14</v>
      </c>
      <c r="S7" s="661">
        <f t="shared" ref="S7:S14" si="0">F7</f>
        <v>0</v>
      </c>
      <c r="T7" s="660" t="s">
        <v>14</v>
      </c>
      <c r="U7" s="661">
        <f t="shared" ref="U7:U14" si="1">H7</f>
        <v>0</v>
      </c>
      <c r="V7" s="660" t="s">
        <v>14</v>
      </c>
      <c r="W7" s="661">
        <f t="shared" ref="W7:W14" si="2">J7</f>
        <v>0</v>
      </c>
      <c r="X7" s="662"/>
      <c r="Y7" s="3387" t="s">
        <v>1677</v>
      </c>
      <c r="Z7" s="3388"/>
      <c r="AA7" s="50" t="e">
        <f>D7/F7</f>
        <v>#DIV/0!</v>
      </c>
      <c r="AB7" s="50" t="e">
        <f>D7/H7</f>
        <v>#DIV/0!</v>
      </c>
      <c r="AC7" s="50" t="e">
        <f>D7/J7</f>
        <v>#DIV/0!</v>
      </c>
    </row>
    <row r="8" spans="1:29" s="102"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76"/>
      <c r="M8" s="2427"/>
      <c r="N8" s="2427"/>
      <c r="O8" s="2427"/>
      <c r="P8" s="3387" t="s">
        <v>1680</v>
      </c>
      <c r="Q8" s="3388"/>
      <c r="R8" s="660" t="s">
        <v>14</v>
      </c>
      <c r="S8" s="661">
        <f t="shared" si="0"/>
        <v>100</v>
      </c>
      <c r="T8" s="660" t="s">
        <v>14</v>
      </c>
      <c r="U8" s="661">
        <f t="shared" si="1"/>
        <v>100</v>
      </c>
      <c r="V8" s="660" t="s">
        <v>14</v>
      </c>
      <c r="W8" s="661">
        <f t="shared" si="2"/>
        <v>100</v>
      </c>
      <c r="X8" s="662"/>
      <c r="Y8" s="3387" t="s">
        <v>1680</v>
      </c>
      <c r="Z8" s="3388"/>
      <c r="AA8" s="50">
        <f t="shared" ref="AA8:AA34" si="3">D8/F8</f>
        <v>1</v>
      </c>
      <c r="AB8" s="50">
        <f t="shared" ref="AB8:AB34" si="4">D8/H8</f>
        <v>1</v>
      </c>
      <c r="AC8" s="50">
        <f t="shared" ref="AC8:AC34" si="5">D8/J8</f>
        <v>1</v>
      </c>
    </row>
    <row r="9" spans="1:29" s="102"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76"/>
      <c r="M9" s="2427"/>
      <c r="N9" s="2427"/>
      <c r="O9" s="2528"/>
      <c r="P9" s="3431" t="s">
        <v>1683</v>
      </c>
      <c r="Q9" s="529" t="str">
        <f t="shared" ref="Q9:Q14" si="6">B9</f>
        <v>用途</v>
      </c>
      <c r="R9" s="660" t="s">
        <v>14</v>
      </c>
      <c r="S9" s="661">
        <f t="shared" si="0"/>
        <v>100</v>
      </c>
      <c r="T9" s="660" t="s">
        <v>14</v>
      </c>
      <c r="U9" s="661">
        <f t="shared" si="1"/>
        <v>100</v>
      </c>
      <c r="V9" s="660" t="s">
        <v>14</v>
      </c>
      <c r="W9" s="661">
        <f t="shared" si="2"/>
        <v>100</v>
      </c>
      <c r="X9" s="662"/>
      <c r="Y9" s="3360" t="s">
        <v>1684</v>
      </c>
      <c r="Z9" s="50" t="str">
        <f t="shared" ref="Z9:Z14" si="7">Q9</f>
        <v>用途</v>
      </c>
      <c r="AA9" s="50">
        <f t="shared" si="3"/>
        <v>1</v>
      </c>
      <c r="AB9" s="50">
        <f t="shared" si="4"/>
        <v>1</v>
      </c>
      <c r="AC9" s="50">
        <f t="shared" si="5"/>
        <v>1</v>
      </c>
    </row>
    <row r="10" spans="1:29" s="365" customFormat="1" ht="27">
      <c r="A10" s="362"/>
      <c r="B10" s="363" t="s">
        <v>1685</v>
      </c>
      <c r="C10" s="3119"/>
      <c r="D10" s="118">
        <v>100</v>
      </c>
      <c r="E10" s="3119"/>
      <c r="F10" s="363">
        <f>SUMIF(53:53,E10,54:54)-SUMIF(53:53,C10,54:54)+100</f>
        <v>100</v>
      </c>
      <c r="G10" s="3119"/>
      <c r="H10" s="118">
        <f>SUMIF(53:53,G10,54:54)-SUMIF(53:53,C10,54:54)+100</f>
        <v>100</v>
      </c>
      <c r="I10" s="3119"/>
      <c r="J10" s="118">
        <f>SUMIF(53:53,I10,54:54)-SUMIF(53:53,C10,54:54)+100</f>
        <v>100</v>
      </c>
      <c r="K10" s="38"/>
      <c r="L10" s="2477"/>
      <c r="M10" s="2478"/>
      <c r="N10" s="2478"/>
      <c r="O10" s="2529"/>
      <c r="P10" s="3431"/>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9"/>
      <c r="M11" s="2475"/>
      <c r="N11" s="2475"/>
      <c r="O11" s="2530"/>
      <c r="P11" s="3431"/>
      <c r="Q11" s="529">
        <f t="shared" si="6"/>
        <v>111</v>
      </c>
      <c r="R11" s="660" t="s">
        <v>14</v>
      </c>
      <c r="S11" s="661">
        <f t="shared" si="0"/>
        <v>100</v>
      </c>
      <c r="T11" s="660" t="s">
        <v>14</v>
      </c>
      <c r="U11" s="661">
        <f t="shared" si="1"/>
        <v>100</v>
      </c>
      <c r="V11" s="660" t="s">
        <v>14</v>
      </c>
      <c r="W11" s="661">
        <f t="shared" si="2"/>
        <v>100</v>
      </c>
      <c r="X11" s="662"/>
      <c r="Y11" s="336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6"/>
      <c r="M12" s="2427"/>
      <c r="N12" s="2427"/>
      <c r="O12" s="2528"/>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2"/>
      <c r="H13" s="376">
        <f>SUMIF(59:59,G13,60:60)-SUMIF(59:59,C13,60:60)+100</f>
        <v>100</v>
      </c>
      <c r="I13" s="406"/>
      <c r="J13" s="373">
        <f>SUMIF(59:59,I13,60:60)-SUMIF(59:59,C13,60:60)+100</f>
        <v>100</v>
      </c>
      <c r="K13" s="538"/>
      <c r="L13" s="2480"/>
      <c r="M13" s="2475"/>
      <c r="N13" s="2475"/>
      <c r="O13" s="2530"/>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
      <c r="A14" s="378" t="s">
        <v>1687</v>
      </c>
      <c r="B14" s="58" t="s">
        <v>1830</v>
      </c>
      <c r="C14" s="180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0"/>
      <c r="M14" s="2475"/>
      <c r="N14" s="2475"/>
      <c r="O14" s="2530"/>
      <c r="P14" s="3424" t="s">
        <v>1688</v>
      </c>
      <c r="Q14" s="1252" t="str">
        <f t="shared" si="6"/>
        <v>交通便捷度</v>
      </c>
      <c r="R14" s="663" t="s">
        <v>14</v>
      </c>
      <c r="S14" s="664">
        <f t="shared" si="0"/>
        <v>100</v>
      </c>
      <c r="T14" s="663" t="s">
        <v>14</v>
      </c>
      <c r="U14" s="664">
        <f t="shared" si="1"/>
        <v>100</v>
      </c>
      <c r="V14" s="663" t="s">
        <v>14</v>
      </c>
      <c r="W14" s="664">
        <f t="shared" si="2"/>
        <v>100</v>
      </c>
      <c r="X14" s="1254"/>
      <c r="Y14" s="3424" t="s">
        <v>1688</v>
      </c>
      <c r="Z14" s="1253" t="str">
        <f t="shared" si="7"/>
        <v>交通便捷度</v>
      </c>
      <c r="AA14" s="1253">
        <f t="shared" si="3"/>
        <v>1</v>
      </c>
      <c r="AB14" s="1253">
        <f t="shared" si="4"/>
        <v>1</v>
      </c>
      <c r="AC14" s="1253">
        <f t="shared" si="5"/>
        <v>1</v>
      </c>
    </row>
    <row r="15" spans="1:29" ht="15">
      <c r="A15" s="366"/>
      <c r="B15" s="384"/>
      <c r="C15" s="385"/>
      <c r="D15" s="386"/>
      <c r="E15" s="385"/>
      <c r="F15" s="387"/>
      <c r="G15" s="385"/>
      <c r="H15" s="388"/>
      <c r="I15" s="385"/>
      <c r="J15" s="386"/>
      <c r="K15" s="540"/>
      <c r="L15" s="2480"/>
      <c r="M15" s="2475"/>
      <c r="N15" s="2475"/>
      <c r="O15" s="2530"/>
      <c r="P15" s="3425"/>
      <c r="Q15" s="1252"/>
      <c r="R15" s="663"/>
      <c r="S15" s="664"/>
      <c r="T15" s="663"/>
      <c r="U15" s="664"/>
      <c r="V15" s="663"/>
      <c r="W15" s="664"/>
      <c r="X15" s="1254"/>
      <c r="Y15" s="3425"/>
      <c r="Z15" s="1253"/>
      <c r="AA15" s="1253">
        <v>1</v>
      </c>
      <c r="AB15" s="1253">
        <v>1</v>
      </c>
      <c r="AC15" s="1253">
        <v>1</v>
      </c>
    </row>
    <row r="16" spans="1:29" ht="15">
      <c r="A16" s="366"/>
      <c r="B16" s="389" t="s">
        <v>1809</v>
      </c>
      <c r="C16" s="174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0"/>
      <c r="M16" s="2475"/>
      <c r="N16" s="2475"/>
      <c r="O16" s="2530"/>
      <c r="P16" s="3425"/>
      <c r="Q16" s="1252" t="str">
        <f>B16</f>
        <v>公共配套设施</v>
      </c>
      <c r="R16" s="663" t="s">
        <v>14</v>
      </c>
      <c r="S16" s="664">
        <f>F16</f>
        <v>100</v>
      </c>
      <c r="T16" s="663" t="s">
        <v>14</v>
      </c>
      <c r="U16" s="664">
        <f>H16</f>
        <v>100</v>
      </c>
      <c r="V16" s="663" t="s">
        <v>14</v>
      </c>
      <c r="W16" s="664">
        <f>J16</f>
        <v>100</v>
      </c>
      <c r="X16" s="1254"/>
      <c r="Y16" s="3425"/>
      <c r="Z16" s="1253" t="str">
        <f>Q16</f>
        <v>公共配套设施</v>
      </c>
      <c r="AA16" s="1253">
        <f t="shared" si="3"/>
        <v>1</v>
      </c>
      <c r="AB16" s="1253">
        <f t="shared" si="4"/>
        <v>1</v>
      </c>
      <c r="AC16" s="1253">
        <f t="shared" si="5"/>
        <v>1</v>
      </c>
    </row>
    <row r="17" spans="1:29" ht="15">
      <c r="A17" s="366"/>
      <c r="B17" s="394"/>
      <c r="C17" s="1744"/>
      <c r="D17" s="386"/>
      <c r="E17" s="385"/>
      <c r="F17" s="387"/>
      <c r="G17" s="385"/>
      <c r="H17" s="386"/>
      <c r="I17" s="385"/>
      <c r="J17" s="386"/>
      <c r="K17" s="540"/>
      <c r="L17" s="2480"/>
      <c r="M17" s="2475"/>
      <c r="N17" s="2475"/>
      <c r="O17" s="2530"/>
      <c r="P17" s="3425"/>
      <c r="Q17" s="1252"/>
      <c r="R17" s="663"/>
      <c r="S17" s="664"/>
      <c r="T17" s="663"/>
      <c r="U17" s="664"/>
      <c r="V17" s="663"/>
      <c r="W17" s="664"/>
      <c r="X17" s="1254"/>
      <c r="Y17" s="3425"/>
      <c r="Z17" s="1253"/>
      <c r="AA17" s="1253">
        <v>1</v>
      </c>
      <c r="AB17" s="1253">
        <v>1</v>
      </c>
      <c r="AC17" s="1253">
        <v>1</v>
      </c>
    </row>
    <row r="18" spans="1:29" ht="15">
      <c r="A18" s="366"/>
      <c r="B18" s="585" t="s">
        <v>1810</v>
      </c>
      <c r="C18" s="174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0"/>
      <c r="M18" s="2475"/>
      <c r="N18" s="2475"/>
      <c r="O18" s="2530"/>
      <c r="P18" s="3425"/>
      <c r="Q18" s="1252" t="str">
        <f>B18</f>
        <v>基础设施水平</v>
      </c>
      <c r="R18" s="663" t="s">
        <v>14</v>
      </c>
      <c r="S18" s="664">
        <f>F18</f>
        <v>100</v>
      </c>
      <c r="T18" s="663" t="s">
        <v>14</v>
      </c>
      <c r="U18" s="664">
        <f>H18</f>
        <v>100</v>
      </c>
      <c r="V18" s="663" t="s">
        <v>14</v>
      </c>
      <c r="W18" s="664">
        <f>J18</f>
        <v>100</v>
      </c>
      <c r="X18" s="1254"/>
      <c r="Y18" s="3425"/>
      <c r="Z18" s="1253" t="str">
        <f>Q18</f>
        <v>基础设施水平</v>
      </c>
      <c r="AA18" s="1253">
        <f t="shared" ref="AA18" si="8">D18/F18</f>
        <v>1</v>
      </c>
      <c r="AB18" s="1253">
        <f t="shared" ref="AB18" si="9">D18/H18</f>
        <v>1</v>
      </c>
      <c r="AC18" s="1253">
        <f t="shared" ref="AC18" si="10">D18/J18</f>
        <v>1</v>
      </c>
    </row>
    <row r="19" spans="1:29" ht="15">
      <c r="A19" s="366"/>
      <c r="B19" s="585"/>
      <c r="C19" s="1744"/>
      <c r="D19" s="388"/>
      <c r="E19" s="1744"/>
      <c r="F19" s="391"/>
      <c r="G19" s="1744"/>
      <c r="H19" s="386"/>
      <c r="I19" s="385"/>
      <c r="J19" s="386"/>
      <c r="K19" s="1054"/>
      <c r="L19" s="2480"/>
      <c r="M19" s="2475"/>
      <c r="N19" s="2475"/>
      <c r="O19" s="2530"/>
      <c r="P19" s="3425"/>
      <c r="Q19" s="1252"/>
      <c r="R19" s="663"/>
      <c r="S19" s="664"/>
      <c r="T19" s="663"/>
      <c r="U19" s="664"/>
      <c r="V19" s="663"/>
      <c r="W19" s="664"/>
      <c r="X19" s="1254"/>
      <c r="Y19" s="3425"/>
      <c r="Z19" s="1253"/>
      <c r="AA19" s="1253">
        <v>1</v>
      </c>
      <c r="AB19" s="1253">
        <v>1</v>
      </c>
      <c r="AC19" s="1253">
        <v>1</v>
      </c>
    </row>
    <row r="20" spans="1:29" ht="15">
      <c r="A20" s="366"/>
      <c r="B20" s="389" t="s">
        <v>1831</v>
      </c>
      <c r="C20" s="1743"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0"/>
      <c r="M20" s="2475"/>
      <c r="N20" s="2475"/>
      <c r="O20" s="2530"/>
      <c r="P20" s="3425"/>
      <c r="Q20" s="1252" t="str">
        <f>B20</f>
        <v>自然及人文环境</v>
      </c>
      <c r="R20" s="663" t="s">
        <v>14</v>
      </c>
      <c r="S20" s="664">
        <f>F20</f>
        <v>100</v>
      </c>
      <c r="T20" s="663" t="s">
        <v>14</v>
      </c>
      <c r="U20" s="664">
        <f>H20</f>
        <v>100</v>
      </c>
      <c r="V20" s="663" t="s">
        <v>14</v>
      </c>
      <c r="W20" s="664">
        <f>J20</f>
        <v>100</v>
      </c>
      <c r="X20" s="1254"/>
      <c r="Y20" s="3425"/>
      <c r="Z20" s="1253" t="str">
        <f>Q20</f>
        <v>自然及人文环境</v>
      </c>
      <c r="AA20" s="1253">
        <f t="shared" si="3"/>
        <v>1</v>
      </c>
      <c r="AB20" s="1253">
        <f t="shared" si="4"/>
        <v>1</v>
      </c>
      <c r="AC20" s="1253">
        <f t="shared" si="5"/>
        <v>1</v>
      </c>
    </row>
    <row r="21" spans="1:29" ht="15">
      <c r="A21" s="366"/>
      <c r="B21" s="394"/>
      <c r="C21" s="385"/>
      <c r="D21" s="386"/>
      <c r="E21" s="385"/>
      <c r="F21" s="387"/>
      <c r="G21" s="385"/>
      <c r="H21" s="386"/>
      <c r="I21" s="385"/>
      <c r="J21" s="386"/>
      <c r="K21" s="540"/>
      <c r="L21" s="2480"/>
      <c r="M21" s="2475"/>
      <c r="N21" s="2475"/>
      <c r="O21" s="2530"/>
      <c r="P21" s="3425"/>
      <c r="Q21" s="1252"/>
      <c r="R21" s="663"/>
      <c r="S21" s="664"/>
      <c r="T21" s="663"/>
      <c r="U21" s="664"/>
      <c r="V21" s="663"/>
      <c r="W21" s="664"/>
      <c r="X21" s="1254"/>
      <c r="Y21" s="3425"/>
      <c r="Z21" s="1253"/>
      <c r="AA21" s="1253">
        <v>1</v>
      </c>
      <c r="AB21" s="1253">
        <v>1</v>
      </c>
      <c r="AC21" s="125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0"/>
      <c r="M22" s="2475"/>
      <c r="N22" s="2475"/>
      <c r="O22" s="2530"/>
      <c r="P22" s="3425"/>
      <c r="Q22" s="1252" t="str">
        <f>B22</f>
        <v>楼层</v>
      </c>
      <c r="R22" s="663" t="s">
        <v>14</v>
      </c>
      <c r="S22" s="664">
        <f>F22</f>
        <v>100</v>
      </c>
      <c r="T22" s="663" t="s">
        <v>14</v>
      </c>
      <c r="U22" s="664">
        <f>H22</f>
        <v>100</v>
      </c>
      <c r="V22" s="663" t="s">
        <v>14</v>
      </c>
      <c r="W22" s="664">
        <f>J22</f>
        <v>100</v>
      </c>
      <c r="X22" s="1254"/>
      <c r="Y22" s="3425"/>
      <c r="Z22" s="1253" t="str">
        <f>Q22</f>
        <v>楼层</v>
      </c>
      <c r="AA22" s="1253">
        <f t="shared" si="3"/>
        <v>1</v>
      </c>
      <c r="AB22" s="1253">
        <f t="shared" si="4"/>
        <v>1</v>
      </c>
      <c r="AC22" s="125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0"/>
      <c r="M23" s="2475"/>
      <c r="N23" s="2475"/>
      <c r="O23" s="2530"/>
      <c r="P23" s="3425"/>
      <c r="Q23" s="1252">
        <f>B23</f>
        <v>111</v>
      </c>
      <c r="R23" s="663" t="s">
        <v>14</v>
      </c>
      <c r="S23" s="664">
        <f>F23</f>
        <v>100</v>
      </c>
      <c r="T23" s="663" t="s">
        <v>14</v>
      </c>
      <c r="U23" s="664">
        <f>H23</f>
        <v>100</v>
      </c>
      <c r="V23" s="663" t="s">
        <v>14</v>
      </c>
      <c r="W23" s="664">
        <f>J23</f>
        <v>100</v>
      </c>
      <c r="X23" s="1254"/>
      <c r="Y23" s="3425"/>
      <c r="Z23" s="1253">
        <f>Q23</f>
        <v>111</v>
      </c>
      <c r="AA23" s="1253">
        <f t="shared" si="3"/>
        <v>1</v>
      </c>
      <c r="AB23" s="1253">
        <f t="shared" si="4"/>
        <v>1</v>
      </c>
      <c r="AC23" s="125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0"/>
      <c r="M24" s="2475"/>
      <c r="N24" s="2475"/>
      <c r="O24" s="2530"/>
      <c r="P24" s="3425"/>
      <c r="Q24" s="1252">
        <f t="shared" ref="Q24:Q34" si="11">B24</f>
        <v>111</v>
      </c>
      <c r="R24" s="663" t="s">
        <v>14</v>
      </c>
      <c r="S24" s="664">
        <f>F24</f>
        <v>100</v>
      </c>
      <c r="T24" s="663" t="s">
        <v>14</v>
      </c>
      <c r="U24" s="664">
        <f>H24</f>
        <v>100</v>
      </c>
      <c r="V24" s="663" t="s">
        <v>14</v>
      </c>
      <c r="W24" s="664">
        <f>J24</f>
        <v>100</v>
      </c>
      <c r="X24" s="1254"/>
      <c r="Y24" s="3425"/>
      <c r="Z24" s="1253">
        <f>Q24</f>
        <v>111</v>
      </c>
      <c r="AA24" s="1253">
        <f t="shared" si="3"/>
        <v>1</v>
      </c>
      <c r="AB24" s="1253">
        <f t="shared" si="4"/>
        <v>1</v>
      </c>
      <c r="AC24" s="1253">
        <f t="shared" si="5"/>
        <v>1</v>
      </c>
    </row>
    <row r="25" spans="1:29" s="102" customFormat="1" ht="15.75" thickBot="1">
      <c r="A25" s="369"/>
      <c r="B25" s="446">
        <v>111</v>
      </c>
      <c r="C25" s="1813"/>
      <c r="D25" s="556">
        <v>100</v>
      </c>
      <c r="E25" s="1813"/>
      <c r="F25" s="585">
        <f>SUMIF(75:75,E25,76:76)-SUMIF(75:75,C25,76:76)+100</f>
        <v>100</v>
      </c>
      <c r="G25" s="1813"/>
      <c r="H25" s="556">
        <f>SUMIF(75:75,G25,76:76)-SUMIF(75:75,C25,76:76)+100</f>
        <v>100</v>
      </c>
      <c r="I25" s="1813"/>
      <c r="J25" s="556">
        <f>SUMIF(75:75,I25,76:76)-SUMIF(75:75,C25,76:76)+100</f>
        <v>100</v>
      </c>
      <c r="K25" s="538"/>
      <c r="L25" s="2476"/>
      <c r="M25" s="2427"/>
      <c r="N25" s="2427"/>
      <c r="O25" s="2528"/>
      <c r="P25" s="3425"/>
      <c r="Q25" s="529">
        <f t="shared" si="11"/>
        <v>111</v>
      </c>
      <c r="R25" s="660" t="s">
        <v>14</v>
      </c>
      <c r="S25" s="661">
        <f>F25</f>
        <v>100</v>
      </c>
      <c r="T25" s="660" t="s">
        <v>14</v>
      </c>
      <c r="U25" s="661">
        <f>H25</f>
        <v>100</v>
      </c>
      <c r="V25" s="660" t="s">
        <v>14</v>
      </c>
      <c r="W25" s="661">
        <f>J25</f>
        <v>100</v>
      </c>
      <c r="X25" s="662"/>
      <c r="Y25" s="3425"/>
      <c r="Z25" s="50">
        <f>Q25</f>
        <v>111</v>
      </c>
      <c r="AA25" s="1253">
        <f>D25/F25</f>
        <v>1</v>
      </c>
      <c r="AB25" s="1253">
        <f>D25/H25</f>
        <v>1</v>
      </c>
      <c r="AC25" s="1253">
        <f>D25/J25</f>
        <v>1</v>
      </c>
    </row>
    <row r="26" spans="1:29" ht="28.5">
      <c r="A26" s="403" t="s">
        <v>1691</v>
      </c>
      <c r="B26" s="60" t="s">
        <v>1835</v>
      </c>
      <c r="C26" s="1753"/>
      <c r="D26" s="404">
        <v>100</v>
      </c>
      <c r="E26" s="1753"/>
      <c r="F26" s="586">
        <f>SUMIF(77:77,E26,78:78)-SUMIF(77:77,C26,78:78)+100</f>
        <v>100</v>
      </c>
      <c r="G26" s="1753"/>
      <c r="H26" s="404">
        <f>SUMIF(77:77,G26,78:78)-SUMIF(77:77,C26,78:78)+100</f>
        <v>100</v>
      </c>
      <c r="I26" s="1753"/>
      <c r="J26" s="404">
        <f>SUMIF(77:77,I26,78:78)-SUMIF(77:77,C26,78:78)+100</f>
        <v>100</v>
      </c>
      <c r="K26" s="537"/>
      <c r="L26" s="2480"/>
      <c r="M26" s="2475"/>
      <c r="N26" s="2475"/>
      <c r="O26" s="2530"/>
      <c r="P26" s="3481" t="s">
        <v>1693</v>
      </c>
      <c r="Q26" s="1252" t="str">
        <f t="shared" si="11"/>
        <v>公共部分装修</v>
      </c>
      <c r="R26" s="663" t="s">
        <v>14</v>
      </c>
      <c r="S26" s="664">
        <f t="shared" ref="S26:S34" si="12">F26</f>
        <v>100</v>
      </c>
      <c r="T26" s="663" t="s">
        <v>14</v>
      </c>
      <c r="U26" s="664">
        <f t="shared" ref="U26:U34" si="13">H26</f>
        <v>100</v>
      </c>
      <c r="V26" s="663" t="s">
        <v>14</v>
      </c>
      <c r="W26" s="664">
        <f t="shared" ref="W26:W34" si="14">J26</f>
        <v>100</v>
      </c>
      <c r="X26" s="1254"/>
      <c r="Y26" s="3429" t="s">
        <v>1693</v>
      </c>
      <c r="Z26" s="1253" t="str">
        <f t="shared" ref="Z26:Z34" si="15">Q26</f>
        <v>公共部分装修</v>
      </c>
      <c r="AA26" s="1253">
        <f t="shared" si="3"/>
        <v>1</v>
      </c>
      <c r="AB26" s="1253">
        <f t="shared" si="4"/>
        <v>1</v>
      </c>
      <c r="AC26" s="125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9"/>
      <c r="M27" s="2481"/>
      <c r="N27" s="2481"/>
      <c r="O27" s="2531"/>
      <c r="P27" s="3429"/>
      <c r="Q27" s="530" t="str">
        <f t="shared" si="11"/>
        <v>成新率</v>
      </c>
      <c r="R27" s="665" t="s">
        <v>14</v>
      </c>
      <c r="S27" s="666" t="e">
        <f t="shared" si="12"/>
        <v>#N/A</v>
      </c>
      <c r="T27" s="665" t="s">
        <v>14</v>
      </c>
      <c r="U27" s="666" t="e">
        <f t="shared" si="13"/>
        <v>#N/A</v>
      </c>
      <c r="V27" s="665" t="s">
        <v>14</v>
      </c>
      <c r="W27" s="666" t="e">
        <f t="shared" si="14"/>
        <v>#N/A</v>
      </c>
      <c r="X27" s="667"/>
      <c r="Y27" s="3429"/>
      <c r="Z27" s="668" t="str">
        <f t="shared" si="15"/>
        <v>成新率</v>
      </c>
      <c r="AA27" s="1253" t="e">
        <f t="shared" si="3"/>
        <v>#N/A</v>
      </c>
      <c r="AB27" s="1253" t="e">
        <f t="shared" si="4"/>
        <v>#N/A</v>
      </c>
      <c r="AC27" s="125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0"/>
      <c r="M28" s="2475"/>
      <c r="N28" s="2475"/>
      <c r="O28" s="2530"/>
      <c r="P28" s="3429"/>
      <c r="Q28" s="1252" t="str">
        <f t="shared" si="11"/>
        <v>物业等级</v>
      </c>
      <c r="R28" s="663" t="s">
        <v>14</v>
      </c>
      <c r="S28" s="664">
        <f t="shared" si="12"/>
        <v>100</v>
      </c>
      <c r="T28" s="663" t="s">
        <v>14</v>
      </c>
      <c r="U28" s="664">
        <f t="shared" si="13"/>
        <v>100</v>
      </c>
      <c r="V28" s="663" t="s">
        <v>14</v>
      </c>
      <c r="W28" s="664">
        <f t="shared" si="14"/>
        <v>100</v>
      </c>
      <c r="X28" s="1254"/>
      <c r="Y28" s="3429"/>
      <c r="Z28" s="1253" t="str">
        <f t="shared" si="15"/>
        <v>物业等级</v>
      </c>
      <c r="AA28" s="1253">
        <f t="shared" si="3"/>
        <v>1</v>
      </c>
      <c r="AB28" s="1253">
        <f t="shared" si="4"/>
        <v>1</v>
      </c>
      <c r="AC28" s="125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0"/>
      <c r="M29" s="2475"/>
      <c r="N29" s="2475"/>
      <c r="O29" s="2530"/>
      <c r="P29" s="3429"/>
      <c r="Q29" s="1252" t="str">
        <f t="shared" si="11"/>
        <v>有无电梯</v>
      </c>
      <c r="R29" s="663" t="s">
        <v>14</v>
      </c>
      <c r="S29" s="664">
        <f t="shared" si="12"/>
        <v>100</v>
      </c>
      <c r="T29" s="663" t="s">
        <v>14</v>
      </c>
      <c r="U29" s="664">
        <f t="shared" si="13"/>
        <v>100</v>
      </c>
      <c r="V29" s="663" t="s">
        <v>14</v>
      </c>
      <c r="W29" s="664">
        <f t="shared" si="14"/>
        <v>100</v>
      </c>
      <c r="X29" s="1254"/>
      <c r="Y29" s="3429"/>
      <c r="Z29" s="1253" t="str">
        <f t="shared" si="15"/>
        <v>有无电梯</v>
      </c>
      <c r="AA29" s="1253">
        <f t="shared" si="3"/>
        <v>1</v>
      </c>
      <c r="AB29" s="1253">
        <f t="shared" si="4"/>
        <v>1</v>
      </c>
      <c r="AC29" s="125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0"/>
      <c r="M30" s="2475"/>
      <c r="N30" s="2475"/>
      <c r="O30" s="2530"/>
      <c r="P30" s="3429"/>
      <c r="Q30" s="1252" t="str">
        <f t="shared" si="11"/>
        <v>建筑面积</v>
      </c>
      <c r="R30" s="663" t="s">
        <v>14</v>
      </c>
      <c r="S30" s="664" t="e">
        <f t="shared" si="12"/>
        <v>#N/A</v>
      </c>
      <c r="T30" s="663" t="s">
        <v>14</v>
      </c>
      <c r="U30" s="664" t="e">
        <f t="shared" si="13"/>
        <v>#N/A</v>
      </c>
      <c r="V30" s="663" t="s">
        <v>14</v>
      </c>
      <c r="W30" s="664" t="e">
        <f t="shared" si="14"/>
        <v>#N/A</v>
      </c>
      <c r="X30" s="1254"/>
      <c r="Y30" s="3429"/>
      <c r="Z30" s="1253" t="str">
        <f t="shared" si="15"/>
        <v>建筑面积</v>
      </c>
      <c r="AA30" s="1253" t="e">
        <f t="shared" si="3"/>
        <v>#N/A</v>
      </c>
      <c r="AB30" s="1253" t="e">
        <f t="shared" si="4"/>
        <v>#N/A</v>
      </c>
      <c r="AC30" s="1253" t="e">
        <f t="shared" si="5"/>
        <v>#N/A</v>
      </c>
    </row>
    <row r="31" spans="1:29" s="102"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76"/>
      <c r="M31" s="2427"/>
      <c r="N31" s="2427"/>
      <c r="O31" s="2528"/>
      <c r="P31" s="3429"/>
      <c r="Q31" s="529" t="str">
        <f t="shared" si="11"/>
        <v>是否封闭</v>
      </c>
      <c r="R31" s="660" t="s">
        <v>14</v>
      </c>
      <c r="S31" s="661">
        <f t="shared" si="12"/>
        <v>100</v>
      </c>
      <c r="T31" s="660" t="s">
        <v>14</v>
      </c>
      <c r="U31" s="661">
        <f t="shared" si="13"/>
        <v>100</v>
      </c>
      <c r="V31" s="660" t="s">
        <v>14</v>
      </c>
      <c r="W31" s="661">
        <f t="shared" si="14"/>
        <v>100</v>
      </c>
      <c r="X31" s="662"/>
      <c r="Y31" s="342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0"/>
      <c r="M32" s="2475"/>
      <c r="N32" s="2475"/>
      <c r="O32" s="2530"/>
      <c r="P32" s="3429" t="s">
        <v>1693</v>
      </c>
      <c r="Q32" s="1252">
        <f t="shared" si="11"/>
        <v>111</v>
      </c>
      <c r="R32" s="663" t="s">
        <v>14</v>
      </c>
      <c r="S32" s="664">
        <f t="shared" si="12"/>
        <v>100</v>
      </c>
      <c r="T32" s="663" t="s">
        <v>14</v>
      </c>
      <c r="U32" s="664">
        <f t="shared" si="13"/>
        <v>100</v>
      </c>
      <c r="V32" s="663" t="s">
        <v>14</v>
      </c>
      <c r="W32" s="664">
        <f t="shared" si="14"/>
        <v>100</v>
      </c>
      <c r="X32" s="1254"/>
      <c r="Y32" s="3429" t="s">
        <v>1693</v>
      </c>
      <c r="Z32" s="1253">
        <f t="shared" si="15"/>
        <v>111</v>
      </c>
      <c r="AA32" s="1253">
        <f t="shared" si="3"/>
        <v>1</v>
      </c>
      <c r="AB32" s="1253">
        <f t="shared" si="4"/>
        <v>1</v>
      </c>
      <c r="AC32" s="125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0"/>
      <c r="M33" s="2475"/>
      <c r="N33" s="2475"/>
      <c r="O33" s="2530"/>
      <c r="P33" s="3429"/>
      <c r="Q33" s="1252">
        <f t="shared" si="11"/>
        <v>111</v>
      </c>
      <c r="R33" s="663" t="s">
        <v>14</v>
      </c>
      <c r="S33" s="664">
        <f t="shared" si="12"/>
        <v>100</v>
      </c>
      <c r="T33" s="663" t="s">
        <v>14</v>
      </c>
      <c r="U33" s="664">
        <f t="shared" si="13"/>
        <v>100</v>
      </c>
      <c r="V33" s="663" t="s">
        <v>14</v>
      </c>
      <c r="W33" s="664">
        <f t="shared" si="14"/>
        <v>100</v>
      </c>
      <c r="X33" s="1254"/>
      <c r="Y33" s="3429"/>
      <c r="Z33" s="1253">
        <f t="shared" si="15"/>
        <v>111</v>
      </c>
      <c r="AA33" s="1253">
        <f t="shared" si="3"/>
        <v>1</v>
      </c>
      <c r="AB33" s="1253">
        <f t="shared" si="4"/>
        <v>1</v>
      </c>
      <c r="AC33" s="1253">
        <f t="shared" si="5"/>
        <v>1</v>
      </c>
    </row>
    <row r="34" spans="1:30" ht="15.75" thickBot="1">
      <c r="A34" s="414"/>
      <c r="B34" s="1738">
        <v>111</v>
      </c>
      <c r="C34" s="375"/>
      <c r="D34" s="376">
        <v>100</v>
      </c>
      <c r="E34" s="1812"/>
      <c r="F34" s="377">
        <f>SUMIF(95:95,E34,96:96)-SUMIF(95:95,C34,96:96)+100</f>
        <v>100</v>
      </c>
      <c r="G34" s="1812"/>
      <c r="H34" s="376">
        <f>SUMIF(95:95,G34,96:96)-SUMIF(95:95,C34,96:96)+100</f>
        <v>100</v>
      </c>
      <c r="I34" s="1812"/>
      <c r="J34" s="376">
        <f>SUMIF(95:95,I34,96:96)-SUMIF(95:95,C34,96:96)+100</f>
        <v>100</v>
      </c>
      <c r="K34" s="538"/>
      <c r="L34" s="2480"/>
      <c r="M34" s="2475"/>
      <c r="N34" s="2475"/>
      <c r="O34" s="2530"/>
      <c r="P34" s="3429"/>
      <c r="Q34" s="1252">
        <f t="shared" si="11"/>
        <v>111</v>
      </c>
      <c r="R34" s="663" t="s">
        <v>14</v>
      </c>
      <c r="S34" s="664">
        <f t="shared" si="12"/>
        <v>100</v>
      </c>
      <c r="T34" s="663" t="s">
        <v>14</v>
      </c>
      <c r="U34" s="664">
        <f t="shared" si="13"/>
        <v>100</v>
      </c>
      <c r="V34" s="663" t="s">
        <v>14</v>
      </c>
      <c r="W34" s="664">
        <f t="shared" si="14"/>
        <v>100</v>
      </c>
      <c r="X34" s="1254"/>
      <c r="Y34" s="3429"/>
      <c r="Z34" s="1253">
        <f t="shared" si="15"/>
        <v>111</v>
      </c>
      <c r="AA34" s="1253">
        <f t="shared" si="3"/>
        <v>1</v>
      </c>
      <c r="AB34" s="1253">
        <f t="shared" si="4"/>
        <v>1</v>
      </c>
      <c r="AC34" s="1253">
        <f t="shared" si="5"/>
        <v>1</v>
      </c>
    </row>
    <row r="35" spans="1:30" ht="15">
      <c r="A35" s="415" t="s">
        <v>1705</v>
      </c>
      <c r="B35" s="416"/>
      <c r="C35" s="1071" t="s">
        <v>0</v>
      </c>
      <c r="D35" s="417"/>
      <c r="E35" s="418"/>
      <c r="F35" s="419"/>
      <c r="G35" s="420"/>
      <c r="H35" s="421"/>
      <c r="I35" s="418"/>
      <c r="J35" s="421"/>
      <c r="K35" s="670"/>
      <c r="L35" s="2482"/>
      <c r="M35" s="2475"/>
      <c r="N35" s="2475"/>
      <c r="O35" s="2475"/>
      <c r="P35" s="3431" t="str">
        <f>A35</f>
        <v>成交单价（元/平方米）</v>
      </c>
      <c r="Q35" s="3431"/>
      <c r="R35" s="3419">
        <f>E35</f>
        <v>0</v>
      </c>
      <c r="S35" s="3419"/>
      <c r="T35" s="3419">
        <f>G35</f>
        <v>0</v>
      </c>
      <c r="U35" s="3419"/>
      <c r="V35" s="3419">
        <f>I35</f>
        <v>0</v>
      </c>
      <c r="W35" s="3419"/>
      <c r="X35" s="384"/>
      <c r="Y35" s="669"/>
      <c r="Z35" s="384"/>
      <c r="AA35" s="384"/>
      <c r="AB35" s="384"/>
      <c r="AC35" s="384"/>
    </row>
    <row r="36" spans="1:30" ht="15.75" thickBot="1">
      <c r="A36" s="422" t="s">
        <v>1790</v>
      </c>
      <c r="B36" s="423"/>
      <c r="C36" s="1072" t="e">
        <f>R37</f>
        <v>#DIV/0!</v>
      </c>
      <c r="D36" s="2130" t="s">
        <v>2130</v>
      </c>
      <c r="E36" s="1073" t="e">
        <f>R36</f>
        <v>#DIV/0!</v>
      </c>
      <c r="F36" s="2131"/>
      <c r="G36" s="1072" t="e">
        <f>T36</f>
        <v>#DIV/0!</v>
      </c>
      <c r="H36" s="2131"/>
      <c r="I36" s="1073" t="e">
        <f>V36</f>
        <v>#DIV/0!</v>
      </c>
      <c r="J36" s="2131"/>
      <c r="K36" s="2133">
        <f>F36+H36+J36</f>
        <v>0</v>
      </c>
      <c r="L36" s="2482"/>
      <c r="M36" s="2475"/>
      <c r="N36" s="2475"/>
      <c r="O36" s="2475"/>
      <c r="P36" s="3431" t="str">
        <f>A36</f>
        <v>比较价值（元/平方米）</v>
      </c>
      <c r="Q36" s="3431"/>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4"/>
      <c r="Y36" s="384"/>
      <c r="Z36" s="384"/>
      <c r="AA36" s="384"/>
      <c r="AB36" s="384"/>
      <c r="AC36" s="384"/>
    </row>
    <row r="37" spans="1:30" ht="15.75" thickBot="1">
      <c r="A37" s="426" t="s">
        <v>1791</v>
      </c>
      <c r="B37" s="427"/>
      <c r="C37" s="350" t="e">
        <f>R37</f>
        <v>#DIV/0!</v>
      </c>
      <c r="D37" s="350"/>
      <c r="E37" s="350"/>
      <c r="F37" s="350"/>
      <c r="G37" s="350"/>
      <c r="H37" s="350"/>
      <c r="I37" s="350"/>
      <c r="J37" s="350"/>
      <c r="K37" s="671"/>
      <c r="L37" s="2482"/>
      <c r="M37" s="2475"/>
      <c r="N37" s="2475"/>
      <c r="O37" s="2475"/>
      <c r="P37" s="3472" t="str">
        <f>A37</f>
        <v>估价对象XX用房的比较价值（楼面单价，元/平方米）</v>
      </c>
      <c r="Q37" s="3473"/>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6" customFormat="1" ht="13.5" customHeight="1">
      <c r="A42" s="2485"/>
      <c r="B42" s="2485"/>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6"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4" t="s">
        <v>1795</v>
      </c>
      <c r="B45" s="384"/>
      <c r="C45" s="655"/>
      <c r="D45" s="655"/>
      <c r="E45" s="655"/>
      <c r="F45" s="656"/>
      <c r="G45" s="656"/>
      <c r="H45" s="655"/>
      <c r="I45" s="655"/>
      <c r="J45" s="655"/>
      <c r="K45" s="657"/>
      <c r="L45" s="658"/>
      <c r="M45" s="655"/>
      <c r="N45" s="2525"/>
      <c r="O45" s="2525"/>
      <c r="P45" s="2525"/>
      <c r="Q45" s="2496"/>
      <c r="R45" s="2475"/>
      <c r="S45" s="2475"/>
      <c r="T45" s="2475"/>
      <c r="U45" s="2475"/>
      <c r="V45" s="2475"/>
      <c r="W45" s="2475"/>
      <c r="X45" s="2475"/>
      <c r="Y45" s="2475"/>
      <c r="Z45" s="2475"/>
      <c r="AA45" s="2475"/>
      <c r="AB45" s="2475"/>
      <c r="AC45" s="2475"/>
      <c r="AD45" s="2475"/>
    </row>
    <row r="46" spans="1:30" s="441" customFormat="1" ht="15">
      <c r="A46" s="439" t="s">
        <v>1676</v>
      </c>
      <c r="B46" s="440"/>
      <c r="C46" s="1093" t="str">
        <f>YEAR(C7)&amp;"-"&amp;MONTH(C7)</f>
        <v>2024-10</v>
      </c>
      <c r="D46" s="1094">
        <f>EDATE(C46,-1)</f>
        <v>45536</v>
      </c>
      <c r="E46" s="1094">
        <f t="shared" ref="E46:O46" si="16">EDATE(D46,-1)</f>
        <v>45505</v>
      </c>
      <c r="F46" s="1094">
        <f t="shared" si="16"/>
        <v>45474</v>
      </c>
      <c r="G46" s="1094">
        <f t="shared" si="16"/>
        <v>45444</v>
      </c>
      <c r="H46" s="1094">
        <f t="shared" si="16"/>
        <v>45413</v>
      </c>
      <c r="I46" s="1094">
        <f t="shared" si="16"/>
        <v>45383</v>
      </c>
      <c r="J46" s="1094">
        <f t="shared" si="16"/>
        <v>45352</v>
      </c>
      <c r="K46" s="1094">
        <f t="shared" si="16"/>
        <v>45323</v>
      </c>
      <c r="L46" s="1094">
        <f t="shared" si="16"/>
        <v>45292</v>
      </c>
      <c r="M46" s="1094">
        <f t="shared" si="16"/>
        <v>45261</v>
      </c>
      <c r="N46" s="1094">
        <f t="shared" si="16"/>
        <v>45231</v>
      </c>
      <c r="O46" s="1094">
        <f t="shared" si="16"/>
        <v>45200</v>
      </c>
      <c r="P46" s="2498"/>
      <c r="Q46" s="2498"/>
      <c r="R46" s="2498"/>
      <c r="S46" s="2498"/>
      <c r="T46" s="2498"/>
      <c r="U46" s="2498"/>
      <c r="V46" s="2498"/>
      <c r="W46" s="2498"/>
      <c r="X46" s="2498"/>
      <c r="Y46" s="2498"/>
      <c r="Z46" s="2498"/>
      <c r="AA46" s="2498"/>
      <c r="AB46" s="2498"/>
      <c r="AC46" s="2498"/>
      <c r="AD46" s="2498"/>
    </row>
    <row r="47" spans="1:30" s="102" customFormat="1" ht="15">
      <c r="A47" s="442"/>
      <c r="B47" s="443"/>
      <c r="C47" s="1092">
        <v>100</v>
      </c>
      <c r="D47" s="445"/>
      <c r="E47" s="445"/>
      <c r="F47" s="445"/>
      <c r="G47" s="445"/>
      <c r="H47" s="445"/>
      <c r="I47" s="445"/>
      <c r="J47" s="445"/>
      <c r="K47" s="445"/>
      <c r="L47" s="445"/>
      <c r="M47" s="446"/>
      <c r="N47" s="445"/>
      <c r="O47" s="447"/>
      <c r="P47" s="2496"/>
      <c r="Q47" s="2427"/>
      <c r="R47" s="2427"/>
      <c r="S47" s="2427"/>
      <c r="T47" s="2427"/>
      <c r="U47" s="2427"/>
      <c r="V47" s="2427"/>
      <c r="W47" s="2427"/>
      <c r="X47" s="2427"/>
      <c r="Y47" s="2427"/>
      <c r="Z47" s="2427"/>
      <c r="AA47" s="2427"/>
      <c r="AB47" s="2427"/>
      <c r="AC47" s="2427"/>
      <c r="AD47" s="2427"/>
    </row>
    <row r="48" spans="1:30" s="102" customFormat="1" ht="15.75" thickBot="1">
      <c r="A48" s="448" t="s">
        <v>1713</v>
      </c>
      <c r="B48" s="449"/>
      <c r="C48" s="450"/>
      <c r="D48" s="451"/>
      <c r="E48" s="451"/>
      <c r="F48" s="451"/>
      <c r="G48" s="451"/>
      <c r="H48" s="451"/>
      <c r="I48" s="451"/>
      <c r="J48" s="451"/>
      <c r="K48" s="451"/>
      <c r="L48" s="451"/>
      <c r="M48" s="452"/>
      <c r="N48" s="451"/>
      <c r="O48" s="453"/>
      <c r="P48" s="2496"/>
      <c r="Q48" s="2496"/>
      <c r="R48" s="2427"/>
      <c r="S48" s="2427"/>
      <c r="T48" s="2427"/>
      <c r="U48" s="2427"/>
      <c r="V48" s="2427"/>
      <c r="W48" s="2427"/>
      <c r="X48" s="2427"/>
      <c r="Y48" s="2427"/>
      <c r="Z48" s="2427"/>
      <c r="AA48" s="2427"/>
      <c r="AB48" s="2427"/>
      <c r="AC48" s="2427"/>
      <c r="AD48" s="2427"/>
    </row>
    <row r="49" spans="1:30" s="102" customFormat="1" ht="15">
      <c r="A49" s="454" t="s">
        <v>1678</v>
      </c>
      <c r="B49" s="443"/>
      <c r="C49" s="455" t="s">
        <v>1773</v>
      </c>
      <c r="D49" s="31"/>
      <c r="E49" s="31"/>
      <c r="F49" s="31"/>
      <c r="G49" s="31"/>
      <c r="H49" s="31"/>
      <c r="I49" s="31"/>
      <c r="J49" s="31"/>
      <c r="K49" s="31"/>
      <c r="L49" s="456"/>
      <c r="M49" s="457"/>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4"/>
      <c r="B50" s="443"/>
      <c r="C50" s="562">
        <v>100</v>
      </c>
      <c r="D50" s="445"/>
      <c r="E50" s="445"/>
      <c r="F50" s="445"/>
      <c r="G50" s="445"/>
      <c r="H50" s="445"/>
      <c r="I50" s="445"/>
      <c r="J50" s="445"/>
      <c r="K50" s="445"/>
      <c r="L50" s="445"/>
      <c r="M50" s="447"/>
      <c r="N50" s="2508"/>
      <c r="O50" s="2508"/>
      <c r="P50" s="2496"/>
      <c r="Q50" s="2496"/>
      <c r="R50" s="2427"/>
      <c r="S50" s="2427"/>
      <c r="T50" s="2427"/>
      <c r="U50" s="2427"/>
      <c r="V50" s="2427"/>
      <c r="W50" s="2427"/>
      <c r="X50" s="2427"/>
      <c r="Y50" s="2427"/>
      <c r="Z50" s="2427"/>
      <c r="AA50" s="2427"/>
      <c r="AB50" s="2427"/>
      <c r="AC50" s="2427"/>
      <c r="AD50" s="2427"/>
    </row>
    <row r="51" spans="1:30">
      <c r="A51" s="378" t="s">
        <v>1716</v>
      </c>
      <c r="B51" s="459" t="s">
        <v>1682</v>
      </c>
      <c r="C51" s="460">
        <f>C9</f>
        <v>0</v>
      </c>
      <c r="D51" s="461"/>
      <c r="E51" s="461"/>
      <c r="F51" s="461"/>
      <c r="G51" s="461"/>
      <c r="H51" s="461"/>
      <c r="I51" s="461"/>
      <c r="J51" s="461"/>
      <c r="K51" s="462"/>
      <c r="L51" s="463"/>
      <c r="M51" s="464"/>
      <c r="N51" s="2509"/>
      <c r="O51" s="2509"/>
      <c r="P51" s="2508"/>
      <c r="Q51" s="2496"/>
      <c r="R51" s="2475"/>
      <c r="S51" s="2475"/>
      <c r="T51" s="2475"/>
      <c r="U51" s="2475"/>
      <c r="V51" s="2475"/>
      <c r="W51" s="2475"/>
      <c r="X51" s="2475"/>
      <c r="Y51" s="2475"/>
      <c r="Z51" s="2475"/>
      <c r="AA51" s="2475"/>
      <c r="AB51" s="2475"/>
      <c r="AC51" s="2475"/>
      <c r="AD51" s="2475"/>
    </row>
    <row r="52" spans="1:30" ht="15.75" thickBot="1">
      <c r="A52" s="366"/>
      <c r="B52" s="465"/>
      <c r="C52" s="466">
        <v>100</v>
      </c>
      <c r="D52" s="466"/>
      <c r="E52" s="466"/>
      <c r="F52" s="466"/>
      <c r="G52" s="466"/>
      <c r="H52" s="466"/>
      <c r="I52" s="466"/>
      <c r="J52" s="466"/>
      <c r="K52" s="466"/>
      <c r="L52" s="466"/>
      <c r="M52" s="467"/>
      <c r="N52" s="2510"/>
      <c r="O52" s="2510"/>
      <c r="P52" s="2508"/>
      <c r="Q52" s="2496"/>
      <c r="R52" s="2475"/>
      <c r="S52" s="2475"/>
      <c r="T52" s="2475"/>
      <c r="U52" s="2475"/>
      <c r="V52" s="2475"/>
      <c r="W52" s="2475"/>
      <c r="X52" s="2475"/>
      <c r="Y52" s="2475"/>
      <c r="Z52" s="2475"/>
      <c r="AA52" s="2475"/>
      <c r="AB52" s="2475"/>
      <c r="AC52" s="2475"/>
      <c r="AD52" s="2475"/>
    </row>
    <row r="53" spans="1:30" ht="27.75" thickTop="1">
      <c r="A53" s="366"/>
      <c r="B53" s="468" t="s">
        <v>1685</v>
      </c>
      <c r="C53" s="512"/>
      <c r="D53" s="512"/>
      <c r="E53" s="512"/>
      <c r="F53" s="512"/>
      <c r="G53" s="512"/>
      <c r="H53" s="512"/>
      <c r="I53" s="512"/>
      <c r="J53" s="512"/>
      <c r="K53" s="513"/>
      <c r="L53" s="514"/>
      <c r="M53" s="515"/>
      <c r="N53" s="2509"/>
      <c r="O53" s="2509"/>
      <c r="P53" s="2508"/>
      <c r="Q53" s="2496"/>
      <c r="R53" s="2475"/>
      <c r="S53" s="2475"/>
      <c r="T53" s="2475"/>
      <c r="U53" s="2475"/>
      <c r="V53" s="2475"/>
      <c r="W53" s="2475"/>
      <c r="X53" s="2475"/>
      <c r="Y53" s="2475"/>
      <c r="Z53" s="2475"/>
      <c r="AA53" s="2475"/>
      <c r="AB53" s="2475"/>
      <c r="AC53" s="2475"/>
      <c r="AD53" s="2475"/>
    </row>
    <row r="54" spans="1:30" ht="15.75" thickBot="1">
      <c r="A54" s="366"/>
      <c r="B54" s="473"/>
      <c r="C54" s="466"/>
      <c r="D54" s="466"/>
      <c r="E54" s="466"/>
      <c r="F54" s="466"/>
      <c r="G54" s="466"/>
      <c r="H54" s="466"/>
      <c r="I54" s="466"/>
      <c r="J54" s="466"/>
      <c r="K54" s="466"/>
      <c r="L54" s="466"/>
      <c r="M54" s="467"/>
      <c r="N54" s="2510"/>
      <c r="O54" s="2510"/>
      <c r="P54" s="2508"/>
      <c r="Q54" s="2496"/>
      <c r="R54" s="2475"/>
      <c r="S54" s="2475"/>
      <c r="T54" s="2475"/>
      <c r="U54" s="2475"/>
      <c r="V54" s="2475"/>
      <c r="W54" s="2475"/>
      <c r="X54" s="2475"/>
      <c r="Y54" s="2475"/>
      <c r="Z54" s="2475"/>
      <c r="AA54" s="2475"/>
      <c r="AB54" s="2475"/>
      <c r="AC54" s="2475"/>
      <c r="AD54" s="2475"/>
    </row>
    <row r="55" spans="1:30" ht="15.75" thickTop="1">
      <c r="A55" s="366"/>
      <c r="B55" s="580">
        <f>B11</f>
        <v>111</v>
      </c>
      <c r="C55" s="479"/>
      <c r="D55" s="479"/>
      <c r="E55" s="479"/>
      <c r="F55" s="479"/>
      <c r="G55" s="479"/>
      <c r="H55" s="479"/>
      <c r="I55" s="479"/>
      <c r="J55" s="479"/>
      <c r="K55" s="480"/>
      <c r="L55" s="481"/>
      <c r="M55" s="482"/>
      <c r="N55" s="2509"/>
      <c r="O55" s="2509"/>
      <c r="P55" s="2508"/>
      <c r="Q55" s="2496"/>
      <c r="R55" s="2475"/>
      <c r="S55" s="2475"/>
      <c r="T55" s="2475"/>
      <c r="U55" s="2475"/>
      <c r="V55" s="2475"/>
      <c r="W55" s="2475"/>
      <c r="X55" s="2475"/>
      <c r="Y55" s="2475"/>
      <c r="Z55" s="2475"/>
      <c r="AA55" s="2475"/>
      <c r="AB55" s="2475"/>
      <c r="AC55" s="2475"/>
      <c r="AD55" s="2475"/>
    </row>
    <row r="56" spans="1:30" ht="15.75" thickBot="1">
      <c r="A56" s="366"/>
      <c r="B56" s="465"/>
      <c r="C56" s="490"/>
      <c r="D56" s="466"/>
      <c r="E56" s="466"/>
      <c r="F56" s="466"/>
      <c r="G56" s="466"/>
      <c r="H56" s="466"/>
      <c r="I56" s="466"/>
      <c r="J56" s="466"/>
      <c r="K56" s="466"/>
      <c r="L56" s="466"/>
      <c r="M56" s="467"/>
      <c r="N56" s="2510"/>
      <c r="O56" s="2510"/>
      <c r="P56" s="2508"/>
      <c r="Q56" s="2496"/>
      <c r="R56" s="2475"/>
      <c r="S56" s="2475"/>
      <c r="T56" s="2475"/>
      <c r="U56" s="2475"/>
      <c r="V56" s="2475"/>
      <c r="W56" s="2475"/>
      <c r="X56" s="2475"/>
      <c r="Y56" s="2475"/>
      <c r="Z56" s="2475"/>
      <c r="AA56" s="2475"/>
      <c r="AB56" s="2475"/>
      <c r="AC56" s="2475"/>
      <c r="AD56" s="2475"/>
    </row>
    <row r="57" spans="1:30" s="407" customFormat="1" ht="15.75" thickTop="1">
      <c r="A57" s="483"/>
      <c r="B57" s="468">
        <f>B12</f>
        <v>111</v>
      </c>
      <c r="C57" s="479"/>
      <c r="D57" s="479"/>
      <c r="E57" s="479"/>
      <c r="F57" s="479"/>
      <c r="G57" s="484"/>
      <c r="H57" s="485"/>
      <c r="I57" s="485"/>
      <c r="J57" s="485"/>
      <c r="K57" s="485"/>
      <c r="L57" s="486"/>
      <c r="M57" s="487"/>
      <c r="N57" s="2511"/>
      <c r="O57" s="2511"/>
      <c r="P57" s="2511"/>
      <c r="Q57" s="2503"/>
      <c r="R57" s="2481"/>
      <c r="S57" s="2481"/>
      <c r="T57" s="2481"/>
      <c r="U57" s="2481"/>
      <c r="V57" s="2481"/>
      <c r="W57" s="2481"/>
      <c r="X57" s="2481"/>
      <c r="Y57" s="2481"/>
      <c r="Z57" s="2481"/>
      <c r="AA57" s="2481"/>
      <c r="AB57" s="2481"/>
      <c r="AC57" s="2481"/>
      <c r="AD57" s="2481"/>
    </row>
    <row r="58" spans="1:30" s="407" customFormat="1" ht="15.75" thickBot="1">
      <c r="A58" s="483"/>
      <c r="B58" s="473"/>
      <c r="C58" s="490"/>
      <c r="D58" s="466"/>
      <c r="E58" s="466"/>
      <c r="F58" s="466"/>
      <c r="G58" s="466"/>
      <c r="H58" s="466"/>
      <c r="I58" s="466"/>
      <c r="J58" s="466"/>
      <c r="K58" s="466"/>
      <c r="L58" s="466"/>
      <c r="M58" s="467"/>
      <c r="N58" s="2510"/>
      <c r="O58" s="2510"/>
      <c r="P58" s="2511"/>
      <c r="Q58" s="2503"/>
      <c r="R58" s="2481"/>
      <c r="S58" s="2481"/>
      <c r="T58" s="2481"/>
      <c r="U58" s="2481"/>
      <c r="V58" s="2481"/>
      <c r="W58" s="2481"/>
      <c r="X58" s="2481"/>
      <c r="Y58" s="2481"/>
      <c r="Z58" s="2481"/>
      <c r="AA58" s="2481"/>
      <c r="AB58" s="2481"/>
      <c r="AC58" s="2481"/>
      <c r="AD58" s="2481"/>
    </row>
    <row r="59" spans="1:30" s="407" customFormat="1" ht="15.75" thickTop="1">
      <c r="A59" s="483"/>
      <c r="B59" s="468">
        <f>B13</f>
        <v>111</v>
      </c>
      <c r="C59" s="479"/>
      <c r="D59" s="479"/>
      <c r="E59" s="479"/>
      <c r="F59" s="479"/>
      <c r="G59" s="484"/>
      <c r="H59" s="485"/>
      <c r="I59" s="485"/>
      <c r="J59" s="485"/>
      <c r="K59" s="485"/>
      <c r="L59" s="486"/>
      <c r="M59" s="487"/>
      <c r="N59" s="2511"/>
      <c r="O59" s="2511"/>
      <c r="P59" s="2481"/>
      <c r="Q59" s="2505"/>
      <c r="R59" s="2481"/>
      <c r="S59" s="2481"/>
      <c r="T59" s="2481"/>
      <c r="U59" s="2481"/>
      <c r="V59" s="2481"/>
      <c r="W59" s="2481"/>
      <c r="X59" s="2481"/>
      <c r="Y59" s="2481"/>
      <c r="Z59" s="2481"/>
      <c r="AA59" s="2481"/>
      <c r="AB59" s="2481"/>
      <c r="AC59" s="2481"/>
      <c r="AD59" s="2481"/>
    </row>
    <row r="60" spans="1:30" s="407" customFormat="1" ht="15.75" thickBot="1">
      <c r="A60" s="483"/>
      <c r="B60" s="473"/>
      <c r="C60" s="490"/>
      <c r="D60" s="490"/>
      <c r="E60" s="490"/>
      <c r="F60" s="490"/>
      <c r="G60" s="490"/>
      <c r="H60" s="492"/>
      <c r="I60" s="492"/>
      <c r="J60" s="492"/>
      <c r="K60" s="492"/>
      <c r="L60" s="492"/>
      <c r="M60" s="493"/>
      <c r="N60" s="2511"/>
      <c r="O60" s="2511"/>
      <c r="P60" s="2511"/>
      <c r="Q60" s="2503"/>
      <c r="R60" s="2481"/>
      <c r="S60" s="2481"/>
      <c r="T60" s="2481"/>
      <c r="U60" s="2481"/>
      <c r="V60" s="2481"/>
      <c r="W60" s="2481"/>
      <c r="X60" s="2481"/>
      <c r="Y60" s="2481"/>
      <c r="Z60" s="2481"/>
      <c r="AA60" s="2481"/>
      <c r="AB60" s="2481"/>
      <c r="AC60" s="2481"/>
      <c r="AD60" s="2481"/>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09"/>
      <c r="O61" s="2509"/>
      <c r="P61" s="2533"/>
      <c r="Q61" s="2496"/>
      <c r="R61" s="2475"/>
      <c r="S61" s="2475"/>
      <c r="T61" s="2475"/>
      <c r="U61" s="2475"/>
      <c r="V61" s="2475"/>
      <c r="W61" s="2475"/>
      <c r="X61" s="2475"/>
      <c r="Y61" s="2475"/>
      <c r="Z61" s="2475"/>
      <c r="AA61" s="2475"/>
      <c r="AB61" s="2475"/>
      <c r="AC61" s="2475"/>
      <c r="AD61" s="247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0"/>
      <c r="O62" s="2510"/>
      <c r="P62" s="2508"/>
      <c r="Q62" s="2496"/>
      <c r="R62" s="2475"/>
      <c r="S62" s="2475"/>
      <c r="T62" s="2475"/>
      <c r="U62" s="2475"/>
      <c r="V62" s="2475"/>
      <c r="W62" s="2475"/>
      <c r="X62" s="2475"/>
      <c r="Y62" s="2475"/>
      <c r="Z62" s="2475"/>
      <c r="AA62" s="2475"/>
      <c r="AB62" s="2475"/>
      <c r="AC62" s="2475"/>
      <c r="AD62" s="2475"/>
    </row>
    <row r="63" spans="1:30" ht="27.75" thickTop="1">
      <c r="A63" s="366"/>
      <c r="B63" s="468" t="s">
        <v>1860</v>
      </c>
      <c r="C63" s="508" t="s">
        <v>1718</v>
      </c>
      <c r="D63" s="508" t="s">
        <v>1719</v>
      </c>
      <c r="E63" s="508" t="s">
        <v>1720</v>
      </c>
      <c r="F63" s="508" t="s">
        <v>1721</v>
      </c>
      <c r="G63" s="508" t="s">
        <v>1722</v>
      </c>
      <c r="H63" s="469"/>
      <c r="I63" s="469"/>
      <c r="J63" s="469"/>
      <c r="K63" s="470"/>
      <c r="L63" s="471"/>
      <c r="M63" s="472"/>
      <c r="N63" s="2509"/>
      <c r="O63" s="2509"/>
      <c r="P63" s="2508"/>
      <c r="Q63" s="2496"/>
      <c r="R63" s="2475"/>
      <c r="S63" s="2475"/>
      <c r="T63" s="2475"/>
      <c r="U63" s="2475"/>
      <c r="V63" s="2475"/>
      <c r="W63" s="2475"/>
      <c r="X63" s="2475"/>
      <c r="Y63" s="2475"/>
      <c r="Z63" s="2475"/>
      <c r="AA63" s="2475"/>
      <c r="AB63" s="2475"/>
      <c r="AC63" s="2475"/>
      <c r="AD63" s="247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0"/>
      <c r="O64" s="2510"/>
      <c r="P64" s="2508"/>
      <c r="Q64" s="2496"/>
      <c r="R64" s="2475"/>
      <c r="S64" s="2475"/>
      <c r="T64" s="2475"/>
      <c r="U64" s="2475"/>
      <c r="V64" s="2475"/>
      <c r="W64" s="2475"/>
      <c r="X64" s="2475"/>
      <c r="Y64" s="2475"/>
      <c r="Z64" s="2475"/>
      <c r="AA64" s="2475"/>
      <c r="AB64" s="2475"/>
      <c r="AC64" s="2475"/>
      <c r="AD64" s="2475"/>
    </row>
    <row r="65" spans="1:30" ht="15.75" thickTop="1">
      <c r="A65" s="366"/>
      <c r="B65" s="476" t="s">
        <v>1810</v>
      </c>
      <c r="C65" s="580" t="s">
        <v>1796</v>
      </c>
      <c r="D65" s="580" t="s">
        <v>1797</v>
      </c>
      <c r="E65" s="580" t="s">
        <v>1798</v>
      </c>
      <c r="F65" s="580" t="s">
        <v>1799</v>
      </c>
      <c r="G65" s="580" t="s">
        <v>1800</v>
      </c>
      <c r="H65" s="469"/>
      <c r="I65" s="469"/>
      <c r="J65" s="469"/>
      <c r="K65" s="469"/>
      <c r="L65" s="469"/>
      <c r="M65" s="1053"/>
      <c r="N65" s="2510"/>
      <c r="O65" s="2510"/>
      <c r="P65" s="2508"/>
      <c r="Q65" s="2496"/>
      <c r="R65" s="2475"/>
      <c r="S65" s="2475"/>
      <c r="T65" s="2475"/>
      <c r="U65" s="2475"/>
      <c r="V65" s="2475"/>
      <c r="W65" s="2475"/>
      <c r="X65" s="2475"/>
      <c r="Y65" s="2475"/>
      <c r="Z65" s="2475"/>
      <c r="AA65" s="2475"/>
      <c r="AB65" s="2475"/>
      <c r="AC65" s="2475"/>
      <c r="AD65" s="247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0"/>
      <c r="O66" s="2510"/>
      <c r="P66" s="2508"/>
      <c r="Q66" s="2496"/>
      <c r="R66" s="2475"/>
      <c r="S66" s="2475"/>
      <c r="T66" s="2475"/>
      <c r="U66" s="2475"/>
      <c r="V66" s="2475"/>
      <c r="W66" s="2475"/>
      <c r="X66" s="2475"/>
      <c r="Y66" s="2475"/>
      <c r="Z66" s="2475"/>
      <c r="AA66" s="2475"/>
      <c r="AB66" s="2475"/>
      <c r="AC66" s="2475"/>
      <c r="AD66" s="2475"/>
    </row>
    <row r="67" spans="1:30" ht="15.75" thickTop="1">
      <c r="A67" s="366"/>
      <c r="B67" s="468" t="s">
        <v>1730</v>
      </c>
      <c r="C67" s="508" t="s">
        <v>1718</v>
      </c>
      <c r="D67" s="508" t="s">
        <v>1719</v>
      </c>
      <c r="E67" s="508" t="s">
        <v>1720</v>
      </c>
      <c r="F67" s="508" t="s">
        <v>1721</v>
      </c>
      <c r="G67" s="508" t="s">
        <v>1722</v>
      </c>
      <c r="H67" s="469"/>
      <c r="I67" s="469"/>
      <c r="J67" s="469"/>
      <c r="K67" s="470"/>
      <c r="L67" s="471"/>
      <c r="M67" s="472"/>
      <c r="N67" s="2509"/>
      <c r="O67" s="2509"/>
      <c r="P67" s="2508"/>
      <c r="Q67" s="2496"/>
      <c r="R67" s="2475"/>
      <c r="S67" s="2475"/>
      <c r="T67" s="2475"/>
      <c r="U67" s="2475"/>
      <c r="V67" s="2475"/>
      <c r="W67" s="2475"/>
      <c r="X67" s="2475"/>
      <c r="Y67" s="2475"/>
      <c r="Z67" s="2475"/>
      <c r="AA67" s="2475"/>
      <c r="AB67" s="2475"/>
      <c r="AC67" s="2475"/>
      <c r="AD67" s="247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0"/>
      <c r="O68" s="2510"/>
      <c r="P68" s="2508"/>
      <c r="Q68" s="2496"/>
      <c r="R68" s="2475"/>
      <c r="S68" s="2475"/>
      <c r="T68" s="2475"/>
      <c r="U68" s="2475"/>
      <c r="V68" s="2475"/>
      <c r="W68" s="2475"/>
      <c r="X68" s="2475"/>
      <c r="Y68" s="2475"/>
      <c r="Z68" s="2475"/>
      <c r="AA68" s="2475"/>
      <c r="AB68" s="2475"/>
      <c r="AC68" s="2475"/>
      <c r="AD68" s="2475"/>
    </row>
    <row r="69" spans="1:30" ht="15.75" thickTop="1">
      <c r="A69" s="366"/>
      <c r="B69" s="468" t="s">
        <v>1849</v>
      </c>
      <c r="C69" s="484"/>
      <c r="D69" s="484"/>
      <c r="E69" s="484"/>
      <c r="F69" s="484"/>
      <c r="G69" s="484"/>
      <c r="H69" s="512"/>
      <c r="I69" s="512"/>
      <c r="J69" s="512"/>
      <c r="K69" s="513"/>
      <c r="L69" s="514"/>
      <c r="M69" s="515"/>
      <c r="N69" s="2509"/>
      <c r="O69" s="2509"/>
      <c r="P69" s="2508"/>
      <c r="Q69" s="2496"/>
      <c r="R69" s="2475"/>
      <c r="S69" s="2475"/>
      <c r="T69" s="2475"/>
      <c r="U69" s="2475"/>
      <c r="V69" s="2475"/>
      <c r="W69" s="2475"/>
      <c r="X69" s="2475"/>
      <c r="Y69" s="2475"/>
      <c r="Z69" s="2475"/>
      <c r="AA69" s="2475"/>
      <c r="AB69" s="2475"/>
      <c r="AC69" s="2475"/>
      <c r="AD69" s="2475"/>
    </row>
    <row r="70" spans="1:30" ht="15.75" thickBot="1">
      <c r="A70" s="366"/>
      <c r="B70" s="473"/>
      <c r="C70" s="474">
        <v>100</v>
      </c>
      <c r="D70" s="474">
        <f>C70-$K22</f>
        <v>100</v>
      </c>
      <c r="E70" s="474"/>
      <c r="F70" s="474"/>
      <c r="G70" s="474"/>
      <c r="H70" s="474"/>
      <c r="I70" s="474"/>
      <c r="J70" s="474"/>
      <c r="K70" s="474"/>
      <c r="L70" s="474"/>
      <c r="M70" s="475"/>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69"/>
      <c r="B71" s="468">
        <f>B23</f>
        <v>111</v>
      </c>
      <c r="C71" s="479"/>
      <c r="D71" s="479"/>
      <c r="E71" s="479"/>
      <c r="F71" s="479"/>
      <c r="G71" s="484"/>
      <c r="H71" s="484"/>
      <c r="I71" s="484"/>
      <c r="J71" s="484"/>
      <c r="K71" s="484"/>
      <c r="L71" s="509"/>
      <c r="M71" s="510"/>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69"/>
      <c r="B72" s="473"/>
      <c r="C72" s="490"/>
      <c r="D72" s="466"/>
      <c r="E72" s="466"/>
      <c r="F72" s="466"/>
      <c r="G72" s="466"/>
      <c r="H72" s="466"/>
      <c r="I72" s="466"/>
      <c r="J72" s="466"/>
      <c r="K72" s="466"/>
      <c r="L72" s="466"/>
      <c r="M72" s="467"/>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69"/>
      <c r="B73" s="468">
        <f>B24</f>
        <v>111</v>
      </c>
      <c r="C73" s="479"/>
      <c r="D73" s="479"/>
      <c r="E73" s="479"/>
      <c r="F73" s="479"/>
      <c r="G73" s="484"/>
      <c r="H73" s="484"/>
      <c r="I73" s="484"/>
      <c r="J73" s="484"/>
      <c r="K73" s="484"/>
      <c r="L73" s="484"/>
      <c r="M73" s="510"/>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69"/>
      <c r="B74" s="473"/>
      <c r="C74" s="490"/>
      <c r="D74" s="466"/>
      <c r="E74" s="466"/>
      <c r="F74" s="466"/>
      <c r="G74" s="466"/>
      <c r="H74" s="466"/>
      <c r="I74" s="466"/>
      <c r="J74" s="466"/>
      <c r="K74" s="466"/>
      <c r="L74" s="466"/>
      <c r="M74" s="467"/>
      <c r="N74" s="2510"/>
      <c r="O74" s="2510"/>
      <c r="P74" s="2508"/>
      <c r="Q74" s="2496"/>
      <c r="R74" s="2427"/>
      <c r="S74" s="2427"/>
      <c r="T74" s="2427"/>
      <c r="U74" s="2427"/>
      <c r="V74" s="2427"/>
      <c r="W74" s="2427"/>
      <c r="X74" s="2427"/>
      <c r="Y74" s="2427"/>
      <c r="Z74" s="2427"/>
      <c r="AA74" s="2427"/>
      <c r="AB74" s="2427"/>
      <c r="AC74" s="2427"/>
      <c r="AD74" s="2427"/>
    </row>
    <row r="75" spans="1:30" s="407" customFormat="1" ht="15.75" thickTop="1">
      <c r="A75" s="483"/>
      <c r="B75" s="468">
        <f>B25</f>
        <v>111</v>
      </c>
      <c r="C75" s="479"/>
      <c r="D75" s="479"/>
      <c r="E75" s="479"/>
      <c r="F75" s="479"/>
      <c r="G75" s="484"/>
      <c r="H75" s="485"/>
      <c r="I75" s="485"/>
      <c r="J75" s="485"/>
      <c r="K75" s="485"/>
      <c r="L75" s="486"/>
      <c r="M75" s="487"/>
      <c r="N75" s="2511"/>
      <c r="O75" s="2511"/>
      <c r="P75" s="2511"/>
      <c r="Q75" s="2503"/>
      <c r="R75" s="2481"/>
      <c r="S75" s="2481"/>
      <c r="T75" s="2481"/>
      <c r="U75" s="2481"/>
      <c r="V75" s="2481"/>
      <c r="W75" s="2481"/>
      <c r="X75" s="2481"/>
      <c r="Y75" s="2481"/>
      <c r="Z75" s="2481"/>
      <c r="AA75" s="2481"/>
      <c r="AB75" s="2481"/>
      <c r="AC75" s="2481"/>
      <c r="AD75" s="2481"/>
    </row>
    <row r="76" spans="1:30" s="407" customFormat="1" ht="15.75" thickBot="1">
      <c r="A76" s="483"/>
      <c r="B76" s="473"/>
      <c r="C76" s="490"/>
      <c r="D76" s="490"/>
      <c r="E76" s="490"/>
      <c r="F76" s="490"/>
      <c r="G76" s="466"/>
      <c r="H76" s="466"/>
      <c r="I76" s="466"/>
      <c r="J76" s="466"/>
      <c r="K76" s="466"/>
      <c r="L76" s="466"/>
      <c r="M76" s="467"/>
      <c r="N76" s="2511"/>
      <c r="O76" s="2511"/>
      <c r="P76" s="2511"/>
      <c r="Q76" s="2503"/>
      <c r="R76" s="2481"/>
      <c r="S76" s="2481"/>
      <c r="T76" s="2481"/>
      <c r="U76" s="2481"/>
      <c r="V76" s="2481"/>
      <c r="W76" s="2481"/>
      <c r="X76" s="2481"/>
      <c r="Y76" s="2481"/>
      <c r="Z76" s="2481"/>
      <c r="AA76" s="2481"/>
      <c r="AB76" s="2481"/>
      <c r="AC76" s="2481"/>
      <c r="AD76" s="2481"/>
    </row>
    <row r="77" spans="1:30" ht="15" thickTop="1">
      <c r="A77" s="378" t="s">
        <v>1691</v>
      </c>
      <c r="B77" s="459" t="s">
        <v>1737</v>
      </c>
      <c r="C77" s="484"/>
      <c r="D77" s="484"/>
      <c r="E77" s="461"/>
      <c r="F77" s="461"/>
      <c r="G77" s="461"/>
      <c r="H77" s="461"/>
      <c r="I77" s="461"/>
      <c r="J77" s="461"/>
      <c r="K77" s="462"/>
      <c r="L77" s="463"/>
      <c r="M77" s="464"/>
      <c r="N77" s="2509"/>
      <c r="O77" s="2509"/>
      <c r="P77" s="2508"/>
      <c r="Q77" s="2496"/>
      <c r="R77" s="2475"/>
      <c r="S77" s="2475"/>
      <c r="T77" s="2475"/>
      <c r="U77" s="2475"/>
      <c r="V77" s="2475"/>
      <c r="W77" s="2475"/>
      <c r="X77" s="2475"/>
      <c r="Y77" s="2475"/>
      <c r="Z77" s="2475"/>
      <c r="AA77" s="2475"/>
      <c r="AB77" s="2475"/>
      <c r="AC77" s="2475"/>
      <c r="AD77" s="247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8"/>
      <c r="O79" s="2508"/>
      <c r="P79" s="2508"/>
      <c r="Q79" s="2496"/>
      <c r="R79" s="2475"/>
      <c r="S79" s="2475"/>
      <c r="T79" s="2475"/>
      <c r="U79" s="2475"/>
      <c r="V79" s="2475"/>
      <c r="W79" s="2475"/>
      <c r="X79" s="2475"/>
      <c r="Y79" s="2475"/>
      <c r="Z79" s="2475"/>
      <c r="AA79" s="2475"/>
      <c r="AB79" s="2475"/>
      <c r="AC79" s="2475"/>
      <c r="AD79" s="2475"/>
    </row>
    <row r="80" spans="1:30" ht="15">
      <c r="A80" s="366"/>
      <c r="B80" s="476"/>
      <c r="C80" s="529">
        <v>0.5</v>
      </c>
      <c r="D80" s="529">
        <v>0.6</v>
      </c>
      <c r="E80" s="529">
        <v>0.7</v>
      </c>
      <c r="F80" s="529">
        <v>0.8</v>
      </c>
      <c r="G80" s="529">
        <v>0.9</v>
      </c>
      <c r="H80" s="529">
        <v>1.0001</v>
      </c>
      <c r="I80" s="580"/>
      <c r="J80" s="580"/>
      <c r="K80" s="587"/>
      <c r="L80" s="588"/>
      <c r="M80" s="589"/>
      <c r="N80" s="2508"/>
      <c r="O80" s="2508"/>
      <c r="P80" s="2508"/>
      <c r="Q80" s="2496"/>
      <c r="R80" s="2475"/>
      <c r="S80" s="2475"/>
      <c r="T80" s="2475"/>
      <c r="U80" s="2475"/>
      <c r="V80" s="2475"/>
      <c r="W80" s="2475"/>
      <c r="X80" s="2475"/>
      <c r="Y80" s="2475"/>
      <c r="Z80" s="2475"/>
      <c r="AA80" s="2475"/>
      <c r="AB80" s="2475"/>
      <c r="AC80" s="2475"/>
      <c r="AD80" s="247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8"/>
      <c r="B82" s="476" t="s">
        <v>1853</v>
      </c>
      <c r="C82" s="484"/>
      <c r="D82" s="484"/>
      <c r="E82" s="512"/>
      <c r="F82" s="512"/>
      <c r="G82" s="512"/>
      <c r="H82" s="512"/>
      <c r="I82" s="512"/>
      <c r="J82" s="512"/>
      <c r="K82" s="513"/>
      <c r="L82" s="514"/>
      <c r="M82" s="515"/>
      <c r="N82" s="2509"/>
      <c r="O82" s="2509"/>
      <c r="P82" s="2508"/>
      <c r="Q82" s="2496"/>
      <c r="R82" s="2475"/>
      <c r="S82" s="2475"/>
      <c r="T82" s="2475"/>
      <c r="U82" s="2475"/>
      <c r="V82" s="2475"/>
      <c r="W82" s="2475"/>
      <c r="X82" s="2475"/>
      <c r="Y82" s="2475"/>
      <c r="Z82" s="2475"/>
      <c r="AA82" s="2475"/>
      <c r="AB82" s="2475"/>
      <c r="AC82" s="2475"/>
      <c r="AD82" s="247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8"/>
      <c r="B84" s="468" t="s">
        <v>1861</v>
      </c>
      <c r="C84" s="484"/>
      <c r="D84" s="484"/>
      <c r="E84" s="484"/>
      <c r="F84" s="484"/>
      <c r="G84" s="484"/>
      <c r="H84" s="484"/>
      <c r="I84" s="512"/>
      <c r="J84" s="512"/>
      <c r="K84" s="513"/>
      <c r="L84" s="514"/>
      <c r="M84" s="515"/>
      <c r="N84" s="2509"/>
      <c r="O84" s="2509"/>
      <c r="P84" s="2508"/>
      <c r="Q84" s="2496"/>
      <c r="R84" s="2475"/>
      <c r="S84" s="2475"/>
      <c r="T84" s="2475"/>
      <c r="U84" s="2475"/>
      <c r="V84" s="2475"/>
      <c r="W84" s="2475"/>
      <c r="X84" s="2475"/>
      <c r="Y84" s="2475"/>
      <c r="Z84" s="2475"/>
      <c r="AA84" s="2475"/>
      <c r="AB84" s="2475"/>
      <c r="AC84" s="2475"/>
      <c r="AD84" s="247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8"/>
      <c r="B87" s="476"/>
      <c r="C87" s="6"/>
      <c r="D87" s="6"/>
      <c r="E87" s="6"/>
      <c r="F87" s="6"/>
      <c r="G87" s="6"/>
      <c r="H87" s="6"/>
      <c r="I87" s="6"/>
      <c r="J87" s="523"/>
      <c r="K87" s="523"/>
      <c r="L87" s="524"/>
      <c r="M87" s="525"/>
      <c r="N87" s="2509"/>
      <c r="O87" s="2509"/>
      <c r="P87" s="2508"/>
      <c r="Q87" s="2496"/>
      <c r="R87" s="2475"/>
      <c r="S87" s="2475"/>
      <c r="T87" s="2475"/>
      <c r="U87" s="2475"/>
      <c r="V87" s="2475"/>
      <c r="W87" s="2475"/>
      <c r="X87" s="2475"/>
      <c r="Y87" s="2475"/>
      <c r="Z87" s="2475"/>
      <c r="AA87" s="2475"/>
      <c r="AB87" s="2475"/>
      <c r="AC87" s="2475"/>
      <c r="AD87" s="2475"/>
    </row>
    <row r="88" spans="1:30" ht="15.75" thickBot="1">
      <c r="A88" s="366"/>
      <c r="B88" s="473"/>
      <c r="C88" s="490"/>
      <c r="D88" s="466"/>
      <c r="E88" s="466"/>
      <c r="F88" s="466"/>
      <c r="G88" s="466"/>
      <c r="H88" s="466"/>
      <c r="I88" s="466"/>
      <c r="J88" s="466"/>
      <c r="K88" s="466"/>
      <c r="L88" s="466"/>
      <c r="M88" s="466"/>
      <c r="N88" s="2510"/>
      <c r="O88" s="2510"/>
      <c r="P88" s="2508"/>
      <c r="Q88" s="2496"/>
      <c r="R88" s="2475"/>
      <c r="S88" s="2475"/>
      <c r="T88" s="2475"/>
      <c r="U88" s="2475"/>
      <c r="V88" s="2475"/>
      <c r="W88" s="2475"/>
      <c r="X88" s="2475"/>
      <c r="Y88" s="2475"/>
      <c r="Z88" s="2475"/>
      <c r="AA88" s="2475"/>
      <c r="AB88" s="2475"/>
      <c r="AC88" s="2475"/>
      <c r="AD88" s="2475"/>
    </row>
    <row r="89" spans="1:30" s="407" customFormat="1" ht="15" thickTop="1">
      <c r="A89" s="405"/>
      <c r="B89" s="468" t="s">
        <v>1863</v>
      </c>
      <c r="C89" s="484"/>
      <c r="D89" s="484"/>
      <c r="E89" s="484"/>
      <c r="F89" s="484"/>
      <c r="G89" s="484"/>
      <c r="H89" s="484"/>
      <c r="I89" s="484"/>
      <c r="J89" s="484"/>
      <c r="K89" s="484"/>
      <c r="L89" s="484"/>
      <c r="M89" s="510"/>
      <c r="N89" s="2511"/>
      <c r="O89" s="2511"/>
      <c r="P89" s="2511"/>
      <c r="Q89" s="2503"/>
      <c r="R89" s="2481"/>
      <c r="S89" s="2481"/>
      <c r="T89" s="2481"/>
      <c r="U89" s="2481"/>
      <c r="V89" s="2481"/>
      <c r="W89" s="2481"/>
      <c r="X89" s="2481"/>
      <c r="Y89" s="2481"/>
      <c r="Z89" s="2481"/>
      <c r="AA89" s="2481"/>
      <c r="AB89" s="2481"/>
      <c r="AC89" s="2481"/>
      <c r="AD89" s="2481"/>
    </row>
    <row r="90" spans="1:30" s="407" customFormat="1" ht="15.75" thickBot="1">
      <c r="A90" s="483"/>
      <c r="B90" s="473"/>
      <c r="C90" s="490"/>
      <c r="D90" s="466"/>
      <c r="E90" s="466"/>
      <c r="F90" s="466"/>
      <c r="G90" s="466"/>
      <c r="H90" s="466"/>
      <c r="I90" s="466"/>
      <c r="J90" s="466"/>
      <c r="K90" s="466"/>
      <c r="L90" s="466"/>
      <c r="M90" s="467"/>
      <c r="N90" s="2511"/>
      <c r="O90" s="2511"/>
      <c r="P90" s="2511"/>
      <c r="Q90" s="2503"/>
      <c r="R90" s="2481"/>
      <c r="S90" s="2481"/>
      <c r="T90" s="2481"/>
      <c r="U90" s="2481"/>
      <c r="V90" s="2481"/>
      <c r="W90" s="2481"/>
      <c r="X90" s="2481"/>
      <c r="Y90" s="2481"/>
      <c r="Z90" s="2481"/>
      <c r="AA90" s="2481"/>
      <c r="AB90" s="2481"/>
      <c r="AC90" s="2481"/>
      <c r="AD90" s="2481"/>
    </row>
    <row r="91" spans="1:30" ht="15" thickTop="1">
      <c r="A91" s="408"/>
      <c r="B91" s="468">
        <f>B32</f>
        <v>111</v>
      </c>
      <c r="C91" s="479"/>
      <c r="D91" s="479"/>
      <c r="E91" s="479"/>
      <c r="F91" s="479"/>
      <c r="G91" s="484"/>
      <c r="H91" s="485"/>
      <c r="I91" s="485"/>
      <c r="J91" s="485"/>
      <c r="K91" s="485"/>
      <c r="L91" s="486"/>
      <c r="M91" s="487"/>
      <c r="N91" s="2509"/>
      <c r="O91" s="2509"/>
      <c r="P91" s="2508"/>
      <c r="Q91" s="2496"/>
      <c r="R91" s="2475"/>
      <c r="S91" s="2475"/>
      <c r="T91" s="2475"/>
      <c r="U91" s="2475"/>
      <c r="V91" s="2475"/>
      <c r="W91" s="2475"/>
      <c r="X91" s="2475"/>
      <c r="Y91" s="2475"/>
      <c r="Z91" s="2475"/>
      <c r="AA91" s="2475"/>
      <c r="AB91" s="2475"/>
      <c r="AC91" s="2475"/>
      <c r="AD91" s="2475"/>
    </row>
    <row r="92" spans="1:30" ht="15.75" thickBot="1">
      <c r="A92" s="366"/>
      <c r="B92" s="473"/>
      <c r="C92" s="490"/>
      <c r="D92" s="466"/>
      <c r="E92" s="466"/>
      <c r="F92" s="466"/>
      <c r="G92" s="490"/>
      <c r="H92" s="492"/>
      <c r="I92" s="492"/>
      <c r="J92" s="492"/>
      <c r="K92" s="492"/>
      <c r="L92" s="492"/>
      <c r="M92" s="493"/>
      <c r="N92" s="2510"/>
      <c r="O92" s="2510"/>
      <c r="P92" s="2508"/>
      <c r="Q92" s="2496"/>
      <c r="R92" s="2475"/>
      <c r="S92" s="2475"/>
      <c r="T92" s="2475"/>
      <c r="U92" s="2475"/>
      <c r="V92" s="2475"/>
      <c r="W92" s="2475"/>
      <c r="X92" s="2475"/>
      <c r="Y92" s="2475"/>
      <c r="Z92" s="2475"/>
      <c r="AA92" s="2475"/>
      <c r="AB92" s="2475"/>
      <c r="AC92" s="2475"/>
      <c r="AD92" s="2475"/>
    </row>
    <row r="93" spans="1:30" ht="15" thickTop="1">
      <c r="A93" s="408"/>
      <c r="B93" s="468">
        <f>B33</f>
        <v>111</v>
      </c>
      <c r="C93" s="479"/>
      <c r="D93" s="479"/>
      <c r="E93" s="479"/>
      <c r="F93" s="479"/>
      <c r="G93" s="484"/>
      <c r="H93" s="485"/>
      <c r="I93" s="485"/>
      <c r="J93" s="485"/>
      <c r="K93" s="485"/>
      <c r="L93" s="486"/>
      <c r="M93" s="487"/>
      <c r="N93" s="2509"/>
      <c r="O93" s="2509"/>
      <c r="P93" s="2508"/>
      <c r="Q93" s="2496"/>
      <c r="R93" s="2475"/>
      <c r="S93" s="2475"/>
      <c r="T93" s="2475"/>
      <c r="U93" s="2475"/>
      <c r="V93" s="2475"/>
      <c r="W93" s="2475"/>
      <c r="X93" s="2475"/>
      <c r="Y93" s="2475"/>
      <c r="Z93" s="2475"/>
      <c r="AA93" s="2475"/>
      <c r="AB93" s="2475"/>
      <c r="AC93" s="2475"/>
      <c r="AD93" s="2475"/>
    </row>
    <row r="94" spans="1:30" ht="15.75" thickBot="1">
      <c r="A94" s="366"/>
      <c r="B94" s="473"/>
      <c r="C94" s="490"/>
      <c r="D94" s="466"/>
      <c r="E94" s="466"/>
      <c r="F94" s="466"/>
      <c r="G94" s="490"/>
      <c r="H94" s="492"/>
      <c r="I94" s="492"/>
      <c r="J94" s="492"/>
      <c r="K94" s="492"/>
      <c r="L94" s="492"/>
      <c r="M94" s="493"/>
      <c r="N94" s="2510"/>
      <c r="O94" s="2510"/>
      <c r="P94" s="2508"/>
      <c r="Q94" s="2496"/>
      <c r="R94" s="2475"/>
      <c r="S94" s="2475"/>
      <c r="T94" s="2475"/>
      <c r="U94" s="2475"/>
      <c r="V94" s="2475"/>
      <c r="W94" s="2475"/>
      <c r="X94" s="2475"/>
      <c r="Y94" s="2475"/>
      <c r="Z94" s="2475"/>
      <c r="AA94" s="2475"/>
      <c r="AB94" s="2475"/>
      <c r="AC94" s="2475"/>
      <c r="AD94" s="2475"/>
    </row>
    <row r="95" spans="1:30" ht="15" thickTop="1">
      <c r="A95" s="408"/>
      <c r="B95" s="559">
        <f>B34</f>
        <v>111</v>
      </c>
      <c r="C95" s="479"/>
      <c r="D95" s="479"/>
      <c r="E95" s="479"/>
      <c r="F95" s="479"/>
      <c r="G95" s="484"/>
      <c r="H95" s="485"/>
      <c r="I95" s="485"/>
      <c r="J95" s="485"/>
      <c r="K95" s="485"/>
      <c r="L95" s="486"/>
      <c r="M95" s="487"/>
      <c r="N95" s="2510"/>
      <c r="O95" s="2510"/>
      <c r="P95" s="2510"/>
      <c r="Q95" s="2524"/>
      <c r="R95" s="2475"/>
      <c r="S95" s="2475"/>
      <c r="T95" s="2475"/>
      <c r="U95" s="2475"/>
      <c r="V95" s="2475"/>
      <c r="W95" s="2475"/>
      <c r="X95" s="2475"/>
      <c r="Y95" s="2475"/>
      <c r="Z95" s="2475"/>
      <c r="AA95" s="2475"/>
      <c r="AB95" s="2475"/>
      <c r="AC95" s="2475"/>
      <c r="AD95" s="2475"/>
    </row>
    <row r="96" spans="1:30" ht="15.75" thickBot="1">
      <c r="A96" s="366"/>
      <c r="B96" s="473"/>
      <c r="C96" s="490"/>
      <c r="D96" s="490"/>
      <c r="E96" s="490"/>
      <c r="F96" s="490"/>
      <c r="G96" s="490"/>
      <c r="H96" s="492"/>
      <c r="I96" s="492"/>
      <c r="J96" s="492"/>
      <c r="K96" s="492"/>
      <c r="L96" s="492"/>
      <c r="M96" s="493"/>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75"/>
      <c r="B98" s="875"/>
      <c r="C98" s="875"/>
      <c r="D98" s="875"/>
      <c r="E98" s="875"/>
      <c r="F98" s="875"/>
      <c r="G98" s="875"/>
      <c r="H98" s="875"/>
      <c r="I98" s="875"/>
      <c r="J98" s="875"/>
      <c r="K98" s="876"/>
      <c r="L98" s="877"/>
      <c r="M98" s="875"/>
      <c r="N98" s="2475"/>
      <c r="O98" s="2475"/>
      <c r="P98" s="2475"/>
      <c r="Q98" s="2475"/>
      <c r="R98" s="2475"/>
      <c r="S98" s="2475"/>
      <c r="T98" s="2475"/>
      <c r="U98" s="2475"/>
      <c r="V98" s="2475"/>
      <c r="W98" s="2475"/>
      <c r="X98" s="2475"/>
      <c r="Y98" s="2475"/>
      <c r="Z98" s="2475"/>
      <c r="AA98" s="2475"/>
      <c r="AB98" s="2475"/>
      <c r="AC98" s="2475"/>
      <c r="AD98" s="2475"/>
    </row>
    <row r="99" spans="1:30">
      <c r="A99" s="875"/>
      <c r="B99" s="875"/>
      <c r="C99" s="875"/>
      <c r="D99" s="875"/>
      <c r="E99" s="875"/>
      <c r="F99" s="875"/>
      <c r="G99" s="875"/>
      <c r="H99" s="875"/>
      <c r="I99" s="875"/>
      <c r="J99" s="875"/>
      <c r="K99" s="876"/>
      <c r="L99" s="877"/>
      <c r="M99" s="875"/>
      <c r="N99" s="2475"/>
      <c r="O99" s="2475"/>
      <c r="P99" s="2475"/>
      <c r="Q99" s="2475"/>
      <c r="R99" s="2475"/>
      <c r="S99" s="2475"/>
      <c r="T99" s="2475"/>
      <c r="U99" s="2475"/>
      <c r="V99" s="2475"/>
      <c r="W99" s="2475"/>
      <c r="X99" s="2475"/>
      <c r="Y99" s="2475"/>
      <c r="Z99" s="2475"/>
      <c r="AA99" s="2475"/>
      <c r="AB99" s="2475"/>
      <c r="AC99" s="2475"/>
      <c r="AD99" s="2475"/>
    </row>
    <row r="100" spans="1:30">
      <c r="A100" s="875"/>
      <c r="B100" s="875"/>
      <c r="C100" s="875"/>
      <c r="D100" s="875"/>
      <c r="E100" s="875"/>
      <c r="F100" s="875"/>
      <c r="G100" s="875"/>
      <c r="H100" s="875"/>
      <c r="I100" s="875"/>
      <c r="J100" s="875"/>
      <c r="K100" s="876"/>
      <c r="L100" s="877"/>
      <c r="M100" s="875"/>
      <c r="N100" s="2475"/>
      <c r="O100" s="2475"/>
      <c r="P100" s="2475"/>
      <c r="Q100" s="2475"/>
      <c r="R100" s="2475"/>
      <c r="S100" s="2475"/>
      <c r="T100" s="2475"/>
      <c r="U100" s="2475"/>
      <c r="V100" s="2475"/>
      <c r="W100" s="2475"/>
      <c r="X100" s="2475"/>
      <c r="Y100" s="2475"/>
      <c r="Z100" s="2475"/>
      <c r="AA100" s="2475"/>
      <c r="AB100" s="2475"/>
      <c r="AC100" s="2475"/>
      <c r="AD100" s="2475"/>
    </row>
    <row r="101" spans="1:30">
      <c r="A101" s="875"/>
      <c r="B101" s="875"/>
      <c r="C101" s="875"/>
      <c r="D101" s="875"/>
      <c r="E101" s="875"/>
      <c r="F101" s="875"/>
      <c r="G101" s="875"/>
      <c r="H101" s="875"/>
      <c r="I101" s="875"/>
      <c r="J101" s="875"/>
      <c r="K101" s="876"/>
      <c r="L101" s="877"/>
      <c r="M101" s="875"/>
      <c r="N101" s="2475"/>
      <c r="O101" s="2475"/>
      <c r="P101" s="2475"/>
      <c r="Q101" s="2475"/>
      <c r="R101" s="2475"/>
      <c r="S101" s="2475"/>
      <c r="T101" s="2475"/>
      <c r="U101" s="2475"/>
      <c r="V101" s="2475"/>
      <c r="W101" s="2475"/>
      <c r="X101" s="2475"/>
      <c r="Y101" s="2475"/>
      <c r="Z101" s="2475"/>
      <c r="AA101" s="2475"/>
      <c r="AB101" s="2475"/>
      <c r="AC101" s="2475"/>
      <c r="AD101" s="2475"/>
    </row>
    <row r="102" spans="1:30">
      <c r="A102" s="875"/>
      <c r="B102" s="875"/>
      <c r="C102" s="875"/>
      <c r="D102" s="875"/>
      <c r="E102" s="875"/>
      <c r="F102" s="875"/>
      <c r="G102" s="875"/>
      <c r="H102" s="875"/>
      <c r="I102" s="875"/>
      <c r="J102" s="875"/>
      <c r="K102" s="876"/>
      <c r="L102" s="877"/>
      <c r="M102" s="875"/>
      <c r="N102" s="2475"/>
      <c r="O102" s="2475"/>
      <c r="P102" s="2475"/>
      <c r="Q102" s="2475"/>
      <c r="R102" s="2475"/>
      <c r="S102" s="2475"/>
      <c r="T102" s="2475"/>
      <c r="U102" s="2475"/>
      <c r="V102" s="2475"/>
      <c r="W102" s="2475"/>
      <c r="X102" s="2475"/>
      <c r="Y102" s="2475"/>
      <c r="Z102" s="2475"/>
      <c r="AA102" s="2475"/>
      <c r="AB102" s="2475"/>
      <c r="AC102" s="2475"/>
      <c r="AD102" s="2475"/>
    </row>
    <row r="103" spans="1:30">
      <c r="A103" s="875"/>
      <c r="B103" s="875"/>
      <c r="C103" s="875"/>
      <c r="D103" s="875"/>
      <c r="E103" s="875"/>
      <c r="F103" s="875"/>
      <c r="G103" s="875"/>
      <c r="H103" s="875"/>
      <c r="I103" s="875"/>
      <c r="J103" s="875"/>
      <c r="K103" s="876"/>
      <c r="L103" s="877"/>
      <c r="M103" s="875"/>
      <c r="N103" s="875"/>
      <c r="O103" s="875"/>
      <c r="P103" s="2475"/>
      <c r="Q103" s="2475"/>
      <c r="R103" s="2475"/>
      <c r="S103" s="2475"/>
      <c r="T103" s="2475"/>
      <c r="U103" s="2475"/>
      <c r="V103" s="2475"/>
      <c r="W103" s="2475"/>
      <c r="X103" s="2475"/>
      <c r="Y103" s="2475"/>
      <c r="Z103" s="2475"/>
      <c r="AA103" s="2475"/>
      <c r="AB103" s="2475"/>
      <c r="AC103" s="2475"/>
      <c r="AD103" s="2475"/>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905</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80"/>
      <c r="B4" s="3205" t="s">
        <v>914</v>
      </c>
      <c r="C4" s="3205"/>
      <c r="D4" s="3205"/>
      <c r="E4" s="1380"/>
    </row>
    <row r="5" spans="1:5" ht="16.5" thickTop="1">
      <c r="B5" s="3203" t="s">
        <v>906</v>
      </c>
      <c r="C5" s="1381" t="s">
        <v>907</v>
      </c>
      <c r="D5" s="791" t="e">
        <f ca="1">结果表!H101</f>
        <v>#REF!</v>
      </c>
    </row>
    <row r="6" spans="1:5" ht="15.75">
      <c r="B6" s="3203"/>
      <c r="C6" s="1381" t="s">
        <v>908</v>
      </c>
      <c r="D6" s="791" t="e">
        <f ca="1">NUMBERSTRING(INT(D5*10000),2)&amp;"元整"</f>
        <v>#REF!</v>
      </c>
    </row>
    <row r="7" spans="1:5" ht="15.75">
      <c r="B7" s="3208"/>
      <c r="C7" s="1382" t="s">
        <v>909</v>
      </c>
      <c r="D7" s="792" t="e">
        <f ca="1">结果表!H102</f>
        <v>#REF!</v>
      </c>
    </row>
    <row r="8" spans="1:5" ht="15.75">
      <c r="B8" s="3209" t="str">
        <f>结果表!E103</f>
        <v>2.估价师知悉的法定优先受偿款</v>
      </c>
      <c r="C8" s="1383" t="s">
        <v>910</v>
      </c>
      <c r="D8" s="792">
        <f>结果表!H103</f>
        <v>0</v>
      </c>
    </row>
    <row r="9" spans="1:5" ht="15.75">
      <c r="B9" s="3211"/>
      <c r="C9" s="1381" t="s">
        <v>908</v>
      </c>
      <c r="D9" s="791" t="str">
        <f>NUMBERSTRING(INT(D8*10000),2)&amp;"元整"</f>
        <v>零元整</v>
      </c>
    </row>
    <row r="10" spans="1:5" ht="15">
      <c r="B10" s="1384" t="s">
        <v>913</v>
      </c>
      <c r="C10" s="1385" t="s">
        <v>911</v>
      </c>
      <c r="D10" s="793">
        <f>结果表!H104</f>
        <v>0</v>
      </c>
    </row>
    <row r="11" spans="1:5" ht="15">
      <c r="B11" s="1384" t="s">
        <v>915</v>
      </c>
      <c r="C11" s="1385" t="s">
        <v>916</v>
      </c>
      <c r="D11" s="793">
        <f>结果表!H105</f>
        <v>0</v>
      </c>
    </row>
    <row r="12" spans="1:5" ht="15">
      <c r="B12" s="1384" t="s">
        <v>917</v>
      </c>
      <c r="C12" s="1385" t="s">
        <v>916</v>
      </c>
      <c r="D12" s="793">
        <f>结果表!H106</f>
        <v>0</v>
      </c>
    </row>
    <row r="13" spans="1:5" ht="15.75">
      <c r="B13" s="3202" t="str">
        <f>结果表!E107</f>
        <v>3.房地产抵押价值</v>
      </c>
      <c r="C13" s="1386" t="s">
        <v>907</v>
      </c>
      <c r="D13" s="794" t="e">
        <f ca="1">结果表!H107</f>
        <v>#REF!</v>
      </c>
    </row>
    <row r="14" spans="1:5" ht="15.75">
      <c r="B14" s="3203"/>
      <c r="C14" s="1381" t="s">
        <v>908</v>
      </c>
      <c r="D14" s="791" t="e">
        <f ca="1">NUMBERSTRING(INT(D13*10000),2)&amp;"元整"</f>
        <v>#REF!</v>
      </c>
    </row>
    <row r="15" spans="1:5" ht="15">
      <c r="B15" s="3208"/>
      <c r="C15" s="1382" t="s">
        <v>918</v>
      </c>
      <c r="D15" s="800" t="e">
        <f ca="1">结果表!H108</f>
        <v>#REF!</v>
      </c>
    </row>
    <row r="16" spans="1:5" ht="15">
      <c r="B16" s="3209" t="str">
        <f>结果表!E109</f>
        <v>——</v>
      </c>
      <c r="C16" s="1386" t="s">
        <v>919</v>
      </c>
      <c r="D16" s="1387" t="str">
        <f>结果表!H109</f>
        <v>——</v>
      </c>
    </row>
    <row r="17" spans="1:5" ht="15.75">
      <c r="B17" s="3210"/>
      <c r="C17" s="1381" t="s">
        <v>920</v>
      </c>
      <c r="D17" s="791" t="e">
        <f>NUMBERSTRING(INT(D16*10000),2)&amp;"元整"</f>
        <v>#VALUE!</v>
      </c>
    </row>
    <row r="18" spans="1:5" ht="15">
      <c r="B18" s="3211"/>
      <c r="C18" s="1382" t="s">
        <v>909</v>
      </c>
      <c r="D18" s="800" t="str">
        <f>结果表!H110</f>
        <v>——</v>
      </c>
    </row>
    <row r="19" spans="1:5" ht="15.75">
      <c r="B19" s="3202" t="str">
        <f>结果表!E111</f>
        <v>——</v>
      </c>
      <c r="C19" s="1386" t="s">
        <v>907</v>
      </c>
      <c r="D19" s="792" t="str">
        <f>结果表!H111</f>
        <v>——</v>
      </c>
    </row>
    <row r="20" spans="1:5" ht="15.75">
      <c r="B20" s="3203"/>
      <c r="C20" s="1381" t="s">
        <v>920</v>
      </c>
      <c r="D20" s="791" t="e">
        <f>NUMBERSTRING(INT(D19*10000),2)&amp;"元整"</f>
        <v>#VALUE!</v>
      </c>
    </row>
    <row r="21" spans="1:5" ht="15.75" thickBot="1">
      <c r="B21" s="3204"/>
      <c r="C21" s="1388" t="s">
        <v>918</v>
      </c>
      <c r="D21" s="801" t="str">
        <f>结果表!H112</f>
        <v>——</v>
      </c>
    </row>
    <row r="22" spans="1:5" ht="15" thickTop="1">
      <c r="B22" s="1389" t="s">
        <v>921</v>
      </c>
    </row>
    <row r="24" spans="1:5" ht="18.75">
      <c r="A24" s="1390"/>
      <c r="B24" s="1391" t="s">
        <v>912</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F65</f>
        <v>#DIV/0!</v>
      </c>
      <c r="C2" s="847"/>
      <c r="D2" s="847"/>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SUMIF(69:69,YEAR(E7)&amp;"-"&amp;INT((MONTH(E7)+2)/3),70:70)</f>
        <v>0</v>
      </c>
      <c r="G7" s="1811"/>
      <c r="H7" s="354">
        <f>SUMIF(69:69,YEAR(G7)&amp;"-"&amp;INT((MONTH(G7)+2)/3),70:70)</f>
        <v>0</v>
      </c>
      <c r="I7" s="1811"/>
      <c r="J7" s="354">
        <f>SUMIF(69:69,YEAR(I7)&amp;"-"&amp;INT((MONTH(I7)+2)/3),70:70)</f>
        <v>0</v>
      </c>
      <c r="K7" s="38"/>
      <c r="L7" s="2476"/>
      <c r="M7" s="2427"/>
      <c r="N7" s="2427"/>
      <c r="O7" s="2427"/>
      <c r="P7" s="3387" t="s">
        <v>1677</v>
      </c>
      <c r="Q7" s="3421"/>
      <c r="R7" s="660" t="s">
        <v>14</v>
      </c>
      <c r="S7" s="661">
        <f t="shared" ref="S7:S15" si="0">F7</f>
        <v>0</v>
      </c>
      <c r="T7" s="660" t="s">
        <v>14</v>
      </c>
      <c r="U7" s="661">
        <f t="shared" ref="U7:U15" si="1">H7</f>
        <v>0</v>
      </c>
      <c r="V7" s="660" t="s">
        <v>14</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76"/>
      <c r="M8" s="2427"/>
      <c r="N8" s="2427"/>
      <c r="O8" s="2427"/>
      <c r="P8" s="3387" t="s">
        <v>1680</v>
      </c>
      <c r="Q8" s="3388"/>
      <c r="R8" s="660" t="s">
        <v>14</v>
      </c>
      <c r="S8" s="661">
        <f t="shared" si="0"/>
        <v>0</v>
      </c>
      <c r="T8" s="660" t="s">
        <v>14</v>
      </c>
      <c r="U8" s="661">
        <f t="shared" si="1"/>
        <v>0</v>
      </c>
      <c r="V8" s="660" t="s">
        <v>14</v>
      </c>
      <c r="W8" s="661">
        <f t="shared" si="2"/>
        <v>0</v>
      </c>
      <c r="X8" s="662"/>
      <c r="Y8" s="3387" t="s">
        <v>1680</v>
      </c>
      <c r="Z8" s="3388"/>
      <c r="AA8" s="50" t="e">
        <f t="shared" ref="AA8:AA45" si="3">D8/F8</f>
        <v>#DIV/0!</v>
      </c>
      <c r="AB8" s="50" t="e">
        <f t="shared" ref="AB8:AB45" si="4">D8/H8</f>
        <v>#DIV/0!</v>
      </c>
      <c r="AC8" s="50" t="e">
        <f t="shared" ref="AC8:AC45" si="5">D8/J8</f>
        <v>#DIV/0!</v>
      </c>
    </row>
    <row r="9" spans="1:29" s="102" customFormat="1">
      <c r="A9" s="358" t="s">
        <v>1681</v>
      </c>
      <c r="B9" s="60" t="s">
        <v>1682</v>
      </c>
      <c r="C9" s="1814"/>
      <c r="D9" s="59">
        <v>100</v>
      </c>
      <c r="E9" s="1814"/>
      <c r="F9" s="59">
        <f>SUMIF(74:74,E9,75:75)-SUMIF(74:74,C9,75:75)+100</f>
        <v>100</v>
      </c>
      <c r="G9" s="1814"/>
      <c r="H9" s="59">
        <f>SUMIF(74:74,G9,75:75)-SUMIF(74:74,C9,75:75)+100</f>
        <v>100</v>
      </c>
      <c r="I9" s="1814"/>
      <c r="J9" s="59">
        <f>SUMIF(74:74,I9,75:75)-SUMIF(74:74,C9,75:75)+100</f>
        <v>100</v>
      </c>
      <c r="K9" s="38"/>
      <c r="L9" s="2476"/>
      <c r="M9" s="2427"/>
      <c r="N9" s="2427"/>
      <c r="O9" s="2528"/>
      <c r="P9" s="3431"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133</v>
      </c>
      <c r="G10" s="401"/>
      <c r="H10" s="118">
        <f>ROUND(100/'数据-取费表'!G16,0)</f>
        <v>133</v>
      </c>
      <c r="I10" s="401"/>
      <c r="J10" s="118">
        <f>ROUND(100/'数据-取费表'!G16,0)</f>
        <v>133</v>
      </c>
      <c r="K10" s="591"/>
      <c r="L10" s="2477"/>
      <c r="M10" s="2478"/>
      <c r="N10" s="2478"/>
      <c r="O10" s="2529"/>
      <c r="P10" s="3431"/>
      <c r="Q10" s="529" t="str">
        <f t="shared" si="6"/>
        <v>土地使用年限（年）</v>
      </c>
      <c r="R10" s="660" t="s">
        <v>14</v>
      </c>
      <c r="S10" s="661">
        <f t="shared" si="0"/>
        <v>133</v>
      </c>
      <c r="T10" s="660" t="s">
        <v>14</v>
      </c>
      <c r="U10" s="661">
        <f t="shared" si="1"/>
        <v>133</v>
      </c>
      <c r="V10" s="660" t="s">
        <v>14</v>
      </c>
      <c r="W10" s="661">
        <f t="shared" si="2"/>
        <v>133</v>
      </c>
      <c r="X10" s="662"/>
      <c r="Y10" s="3360"/>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79"/>
      <c r="M11" s="2475"/>
      <c r="N11" s="2475"/>
      <c r="O11" s="2530"/>
      <c r="P11" s="3431"/>
      <c r="Q11" s="529" t="str">
        <f t="shared" si="6"/>
        <v>容积率</v>
      </c>
      <c r="R11" s="660" t="s">
        <v>14</v>
      </c>
      <c r="S11" s="661" t="e">
        <f t="shared" si="0"/>
        <v>#N/A</v>
      </c>
      <c r="T11" s="660" t="s">
        <v>14</v>
      </c>
      <c r="U11" s="661" t="e">
        <f t="shared" si="1"/>
        <v>#N/A</v>
      </c>
      <c r="V11" s="660" t="s">
        <v>14</v>
      </c>
      <c r="W11" s="661" t="e">
        <f t="shared" si="2"/>
        <v>#N/A</v>
      </c>
      <c r="X11" s="662"/>
      <c r="Y11" s="3360"/>
      <c r="Z11" s="50" t="str">
        <f t="shared" si="7"/>
        <v>容积率</v>
      </c>
      <c r="AA11" s="50" t="e">
        <f t="shared" si="3"/>
        <v>#N/A</v>
      </c>
      <c r="AB11" s="50" t="e">
        <f t="shared" si="4"/>
        <v>#N/A</v>
      </c>
      <c r="AC11" s="50" t="e">
        <f t="shared" si="5"/>
        <v>#N/A</v>
      </c>
    </row>
    <row r="12" spans="1:29" s="102"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76"/>
      <c r="M12" s="2427"/>
      <c r="N12" s="2427"/>
      <c r="O12" s="2528"/>
      <c r="P12" s="3431"/>
      <c r="Q12" s="529" t="str">
        <f t="shared" si="6"/>
        <v>配建</v>
      </c>
      <c r="R12" s="660" t="s">
        <v>14</v>
      </c>
      <c r="S12" s="661">
        <f t="shared" si="0"/>
        <v>100</v>
      </c>
      <c r="T12" s="660" t="s">
        <v>14</v>
      </c>
      <c r="U12" s="661">
        <f t="shared" si="1"/>
        <v>100</v>
      </c>
      <c r="V12" s="660" t="s">
        <v>14</v>
      </c>
      <c r="W12" s="661">
        <f t="shared" si="2"/>
        <v>100</v>
      </c>
      <c r="X12" s="662"/>
      <c r="Y12" s="336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0"/>
      <c r="M13" s="2475"/>
      <c r="N13" s="2475"/>
      <c r="O13" s="2530"/>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D13/F13</f>
        <v>1</v>
      </c>
      <c r="AB13" s="50">
        <f>D13/H13</f>
        <v>1</v>
      </c>
      <c r="AC13" s="50">
        <f>D13/J13</f>
        <v>1</v>
      </c>
    </row>
    <row r="14" spans="1:29" ht="15.75" thickBot="1">
      <c r="A14" s="374"/>
      <c r="B14" s="1738">
        <v>111</v>
      </c>
      <c r="C14" s="375"/>
      <c r="D14" s="376">
        <v>100</v>
      </c>
      <c r="E14" s="479"/>
      <c r="F14" s="376">
        <f>SUMIF(85:85,E14,86:86)-SUMIF(85:85,C14,86:86)+100</f>
        <v>100</v>
      </c>
      <c r="G14" s="593"/>
      <c r="H14" s="376">
        <f>SUMIF(85:85,G14,86:86)-SUMIF(85:85,C14,86:86)+100</f>
        <v>100</v>
      </c>
      <c r="I14" s="593"/>
      <c r="J14" s="376">
        <f>SUMIF(85:85,I14,86:86)-SUMIF(85:85,C14,86:86)+100</f>
        <v>100</v>
      </c>
      <c r="K14" s="591"/>
      <c r="L14" s="2480"/>
      <c r="M14" s="2475"/>
      <c r="N14" s="2475"/>
      <c r="O14" s="2530"/>
      <c r="P14" s="3431"/>
      <c r="Q14" s="529">
        <f t="shared" si="6"/>
        <v>111</v>
      </c>
      <c r="R14" s="660" t="s">
        <v>14</v>
      </c>
      <c r="S14" s="661">
        <f t="shared" si="0"/>
        <v>100</v>
      </c>
      <c r="T14" s="660" t="s">
        <v>14</v>
      </c>
      <c r="U14" s="661">
        <f t="shared" si="1"/>
        <v>100</v>
      </c>
      <c r="V14" s="660" t="s">
        <v>14</v>
      </c>
      <c r="W14" s="661">
        <f t="shared" si="2"/>
        <v>100</v>
      </c>
      <c r="X14" s="662"/>
      <c r="Y14" s="3360"/>
      <c r="Z14" s="50">
        <f t="shared" si="7"/>
        <v>111</v>
      </c>
      <c r="AA14" s="50">
        <f>D14/F14</f>
        <v>1</v>
      </c>
      <c r="AB14" s="50">
        <f>D14/H14</f>
        <v>1</v>
      </c>
      <c r="AC14" s="50">
        <f>D14/J14</f>
        <v>1</v>
      </c>
    </row>
    <row r="15" spans="1:29" ht="15">
      <c r="A15" s="378" t="s">
        <v>1687</v>
      </c>
      <c r="B15" s="58" t="s">
        <v>1254</v>
      </c>
      <c r="C15" s="173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0"/>
      <c r="M15" s="2475"/>
      <c r="N15" s="2475"/>
      <c r="O15" s="2530"/>
      <c r="P15" s="3424" t="s">
        <v>1688</v>
      </c>
      <c r="Q15" s="1252" t="str">
        <f t="shared" si="6"/>
        <v>居住社区成熟度</v>
      </c>
      <c r="R15" s="663" t="s">
        <v>14</v>
      </c>
      <c r="S15" s="664">
        <f t="shared" si="0"/>
        <v>100</v>
      </c>
      <c r="T15" s="663" t="s">
        <v>14</v>
      </c>
      <c r="U15" s="664">
        <f t="shared" si="1"/>
        <v>100</v>
      </c>
      <c r="V15" s="663" t="s">
        <v>14</v>
      </c>
      <c r="W15" s="664">
        <f t="shared" si="2"/>
        <v>100</v>
      </c>
      <c r="X15" s="1254"/>
      <c r="Y15" s="3424" t="s">
        <v>1688</v>
      </c>
      <c r="Z15" s="1253" t="str">
        <f t="shared" si="7"/>
        <v>居住社区成熟度</v>
      </c>
      <c r="AA15" s="1253">
        <f t="shared" si="3"/>
        <v>1</v>
      </c>
      <c r="AB15" s="1253">
        <f t="shared" si="4"/>
        <v>1</v>
      </c>
      <c r="AC15" s="1253">
        <f t="shared" si="5"/>
        <v>1</v>
      </c>
    </row>
    <row r="16" spans="1:29" ht="15">
      <c r="A16" s="366"/>
      <c r="B16" s="384"/>
      <c r="C16" s="385"/>
      <c r="D16" s="386"/>
      <c r="E16" s="1741"/>
      <c r="F16" s="386"/>
      <c r="G16" s="1741"/>
      <c r="H16" s="388"/>
      <c r="I16" s="1740"/>
      <c r="J16" s="386"/>
      <c r="K16" s="591"/>
      <c r="L16" s="2480"/>
      <c r="M16" s="2475"/>
      <c r="N16" s="2475"/>
      <c r="O16" s="2530"/>
      <c r="P16" s="3425"/>
      <c r="Q16" s="1252"/>
      <c r="R16" s="663"/>
      <c r="S16" s="664"/>
      <c r="T16" s="663"/>
      <c r="U16" s="664"/>
      <c r="V16" s="663"/>
      <c r="W16" s="664"/>
      <c r="X16" s="1254"/>
      <c r="Y16" s="3425"/>
      <c r="Z16" s="1253"/>
      <c r="AA16" s="1253">
        <v>1</v>
      </c>
      <c r="AB16" s="1253">
        <v>1</v>
      </c>
      <c r="AC16" s="1253">
        <v>1</v>
      </c>
    </row>
    <row r="17" spans="1:29" ht="15">
      <c r="A17" s="366"/>
      <c r="B17" s="389" t="s">
        <v>1774</v>
      </c>
      <c r="C17" s="1795"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2"/>
      <c r="L17" s="2480"/>
      <c r="M17" s="2475"/>
      <c r="N17" s="2475"/>
      <c r="O17" s="2530"/>
      <c r="P17" s="3425"/>
      <c r="Q17" s="1252" t="str">
        <f>B17</f>
        <v>商业繁华度</v>
      </c>
      <c r="R17" s="663" t="s">
        <v>14</v>
      </c>
      <c r="S17" s="664">
        <f>F17</f>
        <v>100</v>
      </c>
      <c r="T17" s="663" t="s">
        <v>14</v>
      </c>
      <c r="U17" s="664">
        <f>H17</f>
        <v>100</v>
      </c>
      <c r="V17" s="663" t="s">
        <v>14</v>
      </c>
      <c r="W17" s="664">
        <f>J17</f>
        <v>100</v>
      </c>
      <c r="X17" s="1254"/>
      <c r="Y17" s="3425"/>
      <c r="Z17" s="1253" t="str">
        <f>Q17</f>
        <v>商业繁华度</v>
      </c>
      <c r="AA17" s="1253">
        <f t="shared" si="3"/>
        <v>1</v>
      </c>
      <c r="AB17" s="1253">
        <f t="shared" si="4"/>
        <v>1</v>
      </c>
      <c r="AC17" s="1253">
        <f t="shared" si="5"/>
        <v>1</v>
      </c>
    </row>
    <row r="18" spans="1:29" ht="15">
      <c r="A18" s="366"/>
      <c r="B18" s="394"/>
      <c r="C18" s="1744"/>
      <c r="D18" s="388"/>
      <c r="E18" s="1746"/>
      <c r="F18" s="388"/>
      <c r="G18" s="1746"/>
      <c r="H18" s="386"/>
      <c r="I18" s="1745"/>
      <c r="J18" s="386"/>
      <c r="K18" s="591"/>
      <c r="L18" s="2480"/>
      <c r="M18" s="2475"/>
      <c r="N18" s="2475"/>
      <c r="O18" s="2530"/>
      <c r="P18" s="3425"/>
      <c r="Q18" s="1252"/>
      <c r="R18" s="663"/>
      <c r="S18" s="664"/>
      <c r="T18" s="663"/>
      <c r="U18" s="664"/>
      <c r="V18" s="663"/>
      <c r="W18" s="664"/>
      <c r="X18" s="1254"/>
      <c r="Y18" s="3425"/>
      <c r="Z18" s="1253"/>
      <c r="AA18" s="1253">
        <v>1</v>
      </c>
      <c r="AB18" s="1253">
        <v>1</v>
      </c>
      <c r="AC18" s="1253">
        <v>1</v>
      </c>
    </row>
    <row r="19" spans="1:29" ht="15">
      <c r="A19" s="366"/>
      <c r="B19" s="389" t="s">
        <v>1808</v>
      </c>
      <c r="C19" s="1795" t="str">
        <f>估价对象房地状况!C17</f>
        <v>一般</v>
      </c>
      <c r="D19" s="393">
        <v>100</v>
      </c>
      <c r="E19" s="395"/>
      <c r="F19" s="393">
        <f>SUMIF(91:91,E20,92:92)-SUMIF(91:91,C20,92:92)+100</f>
        <v>100</v>
      </c>
      <c r="G19" s="395"/>
      <c r="H19" s="388">
        <f>SUMIF(91:91,G20,92:92)-SUMIF(91:91,C20,92:92)+100</f>
        <v>100</v>
      </c>
      <c r="I19" s="397"/>
      <c r="J19" s="388">
        <f>SUMIF(91:91,I20,92:92)-SUMIF(91:91,C20,92:92)+100</f>
        <v>100</v>
      </c>
      <c r="K19" s="592"/>
      <c r="L19" s="2480"/>
      <c r="M19" s="2475"/>
      <c r="N19" s="2475"/>
      <c r="O19" s="2530"/>
      <c r="P19" s="3425"/>
      <c r="Q19" s="1252" t="str">
        <f>B19</f>
        <v>办公集聚程度</v>
      </c>
      <c r="R19" s="663" t="s">
        <v>14</v>
      </c>
      <c r="S19" s="664">
        <f>F19</f>
        <v>100</v>
      </c>
      <c r="T19" s="663" t="s">
        <v>14</v>
      </c>
      <c r="U19" s="664">
        <f>H19</f>
        <v>100</v>
      </c>
      <c r="V19" s="663" t="s">
        <v>14</v>
      </c>
      <c r="W19" s="664">
        <f>J19</f>
        <v>100</v>
      </c>
      <c r="X19" s="1254"/>
      <c r="Y19" s="3425"/>
      <c r="Z19" s="1253" t="str">
        <f>Q19</f>
        <v>办公集聚程度</v>
      </c>
      <c r="AA19" s="1253">
        <f t="shared" si="3"/>
        <v>1</v>
      </c>
      <c r="AB19" s="1253">
        <f t="shared" si="4"/>
        <v>1</v>
      </c>
      <c r="AC19" s="1253">
        <f t="shared" si="5"/>
        <v>1</v>
      </c>
    </row>
    <row r="20" spans="1:29" ht="15">
      <c r="A20" s="366"/>
      <c r="B20" s="394"/>
      <c r="C20" s="385"/>
      <c r="D20" s="386"/>
      <c r="E20" s="1741"/>
      <c r="F20" s="386"/>
      <c r="G20" s="1741"/>
      <c r="H20" s="386"/>
      <c r="I20" s="1740"/>
      <c r="J20" s="386"/>
      <c r="K20" s="591"/>
      <c r="L20" s="2480"/>
      <c r="M20" s="2475"/>
      <c r="N20" s="2475"/>
      <c r="O20" s="2530"/>
      <c r="P20" s="3425"/>
      <c r="Q20" s="1252"/>
      <c r="R20" s="663"/>
      <c r="S20" s="664"/>
      <c r="T20" s="663"/>
      <c r="U20" s="664"/>
      <c r="V20" s="663"/>
      <c r="W20" s="664"/>
      <c r="X20" s="1254"/>
      <c r="Y20" s="3425"/>
      <c r="Z20" s="1253"/>
      <c r="AA20" s="1253">
        <v>1</v>
      </c>
      <c r="AB20" s="1253">
        <v>1</v>
      </c>
      <c r="AC20" s="1253">
        <v>1</v>
      </c>
    </row>
    <row r="21" spans="1:29" ht="15">
      <c r="A21" s="366"/>
      <c r="B21" s="389" t="s">
        <v>1830</v>
      </c>
      <c r="C21" s="1743"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2"/>
      <c r="L21" s="2480"/>
      <c r="M21" s="2475"/>
      <c r="N21" s="2475"/>
      <c r="O21" s="2530"/>
      <c r="P21" s="3425"/>
      <c r="Q21" s="1252" t="str">
        <f>B21</f>
        <v>交通便捷度</v>
      </c>
      <c r="R21" s="663" t="s">
        <v>14</v>
      </c>
      <c r="S21" s="664">
        <f>F21</f>
        <v>100</v>
      </c>
      <c r="T21" s="663" t="s">
        <v>14</v>
      </c>
      <c r="U21" s="664">
        <f>H21</f>
        <v>100</v>
      </c>
      <c r="V21" s="663" t="s">
        <v>14</v>
      </c>
      <c r="W21" s="664">
        <f>J21</f>
        <v>100</v>
      </c>
      <c r="X21" s="1254"/>
      <c r="Y21" s="3425"/>
      <c r="Z21" s="1253" t="str">
        <f>Q21</f>
        <v>交通便捷度</v>
      </c>
      <c r="AA21" s="1253">
        <f t="shared" si="3"/>
        <v>1</v>
      </c>
      <c r="AB21" s="1253">
        <f t="shared" si="4"/>
        <v>1</v>
      </c>
      <c r="AC21" s="1253">
        <f t="shared" si="5"/>
        <v>1</v>
      </c>
    </row>
    <row r="22" spans="1:29" ht="15">
      <c r="A22" s="366"/>
      <c r="B22" s="585"/>
      <c r="C22" s="385"/>
      <c r="D22" s="388"/>
      <c r="E22" s="1741"/>
      <c r="F22" s="386"/>
      <c r="G22" s="1741"/>
      <c r="H22" s="386"/>
      <c r="I22" s="1740"/>
      <c r="J22" s="386"/>
      <c r="K22" s="591"/>
      <c r="L22" s="2480"/>
      <c r="M22" s="2475"/>
      <c r="N22" s="2475"/>
      <c r="O22" s="2530"/>
      <c r="P22" s="3425"/>
      <c r="Q22" s="1252"/>
      <c r="R22" s="663"/>
      <c r="S22" s="664"/>
      <c r="T22" s="663"/>
      <c r="U22" s="664"/>
      <c r="V22" s="663"/>
      <c r="W22" s="664"/>
      <c r="X22" s="1254"/>
      <c r="Y22" s="3425"/>
      <c r="Z22" s="1253"/>
      <c r="AA22" s="1253">
        <v>1</v>
      </c>
      <c r="AB22" s="1253">
        <v>1</v>
      </c>
      <c r="AC22" s="1253">
        <v>1</v>
      </c>
    </row>
    <row r="23" spans="1:29" ht="15">
      <c r="A23" s="347"/>
      <c r="B23" s="389" t="s">
        <v>1868</v>
      </c>
      <c r="C23" s="1059">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0"/>
      <c r="M23" s="2475"/>
      <c r="N23" s="2475"/>
      <c r="O23" s="2530"/>
      <c r="P23" s="3425"/>
      <c r="Q23" s="1252" t="str">
        <f t="shared" ref="Q23:Q37" si="8">B23</f>
        <v>区域土地利用方向</v>
      </c>
      <c r="R23" s="663" t="s">
        <v>14</v>
      </c>
      <c r="S23" s="664">
        <f>F23</f>
        <v>100</v>
      </c>
      <c r="T23" s="663" t="s">
        <v>14</v>
      </c>
      <c r="U23" s="664">
        <f>H23</f>
        <v>100</v>
      </c>
      <c r="V23" s="663" t="s">
        <v>14</v>
      </c>
      <c r="W23" s="664">
        <f>J23</f>
        <v>100</v>
      </c>
      <c r="X23" s="1254"/>
      <c r="Y23" s="3425"/>
      <c r="Z23" s="1253" t="str">
        <f>Q23</f>
        <v>区域土地利用方向</v>
      </c>
      <c r="AA23" s="1253">
        <f t="shared" si="3"/>
        <v>1</v>
      </c>
      <c r="AB23" s="1253">
        <f t="shared" si="4"/>
        <v>1</v>
      </c>
      <c r="AC23" s="1253">
        <f t="shared" si="5"/>
        <v>1</v>
      </c>
    </row>
    <row r="24" spans="1:29" ht="15">
      <c r="A24" s="347"/>
      <c r="B24" s="394"/>
      <c r="C24" s="541"/>
      <c r="D24" s="386"/>
      <c r="E24" s="1741"/>
      <c r="F24" s="386"/>
      <c r="G24" s="1740"/>
      <c r="H24" s="386"/>
      <c r="I24" s="1740"/>
      <c r="J24" s="386"/>
      <c r="K24" s="692"/>
      <c r="L24" s="2480"/>
      <c r="M24" s="2475"/>
      <c r="N24" s="2475"/>
      <c r="O24" s="2530"/>
      <c r="P24" s="3425"/>
      <c r="Q24" s="1252"/>
      <c r="R24" s="663"/>
      <c r="S24" s="664"/>
      <c r="T24" s="663"/>
      <c r="U24" s="664"/>
      <c r="V24" s="663"/>
      <c r="W24" s="664"/>
      <c r="X24" s="1254"/>
      <c r="Y24" s="3425"/>
      <c r="Z24" s="1253"/>
      <c r="AA24" s="1253"/>
      <c r="AB24" s="1253"/>
      <c r="AC24" s="1253"/>
    </row>
    <row r="25" spans="1:29" ht="27">
      <c r="A25" s="347"/>
      <c r="B25" s="585" t="s">
        <v>1869</v>
      </c>
      <c r="C25" s="1795"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2"/>
      <c r="L25" s="2480"/>
      <c r="M25" s="2475"/>
      <c r="N25" s="2475"/>
      <c r="O25" s="2530"/>
      <c r="P25" s="3425"/>
      <c r="Q25" s="1252" t="str">
        <f t="shared" si="8"/>
        <v>自然及人文环境状况</v>
      </c>
      <c r="R25" s="663" t="s">
        <v>14</v>
      </c>
      <c r="S25" s="664">
        <f>F25</f>
        <v>100</v>
      </c>
      <c r="T25" s="663" t="s">
        <v>14</v>
      </c>
      <c r="U25" s="664">
        <f>H25</f>
        <v>100</v>
      </c>
      <c r="V25" s="663" t="s">
        <v>14</v>
      </c>
      <c r="W25" s="664">
        <f>J25</f>
        <v>100</v>
      </c>
      <c r="X25" s="1254"/>
      <c r="Y25" s="3425"/>
      <c r="Z25" s="1253" t="str">
        <f>Q25</f>
        <v>自然及人文环境状况</v>
      </c>
      <c r="AA25" s="1253">
        <f t="shared" si="3"/>
        <v>1</v>
      </c>
      <c r="AB25" s="1253">
        <f t="shared" si="4"/>
        <v>1</v>
      </c>
      <c r="AC25" s="1253">
        <f t="shared" si="5"/>
        <v>1</v>
      </c>
    </row>
    <row r="26" spans="1:29" ht="15">
      <c r="A26" s="347"/>
      <c r="B26" s="394"/>
      <c r="C26" s="385"/>
      <c r="D26" s="386"/>
      <c r="E26" s="1747"/>
      <c r="F26" s="386"/>
      <c r="G26" s="1747"/>
      <c r="H26" s="386"/>
      <c r="I26" s="385"/>
      <c r="J26" s="386"/>
      <c r="K26" s="591"/>
      <c r="L26" s="2480"/>
      <c r="M26" s="2475"/>
      <c r="N26" s="2475"/>
      <c r="O26" s="2530"/>
      <c r="P26" s="3425"/>
      <c r="Q26" s="1252"/>
      <c r="R26" s="663"/>
      <c r="S26" s="664"/>
      <c r="T26" s="663"/>
      <c r="U26" s="664"/>
      <c r="V26" s="663"/>
      <c r="W26" s="664"/>
      <c r="X26" s="1254"/>
      <c r="Y26" s="3425"/>
      <c r="Z26" s="1253"/>
      <c r="AA26" s="1253">
        <v>1</v>
      </c>
      <c r="AB26" s="1253">
        <v>1</v>
      </c>
      <c r="AC26" s="1253">
        <v>1</v>
      </c>
    </row>
    <row r="27" spans="1:29" s="102" customFormat="1" ht="15">
      <c r="A27" s="442"/>
      <c r="B27" s="585" t="s">
        <v>1775</v>
      </c>
      <c r="C27" s="174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c r="L27" s="2476"/>
      <c r="M27" s="2427"/>
      <c r="N27" s="2427"/>
      <c r="O27" s="2528"/>
      <c r="P27" s="3425"/>
      <c r="Q27" s="529" t="str">
        <f t="shared" si="8"/>
        <v>公共配套设施</v>
      </c>
      <c r="R27" s="660" t="s">
        <v>14</v>
      </c>
      <c r="S27" s="661">
        <f>F27</f>
        <v>100</v>
      </c>
      <c r="T27" s="660" t="s">
        <v>14</v>
      </c>
      <c r="U27" s="661">
        <f>H27</f>
        <v>100</v>
      </c>
      <c r="V27" s="660" t="s">
        <v>14</v>
      </c>
      <c r="W27" s="661">
        <f>J27</f>
        <v>100</v>
      </c>
      <c r="X27" s="662"/>
      <c r="Y27" s="3425"/>
      <c r="Z27" s="50" t="str">
        <f>Q27</f>
        <v>公共配套设施</v>
      </c>
      <c r="AA27" s="1253">
        <f>D27/F27</f>
        <v>1</v>
      </c>
      <c r="AB27" s="1253">
        <f>D27/H27</f>
        <v>1</v>
      </c>
      <c r="AC27" s="1253">
        <f>D27/J27</f>
        <v>1</v>
      </c>
    </row>
    <row r="28" spans="1:29" s="102" customFormat="1" ht="15">
      <c r="A28" s="442"/>
      <c r="B28" s="394"/>
      <c r="C28" s="1815"/>
      <c r="D28" s="386"/>
      <c r="E28" s="1747"/>
      <c r="F28" s="386"/>
      <c r="G28" s="1747"/>
      <c r="H28" s="386"/>
      <c r="I28" s="385"/>
      <c r="J28" s="386"/>
      <c r="K28" s="591"/>
      <c r="L28" s="2476"/>
      <c r="M28" s="2427"/>
      <c r="N28" s="2427"/>
      <c r="O28" s="2528"/>
      <c r="P28" s="3425"/>
      <c r="Q28" s="529"/>
      <c r="R28" s="660"/>
      <c r="S28" s="661"/>
      <c r="T28" s="660"/>
      <c r="U28" s="661"/>
      <c r="V28" s="660"/>
      <c r="W28" s="661"/>
      <c r="X28" s="662"/>
      <c r="Y28" s="3425"/>
      <c r="Z28" s="50"/>
      <c r="AA28" s="1253">
        <v>1</v>
      </c>
      <c r="AB28" s="1253">
        <v>1</v>
      </c>
      <c r="AC28" s="1253">
        <v>1</v>
      </c>
    </row>
    <row r="29" spans="1:29" s="102" customFormat="1" ht="15">
      <c r="A29" s="442"/>
      <c r="B29" s="585" t="s">
        <v>1776</v>
      </c>
      <c r="C29" s="174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6"/>
      <c r="M29" s="2427"/>
      <c r="N29" s="2427"/>
      <c r="O29" s="2528"/>
      <c r="P29" s="3425"/>
      <c r="Q29" s="529" t="str">
        <f t="shared" ref="Q29" si="9">B29</f>
        <v>基础设施水平</v>
      </c>
      <c r="R29" s="660" t="s">
        <v>14</v>
      </c>
      <c r="S29" s="661">
        <f>F29</f>
        <v>100</v>
      </c>
      <c r="T29" s="660" t="s">
        <v>14</v>
      </c>
      <c r="U29" s="661">
        <f>H29</f>
        <v>100</v>
      </c>
      <c r="V29" s="660" t="s">
        <v>14</v>
      </c>
      <c r="W29" s="661">
        <f>J29</f>
        <v>100</v>
      </c>
      <c r="X29" s="662"/>
      <c r="Y29" s="3425"/>
      <c r="Z29" s="50" t="str">
        <f>Q29</f>
        <v>基础设施水平</v>
      </c>
      <c r="AA29" s="1253">
        <f>D29/F29</f>
        <v>1</v>
      </c>
      <c r="AB29" s="1253">
        <f>D29/H29</f>
        <v>1</v>
      </c>
      <c r="AC29" s="1253">
        <f>D29/J29</f>
        <v>1</v>
      </c>
    </row>
    <row r="30" spans="1:29" s="102" customFormat="1" ht="15">
      <c r="A30" s="442"/>
      <c r="B30" s="394"/>
      <c r="C30" s="1815"/>
      <c r="D30" s="386"/>
      <c r="E30" s="1816"/>
      <c r="F30" s="386"/>
      <c r="G30" s="1816"/>
      <c r="H30" s="386"/>
      <c r="I30" s="1816"/>
      <c r="J30" s="386"/>
      <c r="K30" s="591"/>
      <c r="L30" s="2476"/>
      <c r="M30" s="2427"/>
      <c r="N30" s="2427"/>
      <c r="O30" s="2528"/>
      <c r="P30" s="3425"/>
      <c r="Q30" s="529"/>
      <c r="R30" s="660"/>
      <c r="S30" s="661"/>
      <c r="T30" s="660"/>
      <c r="U30" s="661"/>
      <c r="V30" s="660"/>
      <c r="W30" s="661"/>
      <c r="X30" s="662"/>
      <c r="Y30" s="3425"/>
      <c r="Z30" s="50"/>
      <c r="AA30" s="1253">
        <v>1</v>
      </c>
      <c r="AB30" s="1253">
        <v>1</v>
      </c>
      <c r="AC30" s="125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0"/>
      <c r="M31" s="2475"/>
      <c r="N31" s="2475"/>
      <c r="O31" s="2530"/>
      <c r="P31" s="3425"/>
      <c r="Q31" s="1252" t="str">
        <f t="shared" si="8"/>
        <v>临街状况</v>
      </c>
      <c r="R31" s="663" t="s">
        <v>14</v>
      </c>
      <c r="S31" s="664">
        <f t="shared" ref="S31:S45" si="10">F31</f>
        <v>100</v>
      </c>
      <c r="T31" s="663" t="s">
        <v>14</v>
      </c>
      <c r="U31" s="664">
        <f t="shared" ref="U31:U45" si="11">H31</f>
        <v>100</v>
      </c>
      <c r="V31" s="663" t="s">
        <v>14</v>
      </c>
      <c r="W31" s="664">
        <f t="shared" ref="W31:W45" si="12">J31</f>
        <v>100</v>
      </c>
      <c r="X31" s="1254"/>
      <c r="Y31" s="3425"/>
      <c r="Z31" s="1253" t="str">
        <f t="shared" ref="Z31:Z45" si="13">Q31</f>
        <v>临街状况</v>
      </c>
      <c r="AA31" s="1253">
        <f t="shared" si="3"/>
        <v>1</v>
      </c>
      <c r="AB31" s="1253">
        <f t="shared" si="4"/>
        <v>1</v>
      </c>
      <c r="AC31" s="125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0"/>
      <c r="M32" s="2475"/>
      <c r="N32" s="2475"/>
      <c r="O32" s="2530"/>
      <c r="P32" s="3425"/>
      <c r="Q32" s="1252" t="str">
        <f t="shared" si="8"/>
        <v>毗邻道路的类型与等级</v>
      </c>
      <c r="R32" s="663" t="s">
        <v>14</v>
      </c>
      <c r="S32" s="664">
        <f t="shared" si="10"/>
        <v>100</v>
      </c>
      <c r="T32" s="663" t="s">
        <v>14</v>
      </c>
      <c r="U32" s="664">
        <f t="shared" si="11"/>
        <v>100</v>
      </c>
      <c r="V32" s="663" t="s">
        <v>14</v>
      </c>
      <c r="W32" s="664">
        <f t="shared" si="12"/>
        <v>100</v>
      </c>
      <c r="X32" s="1254"/>
      <c r="Y32" s="3425"/>
      <c r="Z32" s="1253" t="str">
        <f t="shared" si="13"/>
        <v>毗邻道路的类型与等级</v>
      </c>
      <c r="AA32" s="1253">
        <f t="shared" si="3"/>
        <v>1</v>
      </c>
      <c r="AB32" s="1253">
        <f t="shared" si="4"/>
        <v>1</v>
      </c>
      <c r="AC32" s="1253">
        <f t="shared" si="5"/>
        <v>1</v>
      </c>
    </row>
    <row r="33" spans="1:29" ht="15">
      <c r="A33" s="366"/>
      <c r="B33" s="394"/>
      <c r="C33" s="385"/>
      <c r="D33" s="386"/>
      <c r="E33" s="1747"/>
      <c r="F33" s="386"/>
      <c r="G33" s="1747"/>
      <c r="H33" s="386"/>
      <c r="I33" s="385"/>
      <c r="J33" s="386"/>
      <c r="K33" s="538"/>
      <c r="L33" s="2480"/>
      <c r="M33" s="2475"/>
      <c r="N33" s="2475"/>
      <c r="O33" s="2530"/>
      <c r="P33" s="3425"/>
      <c r="Q33" s="1252"/>
      <c r="R33" s="663"/>
      <c r="S33" s="664"/>
      <c r="T33" s="663"/>
      <c r="U33" s="664"/>
      <c r="V33" s="663"/>
      <c r="W33" s="664"/>
      <c r="X33" s="1254"/>
      <c r="Y33" s="3425"/>
      <c r="Z33" s="1253"/>
      <c r="AA33" s="1253">
        <v>1</v>
      </c>
      <c r="AB33" s="1253">
        <v>1</v>
      </c>
      <c r="AC33" s="125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0"/>
      <c r="M34" s="2475"/>
      <c r="N34" s="2475"/>
      <c r="O34" s="2530"/>
      <c r="P34" s="3425"/>
      <c r="Q34" s="1252" t="str">
        <f t="shared" si="8"/>
        <v>土地级别</v>
      </c>
      <c r="R34" s="663" t="s">
        <v>14</v>
      </c>
      <c r="S34" s="664">
        <f t="shared" si="10"/>
        <v>100</v>
      </c>
      <c r="T34" s="663" t="s">
        <v>14</v>
      </c>
      <c r="U34" s="664">
        <f t="shared" si="11"/>
        <v>100</v>
      </c>
      <c r="V34" s="663" t="s">
        <v>14</v>
      </c>
      <c r="W34" s="664">
        <f t="shared" si="12"/>
        <v>100</v>
      </c>
      <c r="X34" s="1254"/>
      <c r="Y34" s="3425"/>
      <c r="Z34" s="1253" t="str">
        <f t="shared" si="13"/>
        <v>土地级别</v>
      </c>
      <c r="AA34" s="1253">
        <f t="shared" si="3"/>
        <v>1</v>
      </c>
      <c r="AB34" s="1253">
        <f t="shared" si="4"/>
        <v>1</v>
      </c>
      <c r="AC34" s="1253">
        <f t="shared" si="5"/>
        <v>1</v>
      </c>
    </row>
    <row r="35" spans="1:29" ht="15">
      <c r="A35" s="347"/>
      <c r="B35" s="1056">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0"/>
      <c r="M35" s="2475"/>
      <c r="N35" s="2475"/>
      <c r="O35" s="2530"/>
      <c r="P35" s="3425"/>
      <c r="Q35" s="1252">
        <f t="shared" si="8"/>
        <v>111</v>
      </c>
      <c r="R35" s="663" t="s">
        <v>14</v>
      </c>
      <c r="S35" s="664">
        <f t="shared" si="10"/>
        <v>100</v>
      </c>
      <c r="T35" s="663" t="s">
        <v>14</v>
      </c>
      <c r="U35" s="664">
        <f t="shared" si="11"/>
        <v>100</v>
      </c>
      <c r="V35" s="663" t="s">
        <v>14</v>
      </c>
      <c r="W35" s="664">
        <f t="shared" si="12"/>
        <v>100</v>
      </c>
      <c r="X35" s="1254"/>
      <c r="Y35" s="3425"/>
      <c r="Z35" s="1253">
        <f t="shared" si="13"/>
        <v>111</v>
      </c>
      <c r="AA35" s="1253">
        <f t="shared" si="3"/>
        <v>1</v>
      </c>
      <c r="AB35" s="1253">
        <f t="shared" si="4"/>
        <v>1</v>
      </c>
      <c r="AC35" s="1253">
        <f t="shared" si="5"/>
        <v>1</v>
      </c>
    </row>
    <row r="36" spans="1:29" ht="15">
      <c r="A36" s="594"/>
      <c r="B36" s="1057">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0"/>
      <c r="M36" s="2475"/>
      <c r="N36" s="2475"/>
      <c r="O36" s="2530"/>
      <c r="P36" s="3481" t="s">
        <v>1693</v>
      </c>
      <c r="Q36" s="1252">
        <f t="shared" si="8"/>
        <v>111</v>
      </c>
      <c r="R36" s="663" t="s">
        <v>14</v>
      </c>
      <c r="S36" s="664">
        <f t="shared" si="10"/>
        <v>100</v>
      </c>
      <c r="T36" s="663" t="s">
        <v>14</v>
      </c>
      <c r="U36" s="664">
        <f t="shared" si="11"/>
        <v>100</v>
      </c>
      <c r="V36" s="663" t="s">
        <v>14</v>
      </c>
      <c r="W36" s="664">
        <f t="shared" si="12"/>
        <v>100</v>
      </c>
      <c r="X36" s="1254"/>
      <c r="Y36" s="3429" t="s">
        <v>1693</v>
      </c>
      <c r="Z36" s="1253">
        <f t="shared" si="13"/>
        <v>111</v>
      </c>
      <c r="AA36" s="1253">
        <f t="shared" si="3"/>
        <v>1</v>
      </c>
      <c r="AB36" s="1253">
        <f t="shared" si="4"/>
        <v>1</v>
      </c>
      <c r="AC36" s="1253">
        <f t="shared" si="5"/>
        <v>1</v>
      </c>
    </row>
    <row r="37" spans="1:29" s="407" customFormat="1" ht="15.75" thickBot="1">
      <c r="A37" s="595"/>
      <c r="B37" s="1058">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79"/>
      <c r="M37" s="2481"/>
      <c r="N37" s="2481"/>
      <c r="O37" s="2531"/>
      <c r="P37" s="3429"/>
      <c r="Q37" s="1252">
        <f t="shared" si="8"/>
        <v>111</v>
      </c>
      <c r="R37" s="665" t="s">
        <v>14</v>
      </c>
      <c r="S37" s="666">
        <f t="shared" si="10"/>
        <v>100</v>
      </c>
      <c r="T37" s="665" t="s">
        <v>14</v>
      </c>
      <c r="U37" s="666">
        <f t="shared" si="11"/>
        <v>100</v>
      </c>
      <c r="V37" s="665" t="s">
        <v>14</v>
      </c>
      <c r="W37" s="666">
        <f t="shared" si="12"/>
        <v>100</v>
      </c>
      <c r="X37" s="667"/>
      <c r="Y37" s="3429"/>
      <c r="Z37" s="668">
        <f t="shared" si="13"/>
        <v>111</v>
      </c>
      <c r="AA37" s="1253">
        <f t="shared" si="3"/>
        <v>1</v>
      </c>
      <c r="AB37" s="1253">
        <f t="shared" si="4"/>
        <v>1</v>
      </c>
      <c r="AC37" s="125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0"/>
      <c r="M38" s="2475"/>
      <c r="N38" s="2475"/>
      <c r="O38" s="2530"/>
      <c r="P38" s="3429"/>
      <c r="Q38" s="1252" t="str">
        <f>B38</f>
        <v>宗地面积</v>
      </c>
      <c r="R38" s="663" t="s">
        <v>14</v>
      </c>
      <c r="S38" s="664" t="e">
        <f t="shared" si="10"/>
        <v>#N/A</v>
      </c>
      <c r="T38" s="663" t="s">
        <v>14</v>
      </c>
      <c r="U38" s="664" t="e">
        <f t="shared" si="11"/>
        <v>#N/A</v>
      </c>
      <c r="V38" s="663" t="s">
        <v>14</v>
      </c>
      <c r="W38" s="664" t="e">
        <f t="shared" si="12"/>
        <v>#N/A</v>
      </c>
      <c r="X38" s="1254"/>
      <c r="Y38" s="3429"/>
      <c r="Z38" s="1253" t="str">
        <f t="shared" si="13"/>
        <v>宗地面积</v>
      </c>
      <c r="AA38" s="1253" t="e">
        <f t="shared" si="3"/>
        <v>#N/A</v>
      </c>
      <c r="AB38" s="1253" t="e">
        <f t="shared" si="4"/>
        <v>#N/A</v>
      </c>
      <c r="AC38" s="1253" t="e">
        <f t="shared" si="5"/>
        <v>#N/A</v>
      </c>
    </row>
    <row r="39" spans="1:29" ht="15">
      <c r="A39" s="408"/>
      <c r="B39" s="363" t="s">
        <v>1872</v>
      </c>
      <c r="C39" s="1749"/>
      <c r="D39" s="373">
        <v>100</v>
      </c>
      <c r="E39" s="1749"/>
      <c r="F39" s="373">
        <f>SUMIF(118:118,E39,119:119)-SUMIF(118:118,C39,119:119)+100</f>
        <v>100</v>
      </c>
      <c r="G39" s="1749"/>
      <c r="H39" s="373">
        <f>SUMIF(118:118,G39,119:119)-SUMIF(118:118,C39,119:119)+100</f>
        <v>100</v>
      </c>
      <c r="I39" s="1749"/>
      <c r="J39" s="373">
        <f>SUMIF(118:118,I39,119:119)-SUMIF(118:118,C39,119:119)+100</f>
        <v>100</v>
      </c>
      <c r="K39" s="537"/>
      <c r="L39" s="2480"/>
      <c r="M39" s="2475"/>
      <c r="N39" s="2475"/>
      <c r="O39" s="2530"/>
      <c r="P39" s="3429"/>
      <c r="Q39" s="1252" t="str">
        <f t="shared" ref="Q39:Q45" si="14">B39</f>
        <v>宗地形状</v>
      </c>
      <c r="R39" s="663" t="s">
        <v>14</v>
      </c>
      <c r="S39" s="664">
        <f t="shared" si="10"/>
        <v>100</v>
      </c>
      <c r="T39" s="663" t="s">
        <v>14</v>
      </c>
      <c r="U39" s="664">
        <f t="shared" si="11"/>
        <v>100</v>
      </c>
      <c r="V39" s="663" t="s">
        <v>14</v>
      </c>
      <c r="W39" s="664">
        <f t="shared" si="12"/>
        <v>100</v>
      </c>
      <c r="X39" s="1254"/>
      <c r="Y39" s="3429"/>
      <c r="Z39" s="1253" t="str">
        <f t="shared" si="13"/>
        <v>宗地形状</v>
      </c>
      <c r="AA39" s="1253">
        <f t="shared" si="3"/>
        <v>1</v>
      </c>
      <c r="AB39" s="1253">
        <f t="shared" si="4"/>
        <v>1</v>
      </c>
      <c r="AC39" s="1253">
        <f t="shared" si="5"/>
        <v>1</v>
      </c>
    </row>
    <row r="40" spans="1:29" ht="15">
      <c r="A40" s="408"/>
      <c r="B40" s="363" t="s">
        <v>1873</v>
      </c>
      <c r="C40" s="1749"/>
      <c r="D40" s="373">
        <v>100</v>
      </c>
      <c r="E40" s="1749"/>
      <c r="F40" s="373">
        <f>SUMIF(120:120,E40,121:121)-SUMIF(120:120,C40,121:121)+100</f>
        <v>100</v>
      </c>
      <c r="G40" s="1749"/>
      <c r="H40" s="373">
        <f>SUMIF(120:120,G40,121:121)-SUMIF(120:120,C40,121:121)+100</f>
        <v>100</v>
      </c>
      <c r="I40" s="1749"/>
      <c r="J40" s="373">
        <f>SUMIF(120:120,I40,121:121)-SUMIF(120:120,C40,121:121)+100</f>
        <v>100</v>
      </c>
      <c r="K40" s="537"/>
      <c r="L40" s="2480"/>
      <c r="M40" s="2475"/>
      <c r="N40" s="2475"/>
      <c r="O40" s="2530"/>
      <c r="P40" s="3429"/>
      <c r="Q40" s="1252" t="str">
        <f t="shared" si="14"/>
        <v>临街宽度及深度</v>
      </c>
      <c r="R40" s="663" t="s">
        <v>14</v>
      </c>
      <c r="S40" s="664">
        <f t="shared" si="10"/>
        <v>100</v>
      </c>
      <c r="T40" s="663" t="s">
        <v>14</v>
      </c>
      <c r="U40" s="664">
        <f t="shared" si="11"/>
        <v>100</v>
      </c>
      <c r="V40" s="663" t="s">
        <v>14</v>
      </c>
      <c r="W40" s="664">
        <f t="shared" si="12"/>
        <v>100</v>
      </c>
      <c r="X40" s="1254"/>
      <c r="Y40" s="3429"/>
      <c r="Z40" s="1253" t="str">
        <f t="shared" si="13"/>
        <v>临街宽度及深度</v>
      </c>
      <c r="AA40" s="1253">
        <f t="shared" si="3"/>
        <v>1</v>
      </c>
      <c r="AB40" s="1253">
        <f t="shared" si="4"/>
        <v>1</v>
      </c>
      <c r="AC40" s="1253">
        <f t="shared" si="5"/>
        <v>1</v>
      </c>
    </row>
    <row r="41" spans="1:29" s="102" customFormat="1" ht="15">
      <c r="A41" s="409"/>
      <c r="B41" s="363" t="s">
        <v>1874</v>
      </c>
      <c r="C41" s="1817"/>
      <c r="D41" s="118">
        <v>100</v>
      </c>
      <c r="E41" s="1817"/>
      <c r="F41" s="373">
        <f>SUMIF(122:122,E41,123:123)-SUMIF(122:122,C41,123:123)+100</f>
        <v>100</v>
      </c>
      <c r="G41" s="1817"/>
      <c r="H41" s="373">
        <f>SUMIF(122:122,G41,123:123)-SUMIF(122:122,C41,123:123)+100</f>
        <v>100</v>
      </c>
      <c r="I41" s="1817"/>
      <c r="J41" s="373">
        <f>SUMIF(122:122,I41,123:123)-SUMIF(122:122,C41,123:123)+100</f>
        <v>100</v>
      </c>
      <c r="K41" s="537"/>
      <c r="L41" s="2476"/>
      <c r="M41" s="2427"/>
      <c r="N41" s="2427"/>
      <c r="O41" s="2528"/>
      <c r="P41" s="3429"/>
      <c r="Q41" s="1252" t="str">
        <f t="shared" si="14"/>
        <v>宗地开发程度</v>
      </c>
      <c r="R41" s="660" t="s">
        <v>14</v>
      </c>
      <c r="S41" s="661">
        <f t="shared" si="10"/>
        <v>100</v>
      </c>
      <c r="T41" s="660" t="s">
        <v>14</v>
      </c>
      <c r="U41" s="661">
        <f t="shared" si="11"/>
        <v>100</v>
      </c>
      <c r="V41" s="660" t="s">
        <v>14</v>
      </c>
      <c r="W41" s="661">
        <f t="shared" si="12"/>
        <v>100</v>
      </c>
      <c r="X41" s="662"/>
      <c r="Y41" s="3429"/>
      <c r="Z41" s="50" t="str">
        <f t="shared" si="13"/>
        <v>宗地开发程度</v>
      </c>
      <c r="AA41" s="50">
        <f t="shared" si="3"/>
        <v>1</v>
      </c>
      <c r="AB41" s="50">
        <f t="shared" si="4"/>
        <v>1</v>
      </c>
      <c r="AC41" s="50">
        <f t="shared" si="5"/>
        <v>1</v>
      </c>
    </row>
    <row r="42" spans="1:29" ht="15">
      <c r="A42" s="408"/>
      <c r="B42" s="363" t="s">
        <v>1875</v>
      </c>
      <c r="C42" s="1749"/>
      <c r="D42" s="373">
        <v>100</v>
      </c>
      <c r="E42" s="1749"/>
      <c r="F42" s="373">
        <f>SUMIF(124:124,E42,125:125)-SUMIF(124:124,C42,125:125)+100</f>
        <v>100</v>
      </c>
      <c r="G42" s="1749"/>
      <c r="H42" s="373">
        <f>SUMIF(124:124,G42,125:125)-SUMIF(124:124,C42,125:125)+100</f>
        <v>100</v>
      </c>
      <c r="I42" s="1749"/>
      <c r="J42" s="373">
        <f>SUMIF(124:124,I42,125:125)-SUMIF(124:124,C42,125:125)+100</f>
        <v>100</v>
      </c>
      <c r="K42" s="537"/>
      <c r="L42" s="2480"/>
      <c r="M42" s="2475"/>
      <c r="N42" s="2475"/>
      <c r="O42" s="2530"/>
      <c r="P42" s="3429" t="s">
        <v>1693</v>
      </c>
      <c r="Q42" s="1252" t="str">
        <f t="shared" si="14"/>
        <v>工程地质条件</v>
      </c>
      <c r="R42" s="663" t="s">
        <v>14</v>
      </c>
      <c r="S42" s="664">
        <f t="shared" si="10"/>
        <v>100</v>
      </c>
      <c r="T42" s="663" t="s">
        <v>14</v>
      </c>
      <c r="U42" s="664">
        <f t="shared" si="11"/>
        <v>100</v>
      </c>
      <c r="V42" s="663" t="s">
        <v>14</v>
      </c>
      <c r="W42" s="664">
        <f t="shared" si="12"/>
        <v>100</v>
      </c>
      <c r="X42" s="1254"/>
      <c r="Y42" s="3429" t="s">
        <v>1693</v>
      </c>
      <c r="Z42" s="1253" t="str">
        <f t="shared" si="13"/>
        <v>工程地质条件</v>
      </c>
      <c r="AA42" s="1253">
        <f t="shared" si="3"/>
        <v>1</v>
      </c>
      <c r="AB42" s="1253">
        <f t="shared" si="4"/>
        <v>1</v>
      </c>
      <c r="AC42" s="1253">
        <f t="shared" si="5"/>
        <v>1</v>
      </c>
    </row>
    <row r="43" spans="1:29" ht="15">
      <c r="A43" s="408"/>
      <c r="B43" s="1057">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0"/>
      <c r="M43" s="2475"/>
      <c r="N43" s="2475"/>
      <c r="O43" s="2530"/>
      <c r="P43" s="3429"/>
      <c r="Q43" s="1252">
        <f t="shared" si="14"/>
        <v>111</v>
      </c>
      <c r="R43" s="663" t="s">
        <v>14</v>
      </c>
      <c r="S43" s="664">
        <f t="shared" si="10"/>
        <v>100</v>
      </c>
      <c r="T43" s="663" t="s">
        <v>14</v>
      </c>
      <c r="U43" s="664">
        <f t="shared" si="11"/>
        <v>100</v>
      </c>
      <c r="V43" s="663" t="s">
        <v>14</v>
      </c>
      <c r="W43" s="664">
        <f t="shared" si="12"/>
        <v>100</v>
      </c>
      <c r="X43" s="1254"/>
      <c r="Y43" s="3429"/>
      <c r="Z43" s="1253">
        <f t="shared" si="13"/>
        <v>111</v>
      </c>
      <c r="AA43" s="1253">
        <f t="shared" si="3"/>
        <v>1</v>
      </c>
      <c r="AB43" s="1253">
        <f t="shared" si="4"/>
        <v>1</v>
      </c>
      <c r="AC43" s="1253">
        <f t="shared" si="5"/>
        <v>1</v>
      </c>
    </row>
    <row r="44" spans="1:29" ht="15">
      <c r="A44" s="408"/>
      <c r="B44" s="1057">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0"/>
      <c r="M44" s="2475"/>
      <c r="N44" s="2475"/>
      <c r="O44" s="2530"/>
      <c r="P44" s="3429"/>
      <c r="Q44" s="1252">
        <f t="shared" si="14"/>
        <v>111</v>
      </c>
      <c r="R44" s="663" t="s">
        <v>14</v>
      </c>
      <c r="S44" s="664">
        <f t="shared" si="10"/>
        <v>100</v>
      </c>
      <c r="T44" s="663" t="s">
        <v>14</v>
      </c>
      <c r="U44" s="664">
        <f t="shared" si="11"/>
        <v>100</v>
      </c>
      <c r="V44" s="663" t="s">
        <v>14</v>
      </c>
      <c r="W44" s="664">
        <f t="shared" si="12"/>
        <v>100</v>
      </c>
      <c r="X44" s="1254"/>
      <c r="Y44" s="3429"/>
      <c r="Z44" s="1253">
        <f t="shared" si="13"/>
        <v>111</v>
      </c>
      <c r="AA44" s="1253">
        <f t="shared" si="3"/>
        <v>1</v>
      </c>
      <c r="AB44" s="1253">
        <f t="shared" si="4"/>
        <v>1</v>
      </c>
      <c r="AC44" s="1253">
        <f t="shared" si="5"/>
        <v>1</v>
      </c>
    </row>
    <row r="45" spans="1:29" s="407" customFormat="1" ht="15.75" thickBot="1">
      <c r="A45" s="405"/>
      <c r="B45" s="1057">
        <v>111</v>
      </c>
      <c r="C45" s="1818"/>
      <c r="D45" s="599">
        <v>100</v>
      </c>
      <c r="E45" s="593"/>
      <c r="F45" s="376">
        <f>SUMIF(130:130,E45,131:131)-SUMIF(130:130,C45,131:131)+100</f>
        <v>100</v>
      </c>
      <c r="G45" s="593"/>
      <c r="H45" s="376">
        <f>SUMIF(130:130,G45,131:131)-SUMIF(130:130,C45,131:131)+100</f>
        <v>100</v>
      </c>
      <c r="I45" s="593"/>
      <c r="J45" s="376">
        <f>SUMIF(130:130,I45,131:131)-SUMIF(130:130,C45,131:131)+100</f>
        <v>100</v>
      </c>
      <c r="K45" s="600"/>
      <c r="L45" s="2479"/>
      <c r="M45" s="2481"/>
      <c r="N45" s="2481"/>
      <c r="O45" s="2531"/>
      <c r="P45" s="3429"/>
      <c r="Q45" s="1252">
        <f t="shared" si="14"/>
        <v>111</v>
      </c>
      <c r="R45" s="665" t="s">
        <v>14</v>
      </c>
      <c r="S45" s="666">
        <f t="shared" si="10"/>
        <v>100</v>
      </c>
      <c r="T45" s="665" t="s">
        <v>14</v>
      </c>
      <c r="U45" s="666">
        <f t="shared" si="11"/>
        <v>100</v>
      </c>
      <c r="V45" s="665" t="s">
        <v>14</v>
      </c>
      <c r="W45" s="666">
        <f t="shared" si="12"/>
        <v>100</v>
      </c>
      <c r="X45" s="667"/>
      <c r="Y45" s="3429"/>
      <c r="Z45" s="668">
        <f t="shared" si="13"/>
        <v>111</v>
      </c>
      <c r="AA45" s="1253">
        <f t="shared" si="3"/>
        <v>1</v>
      </c>
      <c r="AB45" s="1253">
        <f t="shared" si="4"/>
        <v>1</v>
      </c>
      <c r="AC45" s="1253">
        <f t="shared" si="5"/>
        <v>1</v>
      </c>
    </row>
    <row r="46" spans="1:29" ht="15">
      <c r="A46" s="415" t="s">
        <v>1841</v>
      </c>
      <c r="B46" s="1819" t="s">
        <v>1876</v>
      </c>
      <c r="C46" s="601" t="s">
        <v>0</v>
      </c>
      <c r="D46" s="417"/>
      <c r="E46" s="418"/>
      <c r="F46" s="419"/>
      <c r="G46" s="420"/>
      <c r="H46" s="421"/>
      <c r="I46" s="418"/>
      <c r="J46" s="421"/>
      <c r="K46" s="670"/>
      <c r="L46" s="2482"/>
      <c r="M46" s="2475"/>
      <c r="N46" s="2475"/>
      <c r="O46" s="2475"/>
      <c r="P46" s="3431" t="str">
        <f>A46</f>
        <v>成交单价</v>
      </c>
      <c r="Q46" s="3431"/>
      <c r="R46" s="3419">
        <f>E46</f>
        <v>0</v>
      </c>
      <c r="S46" s="3419"/>
      <c r="T46" s="3419">
        <f>G46</f>
        <v>0</v>
      </c>
      <c r="U46" s="3419"/>
      <c r="V46" s="3419">
        <f>I46</f>
        <v>0</v>
      </c>
      <c r="W46" s="3419"/>
      <c r="X46" s="384"/>
      <c r="Y46" s="669"/>
      <c r="Z46" s="384"/>
      <c r="AA46" s="384"/>
      <c r="AB46" s="384"/>
      <c r="AC46" s="384"/>
    </row>
    <row r="47" spans="1:29" ht="15.75" thickBot="1">
      <c r="A47" s="422" t="s">
        <v>1790</v>
      </c>
      <c r="B47" s="602"/>
      <c r="C47" s="425" t="e">
        <f>R48</f>
        <v>#DIV/0!</v>
      </c>
      <c r="D47" s="2130" t="s">
        <v>2130</v>
      </c>
      <c r="E47" s="425" t="e">
        <f>R47</f>
        <v>#DIV/0!</v>
      </c>
      <c r="F47" s="2131"/>
      <c r="G47" s="424" t="e">
        <f>T47</f>
        <v>#DIV/0!</v>
      </c>
      <c r="H47" s="2131"/>
      <c r="I47" s="425" t="e">
        <f>V47</f>
        <v>#DIV/0!</v>
      </c>
      <c r="J47" s="2131"/>
      <c r="K47" s="2133">
        <f>F47+H47+J47</f>
        <v>0</v>
      </c>
      <c r="L47" s="2482"/>
      <c r="M47" s="2475"/>
      <c r="N47" s="2475"/>
      <c r="O47" s="2475"/>
      <c r="P47" s="3431" t="str">
        <f>A47</f>
        <v>比较价值（元/平方米）</v>
      </c>
      <c r="Q47" s="3431"/>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75" thickBot="1">
      <c r="A48" s="426" t="s">
        <v>1877</v>
      </c>
      <c r="B48" s="427"/>
      <c r="C48" s="428" t="e">
        <f>R48</f>
        <v>#DIV/0!</v>
      </c>
      <c r="D48" s="428"/>
      <c r="E48" s="428"/>
      <c r="F48" s="428"/>
      <c r="G48" s="428"/>
      <c r="H48" s="428"/>
      <c r="I48" s="428"/>
      <c r="J48" s="428"/>
      <c r="K48" s="671"/>
      <c r="L48" s="2482"/>
      <c r="M48" s="2475"/>
      <c r="N48" s="2475"/>
      <c r="O48" s="2475"/>
      <c r="P48" s="3472" t="str">
        <f>A48</f>
        <v>估价对象XX用房的比较价值（楼面单价，元/平方米）</v>
      </c>
      <c r="Q48" s="3473"/>
      <c r="R48" s="3484" t="e">
        <f>ROUND(IF(D47="简单平均",AVERAGE(R47:W47),R47*F47+T47*H47+V47*J47),0)</f>
        <v>#DIV/0!</v>
      </c>
      <c r="S48" s="3484"/>
      <c r="T48" s="3484"/>
      <c r="U48" s="3484"/>
      <c r="V48" s="3484"/>
      <c r="W48" s="3484"/>
      <c r="X48" s="384"/>
      <c r="Y48" s="384"/>
      <c r="Z48" s="384"/>
      <c r="AA48" s="384"/>
      <c r="AB48" s="384"/>
      <c r="AC48" s="384"/>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6" customFormat="1" ht="13.5" customHeight="1">
      <c r="A53" s="2485"/>
      <c r="B53" s="2485"/>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6" customFormat="1" ht="15" thickBot="1">
      <c r="A54" s="2485"/>
      <c r="B54" s="2488"/>
      <c r="C54" s="653"/>
      <c r="D54" s="651"/>
      <c r="E54" s="651"/>
      <c r="F54" s="651"/>
      <c r="G54" s="651"/>
      <c r="H54" s="651"/>
      <c r="I54" s="651"/>
      <c r="J54" s="651"/>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3" t="s">
        <v>1878</v>
      </c>
      <c r="B55" s="604" t="s">
        <v>1879</v>
      </c>
      <c r="C55" s="1820" t="s">
        <v>1880</v>
      </c>
      <c r="D55" s="1821" t="s">
        <v>1881</v>
      </c>
      <c r="E55" s="605" t="s">
        <v>1882</v>
      </c>
      <c r="F55" s="831" t="s">
        <v>1883</v>
      </c>
      <c r="G55" s="3406" t="s">
        <v>1884</v>
      </c>
      <c r="H55" s="3485"/>
      <c r="I55" s="126" t="s">
        <v>1885</v>
      </c>
      <c r="J55" s="1822">
        <f>项目基本情况!F35</f>
        <v>0</v>
      </c>
      <c r="K55" s="1823" t="s">
        <v>1886</v>
      </c>
      <c r="L55" s="2483"/>
      <c r="M55" s="2475"/>
      <c r="N55" s="2475"/>
      <c r="O55" s="2475"/>
      <c r="P55" s="2475"/>
      <c r="Q55" s="2475"/>
      <c r="R55" s="2475"/>
      <c r="S55" s="2475"/>
      <c r="T55" s="2475"/>
      <c r="U55" s="2475"/>
      <c r="V55" s="2475"/>
      <c r="W55" s="2475"/>
      <c r="X55" s="2475"/>
      <c r="Y55" s="2475"/>
      <c r="Z55" s="2475"/>
      <c r="AA55" s="2475"/>
      <c r="AB55" s="2475"/>
      <c r="AC55" s="2475"/>
    </row>
    <row r="56" spans="1:29" s="611" customFormat="1">
      <c r="A56" s="607" t="s">
        <v>1887</v>
      </c>
      <c r="B56" s="608" t="e">
        <f>C48</f>
        <v>#DIV/0!</v>
      </c>
      <c r="C56" s="609">
        <v>1</v>
      </c>
      <c r="D56" s="883">
        <v>1</v>
      </c>
      <c r="E56" s="609">
        <f>'数据-汇总表'!E8+'数据-汇总表'!E9</f>
        <v>51111.68000000059</v>
      </c>
      <c r="F56" s="827" t="e">
        <f t="shared" ref="F56:F64" si="15">ROUND(B56*E56/10000,0)</f>
        <v>#DIV/0!</v>
      </c>
      <c r="G56" s="3402"/>
      <c r="H56" s="3431"/>
      <c r="I56" s="832">
        <v>1</v>
      </c>
      <c r="J56" s="835">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1" customFormat="1">
      <c r="A57" s="612" t="s">
        <v>1888</v>
      </c>
      <c r="B57" s="209" t="e">
        <f>ROUND($C$48*C57*D57,0)</f>
        <v>#DIV/0!</v>
      </c>
      <c r="C57" s="162">
        <f t="shared" ref="C57:C64" si="16">IF($C$55="北京市系数",I57,J57)</f>
        <v>0</v>
      </c>
      <c r="D57" s="884">
        <v>0.25</v>
      </c>
      <c r="E57" s="613"/>
      <c r="F57" s="827" t="e">
        <f t="shared" si="15"/>
        <v>#DIV/0!</v>
      </c>
      <c r="G57" s="2738" t="s">
        <v>1889</v>
      </c>
      <c r="H57" s="828">
        <f>项目基本情况!B37</f>
        <v>0</v>
      </c>
      <c r="I57" s="832">
        <f>SUMIF(修正!A57:A68,H57,修正!B57:B68)</f>
        <v>0</v>
      </c>
      <c r="J57" s="836"/>
      <c r="K57" s="2475"/>
      <c r="L57" s="2534"/>
      <c r="M57" s="2534"/>
      <c r="N57" s="2534"/>
      <c r="O57" s="2534"/>
      <c r="P57" s="2534"/>
      <c r="Q57" s="2534"/>
      <c r="R57" s="2534"/>
      <c r="S57" s="2534"/>
      <c r="T57" s="2534"/>
      <c r="U57" s="2534"/>
      <c r="V57" s="2534"/>
      <c r="W57" s="2534"/>
      <c r="X57" s="2534"/>
      <c r="Y57" s="2534"/>
      <c r="Z57" s="2534"/>
      <c r="AA57" s="2534"/>
      <c r="AB57" s="2534"/>
      <c r="AC57" s="2534"/>
    </row>
    <row r="58" spans="1:29" s="611" customFormat="1">
      <c r="A58" s="612" t="s">
        <v>1890</v>
      </c>
      <c r="B58" s="209" t="e">
        <f t="shared" ref="B58:B64" si="17">ROUND($C$48*C58*D58,0)</f>
        <v>#DIV/0!</v>
      </c>
      <c r="C58" s="162">
        <f t="shared" si="16"/>
        <v>0</v>
      </c>
      <c r="D58" s="884">
        <v>0.25</v>
      </c>
      <c r="E58" s="613"/>
      <c r="F58" s="827" t="e">
        <f t="shared" si="15"/>
        <v>#DIV/0!</v>
      </c>
      <c r="G58" s="2739"/>
      <c r="H58" s="828">
        <f>项目基本情况!B37</f>
        <v>0</v>
      </c>
      <c r="I58" s="832">
        <f>SUMIF(修正!A57:A68,H58,修正!C57:C68)</f>
        <v>0</v>
      </c>
      <c r="J58" s="836"/>
      <c r="K58" s="2485"/>
      <c r="L58" s="2534"/>
      <c r="M58" s="2534"/>
      <c r="N58" s="2534"/>
      <c r="O58" s="2534"/>
      <c r="P58" s="2534"/>
      <c r="Q58" s="2534"/>
      <c r="R58" s="2534"/>
      <c r="S58" s="2534"/>
      <c r="T58" s="2534"/>
      <c r="U58" s="2534"/>
      <c r="V58" s="2534"/>
      <c r="W58" s="2534"/>
      <c r="X58" s="2534"/>
      <c r="Y58" s="2534"/>
      <c r="Z58" s="2534"/>
      <c r="AA58" s="2534"/>
      <c r="AB58" s="2534"/>
      <c r="AC58" s="2534"/>
    </row>
    <row r="59" spans="1:29" s="611" customFormat="1">
      <c r="A59" s="612" t="s">
        <v>1891</v>
      </c>
      <c r="B59" s="209" t="e">
        <f t="shared" si="17"/>
        <v>#DIV/0!</v>
      </c>
      <c r="C59" s="162">
        <f t="shared" si="16"/>
        <v>0</v>
      </c>
      <c r="D59" s="884">
        <v>0.25</v>
      </c>
      <c r="E59" s="613"/>
      <c r="F59" s="827" t="e">
        <f t="shared" si="15"/>
        <v>#DIV/0!</v>
      </c>
      <c r="G59" s="2739"/>
      <c r="H59" s="828">
        <f>项目基本情况!B37</f>
        <v>0</v>
      </c>
      <c r="I59" s="832">
        <f>SUMIF(修正!A57:A68,H59,修正!D57:D68)</f>
        <v>0</v>
      </c>
      <c r="J59" s="836"/>
      <c r="K59" s="2475"/>
      <c r="L59" s="2534"/>
      <c r="M59" s="2534"/>
      <c r="N59" s="2534"/>
      <c r="O59" s="2534"/>
      <c r="P59" s="2534"/>
      <c r="Q59" s="2534"/>
      <c r="R59" s="2534"/>
      <c r="S59" s="2534"/>
      <c r="T59" s="2534"/>
      <c r="U59" s="2534"/>
      <c r="V59" s="2534"/>
      <c r="W59" s="2534"/>
      <c r="X59" s="2534"/>
      <c r="Y59" s="2534"/>
      <c r="Z59" s="2534"/>
      <c r="AA59" s="2534"/>
      <c r="AB59" s="2534"/>
      <c r="AC59" s="2534"/>
    </row>
    <row r="60" spans="1:29" s="611" customFormat="1">
      <c r="A60" s="612" t="s">
        <v>1892</v>
      </c>
      <c r="B60" s="209" t="e">
        <f t="shared" si="17"/>
        <v>#DIV/0!</v>
      </c>
      <c r="C60" s="162">
        <f t="shared" si="16"/>
        <v>0</v>
      </c>
      <c r="D60" s="884">
        <v>0.25</v>
      </c>
      <c r="E60" s="208">
        <f>'数据-汇总表'!E11</f>
        <v>0</v>
      </c>
      <c r="F60" s="827" t="e">
        <f t="shared" si="15"/>
        <v>#DIV/0!</v>
      </c>
      <c r="G60" s="1824" t="s">
        <v>1893</v>
      </c>
      <c r="H60" s="828">
        <f>项目基本情况!C37</f>
        <v>0</v>
      </c>
      <c r="I60" s="832">
        <f>SUMIF(修正!A57:A68,H60,修正!E57:E68)</f>
        <v>0</v>
      </c>
      <c r="J60" s="836"/>
      <c r="K60" s="2475"/>
      <c r="L60" s="2534"/>
      <c r="M60" s="2534"/>
      <c r="N60" s="2534"/>
      <c r="O60" s="2534"/>
      <c r="P60" s="2534"/>
      <c r="Q60" s="2534"/>
      <c r="R60" s="2534"/>
      <c r="S60" s="2534"/>
      <c r="T60" s="2534"/>
      <c r="U60" s="2534"/>
      <c r="V60" s="2534"/>
      <c r="W60" s="2534"/>
      <c r="X60" s="2534"/>
      <c r="Y60" s="2534"/>
      <c r="Z60" s="2534"/>
      <c r="AA60" s="2534"/>
      <c r="AB60" s="2534"/>
      <c r="AC60" s="2534"/>
    </row>
    <row r="61" spans="1:29" s="611" customFormat="1">
      <c r="A61" s="612" t="s">
        <v>1894</v>
      </c>
      <c r="B61" s="209" t="e">
        <f t="shared" si="17"/>
        <v>#DIV/0!</v>
      </c>
      <c r="C61" s="162">
        <f t="shared" si="16"/>
        <v>0</v>
      </c>
      <c r="D61" s="884">
        <v>0.25</v>
      </c>
      <c r="E61" s="208">
        <f>'数据-汇总表'!E12</f>
        <v>0</v>
      </c>
      <c r="F61" s="827" t="e">
        <f t="shared" si="15"/>
        <v>#DIV/0!</v>
      </c>
      <c r="G61" s="833" t="s">
        <v>1895</v>
      </c>
      <c r="H61" s="828">
        <f>IF(G61="商业",项目基本情况!B37,IF(G61="办公",项目基本情况!C37,IF(G61="住宅",项目基本情况!D37,项目基本情况!E37)))</f>
        <v>0</v>
      </c>
      <c r="I61" s="832">
        <f>SUMIF(修正!A57:A68,H61,修正!F57:F68)</f>
        <v>0</v>
      </c>
      <c r="J61" s="836"/>
      <c r="K61" s="2485"/>
      <c r="L61" s="2534"/>
      <c r="M61" s="2534"/>
      <c r="N61" s="2534"/>
      <c r="O61" s="2534"/>
      <c r="P61" s="2534"/>
      <c r="Q61" s="2534"/>
      <c r="R61" s="2534"/>
      <c r="S61" s="2534"/>
      <c r="T61" s="2534"/>
      <c r="U61" s="2534"/>
      <c r="V61" s="2534"/>
      <c r="W61" s="2534"/>
      <c r="X61" s="2534"/>
      <c r="Y61" s="2534"/>
      <c r="Z61" s="2534"/>
      <c r="AA61" s="2534"/>
      <c r="AB61" s="2534"/>
      <c r="AC61" s="2534"/>
    </row>
    <row r="62" spans="1:29" s="611" customFormat="1">
      <c r="A62" s="612" t="s">
        <v>1896</v>
      </c>
      <c r="B62" s="209" t="e">
        <f t="shared" si="17"/>
        <v>#DIV/0!</v>
      </c>
      <c r="C62" s="162">
        <f t="shared" si="16"/>
        <v>0</v>
      </c>
      <c r="D62" s="884">
        <v>0.25</v>
      </c>
      <c r="E62" s="208">
        <f>'数据-汇总表'!E13</f>
        <v>0</v>
      </c>
      <c r="F62" s="827" t="e">
        <f t="shared" si="15"/>
        <v>#DIV/0!</v>
      </c>
      <c r="G62" s="833" t="s">
        <v>1897</v>
      </c>
      <c r="H62" s="828">
        <f>IF(G62="商业",项目基本情况!B37,IF(G62="办公",项目基本情况!C37,IF(G62="住宅",项目基本情况!D37,项目基本情况!E37)))</f>
        <v>0</v>
      </c>
      <c r="I62" s="832">
        <f>SUMIF(修正!A57:A68,H62,修正!G57:G68)</f>
        <v>0</v>
      </c>
      <c r="J62" s="836"/>
      <c r="K62" s="2475"/>
      <c r="L62" s="2534"/>
      <c r="M62" s="2534"/>
      <c r="N62" s="2534"/>
      <c r="O62" s="2534"/>
      <c r="P62" s="2534"/>
      <c r="Q62" s="2534"/>
      <c r="R62" s="2534"/>
      <c r="S62" s="2534"/>
      <c r="T62" s="2534"/>
      <c r="U62" s="2534"/>
      <c r="V62" s="2534"/>
      <c r="W62" s="2534"/>
      <c r="X62" s="2534"/>
      <c r="Y62" s="2534"/>
      <c r="Z62" s="2534"/>
      <c r="AA62" s="2534"/>
      <c r="AB62" s="2534"/>
      <c r="AC62" s="2534"/>
    </row>
    <row r="63" spans="1:29" s="611" customFormat="1">
      <c r="A63" s="612" t="s">
        <v>1898</v>
      </c>
      <c r="B63" s="209" t="e">
        <f t="shared" si="17"/>
        <v>#DIV/0!</v>
      </c>
      <c r="C63" s="162">
        <f t="shared" si="16"/>
        <v>0</v>
      </c>
      <c r="D63" s="884">
        <v>0.25</v>
      </c>
      <c r="E63" s="208">
        <f>'数据-汇总表'!E14</f>
        <v>0</v>
      </c>
      <c r="F63" s="827" t="e">
        <f t="shared" si="15"/>
        <v>#DIV/0!</v>
      </c>
      <c r="G63" s="1824" t="s">
        <v>1889</v>
      </c>
      <c r="H63" s="828">
        <f>项目基本情况!B37</f>
        <v>0</v>
      </c>
      <c r="I63" s="832">
        <f>SUMIF(修正!A57:A68,H63,修正!G57:G68)</f>
        <v>0</v>
      </c>
      <c r="J63" s="836"/>
      <c r="K63" s="2485"/>
      <c r="L63" s="2534"/>
      <c r="M63" s="2534"/>
      <c r="N63" s="2534"/>
      <c r="O63" s="2534"/>
      <c r="P63" s="2534"/>
      <c r="Q63" s="2534"/>
      <c r="R63" s="2534"/>
      <c r="S63" s="2534"/>
      <c r="T63" s="2534"/>
      <c r="U63" s="2534"/>
      <c r="V63" s="2534"/>
      <c r="W63" s="2534"/>
      <c r="X63" s="2534"/>
      <c r="Y63" s="2534"/>
      <c r="Z63" s="2534"/>
      <c r="AA63" s="2534"/>
      <c r="AB63" s="2534"/>
      <c r="AC63" s="2534"/>
    </row>
    <row r="64" spans="1:29" s="611" customFormat="1" ht="15" thickBot="1">
      <c r="A64" s="612" t="s">
        <v>1899</v>
      </c>
      <c r="B64" s="209" t="e">
        <f t="shared" si="17"/>
        <v>#DIV/0!</v>
      </c>
      <c r="C64" s="162">
        <f t="shared" si="16"/>
        <v>0</v>
      </c>
      <c r="D64" s="884">
        <v>0.25</v>
      </c>
      <c r="E64" s="208">
        <f>'数据-汇总表'!E15</f>
        <v>0</v>
      </c>
      <c r="F64" s="827" t="e">
        <f t="shared" si="15"/>
        <v>#DIV/0!</v>
      </c>
      <c r="G64" s="1825" t="s">
        <v>1893</v>
      </c>
      <c r="H64" s="838">
        <f>项目基本情况!C37</f>
        <v>0</v>
      </c>
      <c r="I64" s="834">
        <f>SUMIF(修正!A57:A68,H64,修正!G57:G68)</f>
        <v>0</v>
      </c>
      <c r="J64" s="837"/>
      <c r="K64" s="2475"/>
      <c r="L64" s="2534"/>
      <c r="M64" s="2534"/>
      <c r="N64" s="2534"/>
      <c r="O64" s="2534"/>
      <c r="P64" s="2534"/>
      <c r="Q64" s="2534"/>
      <c r="R64" s="2534"/>
      <c r="S64" s="2534"/>
      <c r="T64" s="2534"/>
      <c r="U64" s="2534"/>
      <c r="V64" s="2534"/>
      <c r="W64" s="2534"/>
      <c r="X64" s="2534"/>
      <c r="Y64" s="2534"/>
      <c r="Z64" s="2534"/>
      <c r="AA64" s="2534"/>
      <c r="AB64" s="2534"/>
      <c r="AC64" s="2534"/>
    </row>
    <row r="65" spans="1:29" s="611" customFormat="1" ht="13.5" thickBot="1">
      <c r="A65" s="614" t="s">
        <v>1900</v>
      </c>
      <c r="B65" s="615" t="s">
        <v>22</v>
      </c>
      <c r="C65" s="615" t="s">
        <v>23</v>
      </c>
      <c r="D65" s="615" t="s">
        <v>392</v>
      </c>
      <c r="E65" s="615">
        <f>IF(B46="楼面地价",SUM(E56:E64),'数据-汇总表'!D3)</f>
        <v>51111.68000000059</v>
      </c>
      <c r="F65" s="616" t="e">
        <f>IF(B46="楼面地价",SUM(F56:F64),ROUND(C48*E65/10000,0))</f>
        <v>#DIV/0!</v>
      </c>
      <c r="G65" s="673"/>
      <c r="H65" s="673"/>
      <c r="I65" s="673"/>
      <c r="J65" s="673"/>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4"/>
      <c r="B66" s="652"/>
      <c r="C66" s="653"/>
      <c r="D66" s="384"/>
      <c r="E66" s="384"/>
      <c r="F66" s="384"/>
      <c r="G66" s="384"/>
      <c r="H66" s="384"/>
      <c r="I66" s="384"/>
      <c r="J66" s="854"/>
      <c r="K66" s="829"/>
      <c r="L66" s="830"/>
      <c r="M66" s="854"/>
      <c r="N66" s="854"/>
      <c r="O66" s="854"/>
      <c r="P66" s="2475"/>
      <c r="Q66" s="2475"/>
      <c r="R66" s="2475"/>
      <c r="S66" s="2475"/>
      <c r="T66" s="2475"/>
      <c r="U66" s="2475"/>
      <c r="V66" s="2475"/>
      <c r="W66" s="2475"/>
      <c r="X66" s="2475"/>
      <c r="Y66" s="2475"/>
      <c r="Z66" s="2475"/>
      <c r="AA66" s="2475"/>
      <c r="AB66" s="2475"/>
      <c r="AC66" s="2475"/>
    </row>
    <row r="67" spans="1:29">
      <c r="A67" s="384"/>
      <c r="B67" s="652"/>
      <c r="C67" s="652" t="str">
        <f>YEAR(C7)&amp;"-"&amp;MONTH(C7)&amp;"-1"</f>
        <v>2024-10-1</v>
      </c>
      <c r="D67" s="652">
        <f>EDATE(C67,-3)</f>
        <v>45474</v>
      </c>
      <c r="E67" s="652">
        <f>EDATE(D67,-3)</f>
        <v>45383</v>
      </c>
      <c r="F67" s="652">
        <f t="shared" ref="F67:O67" si="18">EDATE(E67,-3)</f>
        <v>45292</v>
      </c>
      <c r="G67" s="652">
        <f t="shared" si="18"/>
        <v>45200</v>
      </c>
      <c r="H67" s="652">
        <f t="shared" si="18"/>
        <v>45108</v>
      </c>
      <c r="I67" s="652">
        <f t="shared" si="18"/>
        <v>45017</v>
      </c>
      <c r="J67" s="652">
        <f t="shared" si="18"/>
        <v>44927</v>
      </c>
      <c r="K67" s="652">
        <f t="shared" si="18"/>
        <v>44835</v>
      </c>
      <c r="L67" s="652">
        <f t="shared" si="18"/>
        <v>44743</v>
      </c>
      <c r="M67" s="652">
        <f t="shared" si="18"/>
        <v>44652</v>
      </c>
      <c r="N67" s="652">
        <f t="shared" si="18"/>
        <v>44562</v>
      </c>
      <c r="O67" s="652">
        <f t="shared" si="18"/>
        <v>44470</v>
      </c>
      <c r="P67" s="2475"/>
      <c r="Q67" s="2475"/>
      <c r="R67" s="2475"/>
      <c r="S67" s="2475"/>
      <c r="T67" s="2475"/>
      <c r="U67" s="2475"/>
      <c r="V67" s="2475"/>
      <c r="W67" s="2475"/>
      <c r="X67" s="2475"/>
      <c r="Y67" s="2475"/>
      <c r="Z67" s="2475"/>
      <c r="AA67" s="2475"/>
      <c r="AB67" s="2475"/>
      <c r="AC67" s="2475"/>
    </row>
    <row r="68" spans="1:29" ht="21.75" thickBot="1">
      <c r="A68" s="654" t="s">
        <v>1795</v>
      </c>
      <c r="B68" s="384"/>
      <c r="C68" s="655"/>
      <c r="D68" s="655"/>
      <c r="E68" s="655"/>
      <c r="F68" s="656"/>
      <c r="G68" s="656"/>
      <c r="H68" s="655"/>
      <c r="I68" s="655"/>
      <c r="J68" s="879"/>
      <c r="K68" s="880"/>
      <c r="L68" s="881"/>
      <c r="M68" s="879"/>
      <c r="N68" s="2525"/>
      <c r="O68" s="2525"/>
      <c r="P68" s="2525"/>
      <c r="Q68" s="2496"/>
      <c r="R68" s="2475"/>
      <c r="S68" s="2475"/>
      <c r="T68" s="2475"/>
      <c r="U68" s="2475"/>
      <c r="V68" s="2475"/>
      <c r="W68" s="2475"/>
      <c r="X68" s="2475"/>
      <c r="Y68" s="2475"/>
      <c r="Z68" s="2475"/>
      <c r="AA68" s="2475"/>
      <c r="AB68" s="2475"/>
      <c r="AC68" s="2475"/>
    </row>
    <row r="69" spans="1:29" s="441" customFormat="1" ht="15">
      <c r="A69" s="1619" t="s">
        <v>1901</v>
      </c>
      <c r="B69" s="1036"/>
      <c r="C69" s="1091" t="str">
        <f>YEAR(C67)&amp;"-"&amp;ROUNDUP(MONTH(C67)/3,0)</f>
        <v>2024-4</v>
      </c>
      <c r="D69" s="1091" t="str">
        <f>YEAR(D67)&amp;"-"&amp;ROUNDUP(MONTH(D67)/3,0)</f>
        <v>2024-3</v>
      </c>
      <c r="E69" s="1091" t="str">
        <f t="shared" ref="E69:O69" si="19">YEAR(E67)&amp;"-"&amp;ROUNDUP(MONTH(E67)/3,0)</f>
        <v>2024-2</v>
      </c>
      <c r="F69" s="1091" t="str">
        <f t="shared" si="19"/>
        <v>2024-1</v>
      </c>
      <c r="G69" s="1091" t="str">
        <f t="shared" si="19"/>
        <v>2023-4</v>
      </c>
      <c r="H69" s="1091" t="str">
        <f t="shared" si="19"/>
        <v>2023-3</v>
      </c>
      <c r="I69" s="1091" t="str">
        <f t="shared" si="19"/>
        <v>2023-2</v>
      </c>
      <c r="J69" s="1091" t="str">
        <f t="shared" si="19"/>
        <v>2023-1</v>
      </c>
      <c r="K69" s="1091" t="str">
        <f t="shared" si="19"/>
        <v>2022-4</v>
      </c>
      <c r="L69" s="1091" t="str">
        <f t="shared" si="19"/>
        <v>2022-3</v>
      </c>
      <c r="M69" s="1091" t="str">
        <f t="shared" si="19"/>
        <v>2022-2</v>
      </c>
      <c r="N69" s="1091" t="str">
        <f t="shared" si="19"/>
        <v>2022-1</v>
      </c>
      <c r="O69" s="1091" t="str">
        <f t="shared" si="19"/>
        <v>2021-4</v>
      </c>
      <c r="P69" s="2498"/>
      <c r="Q69" s="2498"/>
      <c r="R69" s="2498"/>
      <c r="S69" s="2498"/>
      <c r="T69" s="2498"/>
      <c r="U69" s="2498"/>
      <c r="V69" s="2498"/>
      <c r="W69" s="2498"/>
      <c r="X69" s="2498"/>
      <c r="Y69" s="2498"/>
      <c r="Z69" s="2498"/>
      <c r="AA69" s="2498"/>
      <c r="AB69" s="2498"/>
      <c r="AC69" s="2498"/>
    </row>
    <row r="70" spans="1:29" s="102" customFormat="1" ht="30" customHeight="1">
      <c r="A70" s="1826" t="s">
        <v>1902</v>
      </c>
      <c r="B70" s="279" t="str">
        <f>"北京市平均增长率"&amp;TEXT(SUMIF(基准地价修正!N25:N29,A70,基准地价修正!P25:P29),"0.00%")</f>
        <v>北京市平均增长率0.00%</v>
      </c>
      <c r="C70" s="529">
        <v>100</v>
      </c>
      <c r="D70" s="6"/>
      <c r="E70" s="6"/>
      <c r="F70" s="6"/>
      <c r="G70" s="6"/>
      <c r="H70" s="6"/>
      <c r="I70" s="6"/>
      <c r="J70" s="6"/>
      <c r="K70" s="6"/>
      <c r="L70" s="6"/>
      <c r="M70" s="1056"/>
      <c r="N70" s="6"/>
      <c r="O70" s="1088"/>
      <c r="P70" s="2496"/>
      <c r="Q70" s="2427"/>
      <c r="R70" s="2427"/>
      <c r="S70" s="2427"/>
      <c r="T70" s="2427"/>
      <c r="U70" s="2427"/>
      <c r="V70" s="2427"/>
      <c r="W70" s="2427"/>
      <c r="X70" s="2427"/>
      <c r="Y70" s="2427"/>
      <c r="Z70" s="2427"/>
      <c r="AA70" s="2427"/>
      <c r="AB70" s="2427"/>
      <c r="AC70" s="2427"/>
    </row>
    <row r="71" spans="1:29" s="102" customFormat="1" ht="15.75" thickBot="1">
      <c r="A71" s="448" t="s">
        <v>1713</v>
      </c>
      <c r="B71" s="449"/>
      <c r="C71" s="450"/>
      <c r="D71" s="451"/>
      <c r="E71" s="451"/>
      <c r="F71" s="451"/>
      <c r="G71" s="451"/>
      <c r="H71" s="451"/>
      <c r="I71" s="451"/>
      <c r="J71" s="451"/>
      <c r="K71" s="451"/>
      <c r="L71" s="451"/>
      <c r="M71" s="452"/>
      <c r="N71" s="451"/>
      <c r="O71" s="882"/>
      <c r="P71" s="2496"/>
      <c r="Q71" s="2496"/>
      <c r="R71" s="2427"/>
      <c r="S71" s="2427"/>
      <c r="T71" s="2427"/>
      <c r="U71" s="2427"/>
      <c r="V71" s="2427"/>
      <c r="W71" s="2427"/>
      <c r="X71" s="2427"/>
      <c r="Y71" s="2427"/>
      <c r="Z71" s="2427"/>
      <c r="AA71" s="2427"/>
      <c r="AB71" s="2427"/>
      <c r="AC71" s="2427"/>
    </row>
    <row r="72" spans="1:29" s="102" customFormat="1" ht="15">
      <c r="A72" s="454" t="s">
        <v>1678</v>
      </c>
      <c r="B72" s="443"/>
      <c r="C72" s="455" t="s">
        <v>1773</v>
      </c>
      <c r="D72" s="31"/>
      <c r="E72" s="31"/>
      <c r="F72" s="31"/>
      <c r="G72" s="31"/>
      <c r="H72" s="31"/>
      <c r="I72" s="31"/>
      <c r="J72" s="31"/>
      <c r="K72" s="31"/>
      <c r="L72" s="456"/>
      <c r="M72" s="457"/>
      <c r="N72" s="2508"/>
      <c r="O72" s="2508"/>
      <c r="P72" s="2532"/>
      <c r="Q72" s="2496"/>
      <c r="R72" s="2427"/>
      <c r="S72" s="2427"/>
      <c r="T72" s="2427"/>
      <c r="U72" s="2427"/>
      <c r="V72" s="2427"/>
      <c r="W72" s="2427"/>
      <c r="X72" s="2427"/>
      <c r="Y72" s="2427"/>
      <c r="Z72" s="2427"/>
      <c r="AA72" s="2427"/>
      <c r="AB72" s="2427"/>
      <c r="AC72" s="2427"/>
    </row>
    <row r="73" spans="1:29" s="102" customFormat="1" ht="15.75" thickBot="1">
      <c r="A73" s="454"/>
      <c r="B73" s="443"/>
      <c r="C73" s="562">
        <v>100</v>
      </c>
      <c r="D73" s="445"/>
      <c r="E73" s="445"/>
      <c r="F73" s="445"/>
      <c r="G73" s="445"/>
      <c r="H73" s="445"/>
      <c r="I73" s="445"/>
      <c r="J73" s="445"/>
      <c r="K73" s="445"/>
      <c r="L73" s="445"/>
      <c r="M73" s="447"/>
      <c r="N73" s="2508"/>
      <c r="O73" s="2508"/>
      <c r="P73" s="2496"/>
      <c r="Q73" s="2496"/>
      <c r="R73" s="2427"/>
      <c r="S73" s="2427"/>
      <c r="T73" s="2427"/>
      <c r="U73" s="2427"/>
      <c r="V73" s="2427"/>
      <c r="W73" s="2427"/>
      <c r="X73" s="2427"/>
      <c r="Y73" s="2427"/>
      <c r="Z73" s="2427"/>
      <c r="AA73" s="2427"/>
      <c r="AB73" s="2427"/>
      <c r="AC73" s="2427"/>
    </row>
    <row r="74" spans="1:29">
      <c r="A74" s="378" t="s">
        <v>1716</v>
      </c>
      <c r="B74" s="459" t="s">
        <v>1682</v>
      </c>
      <c r="C74" s="461"/>
      <c r="D74" s="461"/>
      <c r="E74" s="461"/>
      <c r="F74" s="461"/>
      <c r="G74" s="461"/>
      <c r="H74" s="461"/>
      <c r="I74" s="461"/>
      <c r="J74" s="461"/>
      <c r="K74" s="462"/>
      <c r="L74" s="463"/>
      <c r="M74" s="464"/>
      <c r="N74" s="2509"/>
      <c r="O74" s="2509"/>
      <c r="P74" s="2508"/>
      <c r="Q74" s="2496"/>
      <c r="R74" s="2475"/>
      <c r="S74" s="2475"/>
      <c r="T74" s="2475"/>
      <c r="U74" s="2475"/>
      <c r="V74" s="2475"/>
      <c r="W74" s="2475"/>
      <c r="X74" s="2475"/>
      <c r="Y74" s="2475"/>
      <c r="Z74" s="2475"/>
      <c r="AA74" s="2475"/>
      <c r="AB74" s="2475"/>
      <c r="AC74" s="2475"/>
    </row>
    <row r="75" spans="1:29" ht="15.75" thickBot="1">
      <c r="A75" s="366"/>
      <c r="B75" s="465"/>
      <c r="C75" s="466"/>
      <c r="D75" s="466"/>
      <c r="E75" s="466"/>
      <c r="F75" s="466"/>
      <c r="G75" s="466"/>
      <c r="H75" s="466"/>
      <c r="I75" s="466"/>
      <c r="J75" s="466"/>
      <c r="K75" s="466"/>
      <c r="L75" s="466"/>
      <c r="M75" s="467"/>
      <c r="N75" s="2510"/>
      <c r="O75" s="2510"/>
      <c r="P75" s="2508"/>
      <c r="Q75" s="2496"/>
      <c r="R75" s="2475"/>
      <c r="S75" s="2475"/>
      <c r="T75" s="2475"/>
      <c r="U75" s="2475"/>
      <c r="V75" s="2475"/>
      <c r="W75" s="2475"/>
      <c r="X75" s="2475"/>
      <c r="Y75" s="2475"/>
      <c r="Z75" s="2475"/>
      <c r="AA75" s="2475"/>
      <c r="AB75" s="2475"/>
      <c r="AC75" s="2475"/>
    </row>
    <row r="76" spans="1:29" ht="27.75" thickTop="1">
      <c r="A76" s="366"/>
      <c r="B76" s="468" t="s">
        <v>1685</v>
      </c>
      <c r="C76" s="469"/>
      <c r="D76" s="469"/>
      <c r="E76" s="469"/>
      <c r="F76" s="469"/>
      <c r="G76" s="469"/>
      <c r="H76" s="469"/>
      <c r="I76" s="469"/>
      <c r="J76" s="469"/>
      <c r="K76" s="470"/>
      <c r="L76" s="471"/>
      <c r="M76" s="472"/>
      <c r="N76" s="2509"/>
      <c r="O76" s="2509"/>
      <c r="P76" s="2508"/>
      <c r="Q76" s="2496"/>
      <c r="R76" s="2475"/>
      <c r="S76" s="2475"/>
      <c r="T76" s="2475"/>
      <c r="U76" s="2475"/>
      <c r="V76" s="2475"/>
      <c r="W76" s="2475"/>
      <c r="X76" s="2475"/>
      <c r="Y76" s="2475"/>
      <c r="Z76" s="2475"/>
      <c r="AA76" s="2475"/>
      <c r="AB76" s="2475"/>
      <c r="AC76" s="2475"/>
    </row>
    <row r="77" spans="1:29" ht="15.75" thickBot="1">
      <c r="A77" s="366"/>
      <c r="B77" s="473"/>
      <c r="C77" s="474"/>
      <c r="D77" s="474"/>
      <c r="E77" s="474"/>
      <c r="F77" s="474"/>
      <c r="G77" s="474"/>
      <c r="H77" s="474"/>
      <c r="I77" s="474"/>
      <c r="J77" s="474"/>
      <c r="K77" s="474"/>
      <c r="L77" s="474"/>
      <c r="M77" s="475"/>
      <c r="N77" s="2510"/>
      <c r="O77" s="2510"/>
      <c r="P77" s="2508"/>
      <c r="Q77" s="2496"/>
      <c r="R77" s="2475"/>
      <c r="S77" s="2475"/>
      <c r="T77" s="2475"/>
      <c r="U77" s="2475"/>
      <c r="V77" s="2475"/>
      <c r="W77" s="2475"/>
      <c r="X77" s="2475"/>
      <c r="Y77" s="2475"/>
      <c r="Z77" s="2475"/>
      <c r="AA77" s="2475"/>
      <c r="AB77" s="2475"/>
      <c r="AC77" s="2475"/>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6"/>
      <c r="B79" s="478"/>
      <c r="C79" s="479"/>
      <c r="D79" s="479"/>
      <c r="E79" s="479"/>
      <c r="F79" s="479"/>
      <c r="G79" s="479"/>
      <c r="H79" s="479"/>
      <c r="I79" s="479"/>
      <c r="J79" s="479"/>
      <c r="K79" s="480"/>
      <c r="L79" s="481"/>
      <c r="M79" s="482"/>
      <c r="N79" s="2509"/>
      <c r="O79" s="2509"/>
      <c r="P79" s="2508"/>
      <c r="Q79" s="2496"/>
      <c r="R79" s="2475"/>
      <c r="S79" s="2475"/>
      <c r="T79" s="2475"/>
      <c r="U79" s="2475"/>
      <c r="V79" s="2475"/>
      <c r="W79" s="2475"/>
      <c r="X79" s="2475"/>
      <c r="Y79" s="2475"/>
      <c r="Z79" s="2475"/>
      <c r="AA79" s="2475"/>
      <c r="AB79" s="2475"/>
      <c r="AC79" s="247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0"/>
      <c r="O80" s="2510"/>
      <c r="P80" s="2508"/>
      <c r="Q80" s="2496"/>
      <c r="R80" s="2475"/>
      <c r="S80" s="2475"/>
      <c r="T80" s="2475"/>
      <c r="U80" s="2475"/>
      <c r="V80" s="2475"/>
      <c r="W80" s="2475"/>
      <c r="X80" s="2475"/>
      <c r="Y80" s="2475"/>
      <c r="Z80" s="2475"/>
      <c r="AA80" s="2475"/>
      <c r="AB80" s="2475"/>
      <c r="AC80" s="2475"/>
    </row>
    <row r="81" spans="1:29" s="407" customFormat="1" ht="15.75" thickTop="1">
      <c r="A81" s="483"/>
      <c r="B81" s="468" t="str">
        <f>B12</f>
        <v>配建</v>
      </c>
      <c r="C81" s="484"/>
      <c r="D81" s="484"/>
      <c r="E81" s="484"/>
      <c r="F81" s="484"/>
      <c r="G81" s="484"/>
      <c r="H81" s="485"/>
      <c r="I81" s="485"/>
      <c r="J81" s="485"/>
      <c r="K81" s="485"/>
      <c r="L81" s="486"/>
      <c r="M81" s="487"/>
      <c r="N81" s="2511"/>
      <c r="O81" s="2511"/>
      <c r="P81" s="2511"/>
      <c r="Q81" s="2503"/>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0"/>
      <c r="O82" s="2510"/>
      <c r="P82" s="2511"/>
      <c r="Q82" s="2503"/>
      <c r="R82" s="2481"/>
      <c r="S82" s="2481"/>
      <c r="T82" s="2481"/>
      <c r="U82" s="2481"/>
      <c r="V82" s="2481"/>
      <c r="W82" s="2481"/>
      <c r="X82" s="2481"/>
      <c r="Y82" s="2481"/>
      <c r="Z82" s="2481"/>
      <c r="AA82" s="2481"/>
      <c r="AB82" s="2481"/>
      <c r="AC82" s="2481"/>
    </row>
    <row r="83" spans="1:29" s="407" customFormat="1" ht="15.75" thickTop="1">
      <c r="A83" s="483"/>
      <c r="B83" s="468">
        <f>B13</f>
        <v>111</v>
      </c>
      <c r="C83" s="484"/>
      <c r="D83" s="484"/>
      <c r="E83" s="484"/>
      <c r="F83" s="484"/>
      <c r="G83" s="484"/>
      <c r="H83" s="485"/>
      <c r="I83" s="485"/>
      <c r="J83" s="485"/>
      <c r="K83" s="485"/>
      <c r="L83" s="486"/>
      <c r="M83" s="487"/>
      <c r="N83" s="2511"/>
      <c r="O83" s="2511"/>
      <c r="P83" s="2481"/>
      <c r="Q83" s="2505"/>
      <c r="R83" s="2481"/>
      <c r="S83" s="2481"/>
      <c r="T83" s="2481"/>
      <c r="U83" s="2481"/>
      <c r="V83" s="2481"/>
      <c r="W83" s="2481"/>
      <c r="X83" s="2481"/>
      <c r="Y83" s="2481"/>
      <c r="Z83" s="2481"/>
      <c r="AA83" s="2481"/>
      <c r="AB83" s="2481"/>
      <c r="AC83" s="2481"/>
    </row>
    <row r="84" spans="1:29" s="407" customFormat="1" ht="15.75" thickBot="1">
      <c r="A84" s="483"/>
      <c r="B84" s="473"/>
      <c r="C84" s="490"/>
      <c r="D84" s="490"/>
      <c r="E84" s="490"/>
      <c r="F84" s="490"/>
      <c r="G84" s="490"/>
      <c r="H84" s="492"/>
      <c r="I84" s="492"/>
      <c r="J84" s="492"/>
      <c r="K84" s="492"/>
      <c r="L84" s="492"/>
      <c r="M84" s="493"/>
      <c r="N84" s="2511"/>
      <c r="O84" s="2511"/>
      <c r="P84" s="2511"/>
      <c r="Q84" s="2503"/>
      <c r="R84" s="2481"/>
      <c r="S84" s="2481"/>
      <c r="T84" s="2481"/>
      <c r="U84" s="2481"/>
      <c r="V84" s="2481"/>
      <c r="W84" s="2481"/>
      <c r="X84" s="2481"/>
      <c r="Y84" s="2481"/>
      <c r="Z84" s="2481"/>
      <c r="AA84" s="2481"/>
      <c r="AB84" s="2481"/>
      <c r="AC84" s="2481"/>
    </row>
    <row r="85" spans="1:29" s="407" customFormat="1" ht="15.75" thickTop="1">
      <c r="A85" s="483"/>
      <c r="B85" s="476">
        <f>B14</f>
        <v>111</v>
      </c>
      <c r="C85" s="31"/>
      <c r="D85" s="31"/>
      <c r="E85" s="31"/>
      <c r="F85" s="31"/>
      <c r="G85" s="31"/>
      <c r="H85" s="494"/>
      <c r="I85" s="494"/>
      <c r="J85" s="494"/>
      <c r="K85" s="494"/>
      <c r="L85" s="495"/>
      <c r="M85" s="496"/>
      <c r="N85" s="2511"/>
      <c r="O85" s="2511"/>
      <c r="P85" s="2536"/>
      <c r="Q85" s="2503"/>
      <c r="R85" s="2481"/>
      <c r="S85" s="2481"/>
      <c r="T85" s="2481"/>
      <c r="U85" s="2481"/>
      <c r="V85" s="2481"/>
      <c r="W85" s="2481"/>
      <c r="X85" s="2481"/>
      <c r="Y85" s="2481"/>
      <c r="Z85" s="2481"/>
      <c r="AA85" s="2481"/>
      <c r="AB85" s="2481"/>
      <c r="AC85" s="2481"/>
    </row>
    <row r="86" spans="1:29" s="407" customFormat="1" ht="15.75" thickBot="1">
      <c r="A86" s="498"/>
      <c r="B86" s="499"/>
      <c r="C86" s="500"/>
      <c r="D86" s="500"/>
      <c r="E86" s="500"/>
      <c r="F86" s="500"/>
      <c r="G86" s="500"/>
      <c r="H86" s="501"/>
      <c r="I86" s="501"/>
      <c r="J86" s="501"/>
      <c r="K86" s="501"/>
      <c r="L86" s="501"/>
      <c r="M86" s="502"/>
      <c r="N86" s="2511"/>
      <c r="O86" s="2511"/>
      <c r="P86" s="2511"/>
      <c r="Q86" s="2503"/>
      <c r="R86" s="2481"/>
      <c r="S86" s="2481"/>
      <c r="T86" s="2481"/>
      <c r="U86" s="2481"/>
      <c r="V86" s="2481"/>
      <c r="W86" s="2481"/>
      <c r="X86" s="2481"/>
      <c r="Y86" s="2481"/>
      <c r="Z86" s="2481"/>
      <c r="AA86" s="2481"/>
      <c r="AB86" s="2481"/>
      <c r="AC86" s="2481"/>
    </row>
    <row r="87" spans="1:29">
      <c r="A87" s="378" t="s">
        <v>1687</v>
      </c>
      <c r="B87" s="459" t="s">
        <v>1717</v>
      </c>
      <c r="C87" s="503" t="s">
        <v>1718</v>
      </c>
      <c r="D87" s="503" t="s">
        <v>1719</v>
      </c>
      <c r="E87" s="503" t="s">
        <v>1720</v>
      </c>
      <c r="F87" s="503" t="s">
        <v>1721</v>
      </c>
      <c r="G87" s="503" t="s">
        <v>1722</v>
      </c>
      <c r="H87" s="460"/>
      <c r="I87" s="460"/>
      <c r="J87" s="460"/>
      <c r="K87" s="504"/>
      <c r="L87" s="505"/>
      <c r="M87" s="506"/>
      <c r="N87" s="2509"/>
      <c r="O87" s="2509"/>
      <c r="P87" s="2533"/>
      <c r="Q87" s="2496"/>
      <c r="R87" s="2475"/>
      <c r="S87" s="2475"/>
      <c r="T87" s="2475"/>
      <c r="U87" s="2475"/>
      <c r="V87" s="2475"/>
      <c r="W87" s="2475"/>
      <c r="X87" s="2475"/>
      <c r="Y87" s="2475"/>
      <c r="Z87" s="2475"/>
      <c r="AA87" s="2475"/>
      <c r="AB87" s="2475"/>
      <c r="AC87" s="247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0"/>
      <c r="O88" s="2510"/>
      <c r="P88" s="2508"/>
      <c r="Q88" s="2496"/>
      <c r="R88" s="2475"/>
      <c r="S88" s="2475"/>
      <c r="T88" s="2475"/>
      <c r="U88" s="2475"/>
      <c r="V88" s="2475"/>
      <c r="W88" s="2475"/>
      <c r="X88" s="2475"/>
      <c r="Y88" s="2475"/>
      <c r="Z88" s="2475"/>
      <c r="AA88" s="2475"/>
      <c r="AB88" s="2475"/>
      <c r="AC88" s="2475"/>
    </row>
    <row r="89" spans="1:29" ht="15.75" thickTop="1">
      <c r="A89" s="366"/>
      <c r="B89" s="468" t="s">
        <v>1903</v>
      </c>
      <c r="C89" s="508" t="s">
        <v>1718</v>
      </c>
      <c r="D89" s="508" t="s">
        <v>1719</v>
      </c>
      <c r="E89" s="508" t="s">
        <v>1720</v>
      </c>
      <c r="F89" s="508" t="s">
        <v>1721</v>
      </c>
      <c r="G89" s="508" t="s">
        <v>1722</v>
      </c>
      <c r="H89" s="469"/>
      <c r="I89" s="469"/>
      <c r="J89" s="469"/>
      <c r="K89" s="470"/>
      <c r="L89" s="471"/>
      <c r="M89" s="472"/>
      <c r="N89" s="2509"/>
      <c r="O89" s="2509"/>
      <c r="P89" s="2508"/>
      <c r="Q89" s="2496"/>
      <c r="R89" s="2475"/>
      <c r="S89" s="2475"/>
      <c r="T89" s="2475"/>
      <c r="U89" s="2475"/>
      <c r="V89" s="2475"/>
      <c r="W89" s="2475"/>
      <c r="X89" s="2475"/>
      <c r="Y89" s="2475"/>
      <c r="Z89" s="2475"/>
      <c r="AA89" s="2475"/>
      <c r="AB89" s="2475"/>
      <c r="AC89" s="247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0"/>
      <c r="O90" s="2510"/>
      <c r="P90" s="2508"/>
      <c r="Q90" s="2496"/>
      <c r="R90" s="2475"/>
      <c r="S90" s="2475"/>
      <c r="T90" s="2475"/>
      <c r="U90" s="2475"/>
      <c r="V90" s="2475"/>
      <c r="W90" s="2475"/>
      <c r="X90" s="2475"/>
      <c r="Y90" s="2475"/>
      <c r="Z90" s="2475"/>
      <c r="AA90" s="2475"/>
      <c r="AB90" s="2475"/>
      <c r="AC90" s="2475"/>
    </row>
    <row r="91" spans="1:29" ht="15.75" thickTop="1">
      <c r="A91" s="366"/>
      <c r="B91" s="468" t="s">
        <v>1818</v>
      </c>
      <c r="C91" s="508" t="s">
        <v>1718</v>
      </c>
      <c r="D91" s="508" t="s">
        <v>1719</v>
      </c>
      <c r="E91" s="508" t="s">
        <v>1720</v>
      </c>
      <c r="F91" s="508" t="s">
        <v>1721</v>
      </c>
      <c r="G91" s="508" t="s">
        <v>1722</v>
      </c>
      <c r="H91" s="469"/>
      <c r="I91" s="469"/>
      <c r="J91" s="469"/>
      <c r="K91" s="470"/>
      <c r="L91" s="471"/>
      <c r="M91" s="472"/>
      <c r="N91" s="2509"/>
      <c r="O91" s="2509"/>
      <c r="P91" s="2508"/>
      <c r="Q91" s="2496"/>
      <c r="R91" s="2475"/>
      <c r="S91" s="2475"/>
      <c r="T91" s="2475"/>
      <c r="U91" s="2475"/>
      <c r="V91" s="2475"/>
      <c r="W91" s="2475"/>
      <c r="X91" s="2475"/>
      <c r="Y91" s="2475"/>
      <c r="Z91" s="2475"/>
      <c r="AA91" s="2475"/>
      <c r="AB91" s="2475"/>
      <c r="AC91" s="247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0"/>
      <c r="O92" s="2510"/>
      <c r="P92" s="2508"/>
      <c r="Q92" s="2496"/>
      <c r="R92" s="2475"/>
      <c r="S92" s="2475"/>
      <c r="T92" s="2475"/>
      <c r="U92" s="2475"/>
      <c r="V92" s="2475"/>
      <c r="W92" s="2475"/>
      <c r="X92" s="2475"/>
      <c r="Y92" s="2475"/>
      <c r="Z92" s="2475"/>
      <c r="AA92" s="2475"/>
      <c r="AB92" s="2475"/>
      <c r="AC92" s="2475"/>
    </row>
    <row r="93" spans="1:29" ht="15.75" thickTop="1">
      <c r="A93" s="366"/>
      <c r="B93" s="468" t="s">
        <v>1723</v>
      </c>
      <c r="C93" s="508" t="s">
        <v>1718</v>
      </c>
      <c r="D93" s="508" t="s">
        <v>1719</v>
      </c>
      <c r="E93" s="508" t="s">
        <v>1720</v>
      </c>
      <c r="F93" s="508" t="s">
        <v>1721</v>
      </c>
      <c r="G93" s="508" t="s">
        <v>1722</v>
      </c>
      <c r="H93" s="469"/>
      <c r="I93" s="469"/>
      <c r="J93" s="469"/>
      <c r="K93" s="470"/>
      <c r="L93" s="471"/>
      <c r="M93" s="472"/>
      <c r="N93" s="2509"/>
      <c r="O93" s="2509"/>
      <c r="P93" s="2508"/>
      <c r="Q93" s="2496"/>
      <c r="R93" s="2475"/>
      <c r="S93" s="2475"/>
      <c r="T93" s="2475"/>
      <c r="U93" s="2475"/>
      <c r="V93" s="2475"/>
      <c r="W93" s="2475"/>
      <c r="X93" s="2475"/>
      <c r="Y93" s="2475"/>
      <c r="Z93" s="2475"/>
      <c r="AA93" s="2475"/>
      <c r="AB93" s="2475"/>
      <c r="AC93" s="247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0"/>
      <c r="O94" s="2510"/>
      <c r="P94" s="2508"/>
      <c r="Q94" s="2496"/>
      <c r="R94" s="2475"/>
      <c r="S94" s="2475"/>
      <c r="T94" s="2475"/>
      <c r="U94" s="2475"/>
      <c r="V94" s="2475"/>
      <c r="W94" s="2475"/>
      <c r="X94" s="2475"/>
      <c r="Y94" s="2475"/>
      <c r="Z94" s="2475"/>
      <c r="AA94" s="2475"/>
      <c r="AB94" s="2475"/>
      <c r="AC94" s="2475"/>
    </row>
    <row r="95" spans="1:29" s="102" customFormat="1" ht="15.75" thickTop="1">
      <c r="A95" s="369"/>
      <c r="B95" s="468" t="s">
        <v>1904</v>
      </c>
      <c r="C95" s="508" t="s">
        <v>1718</v>
      </c>
      <c r="D95" s="508" t="s">
        <v>1719</v>
      </c>
      <c r="E95" s="508" t="s">
        <v>1720</v>
      </c>
      <c r="F95" s="508" t="s">
        <v>1721</v>
      </c>
      <c r="G95" s="508" t="s">
        <v>1722</v>
      </c>
      <c r="H95" s="508"/>
      <c r="I95" s="508"/>
      <c r="J95" s="508"/>
      <c r="K95" s="508"/>
      <c r="L95" s="617"/>
      <c r="M95" s="546"/>
      <c r="N95" s="2508"/>
      <c r="O95" s="2508"/>
      <c r="P95" s="2508"/>
      <c r="Q95" s="2496"/>
      <c r="R95" s="2427"/>
      <c r="S95" s="2427"/>
      <c r="T95" s="2427"/>
      <c r="U95" s="2427"/>
      <c r="V95" s="2427"/>
      <c r="W95" s="2427"/>
      <c r="X95" s="2427"/>
      <c r="Y95" s="2427"/>
      <c r="Z95" s="2427"/>
      <c r="AA95" s="2427"/>
      <c r="AB95" s="2427"/>
      <c r="AC95" s="242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0"/>
      <c r="O96" s="2510"/>
      <c r="P96" s="2508"/>
      <c r="Q96" s="2496"/>
      <c r="R96" s="2427"/>
      <c r="S96" s="2427"/>
      <c r="T96" s="2427"/>
      <c r="U96" s="2427"/>
      <c r="V96" s="2427"/>
      <c r="W96" s="2427"/>
      <c r="X96" s="2427"/>
      <c r="Y96" s="2427"/>
      <c r="Z96" s="2427"/>
      <c r="AA96" s="2427"/>
      <c r="AB96" s="2427"/>
      <c r="AC96" s="2427"/>
    </row>
    <row r="97" spans="1:29" s="102" customFormat="1" ht="27.75" thickTop="1">
      <c r="A97" s="369"/>
      <c r="B97" s="468" t="s">
        <v>1905</v>
      </c>
      <c r="C97" s="503" t="s">
        <v>1718</v>
      </c>
      <c r="D97" s="503" t="s">
        <v>1719</v>
      </c>
      <c r="E97" s="503" t="s">
        <v>1720</v>
      </c>
      <c r="F97" s="503" t="s">
        <v>1721</v>
      </c>
      <c r="G97" s="503" t="s">
        <v>1722</v>
      </c>
      <c r="H97" s="508"/>
      <c r="I97" s="508"/>
      <c r="J97" s="508"/>
      <c r="K97" s="508"/>
      <c r="L97" s="508"/>
      <c r="M97" s="546"/>
      <c r="N97" s="2508"/>
      <c r="O97" s="2508"/>
      <c r="P97" s="2508"/>
      <c r="Q97" s="2496"/>
      <c r="R97" s="2427"/>
      <c r="S97" s="2427"/>
      <c r="T97" s="2427"/>
      <c r="U97" s="2427"/>
      <c r="V97" s="2427"/>
      <c r="W97" s="2427"/>
      <c r="X97" s="2427"/>
      <c r="Y97" s="2427"/>
      <c r="Z97" s="2427"/>
      <c r="AA97" s="2427"/>
      <c r="AB97" s="2427"/>
      <c r="AC97" s="242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0"/>
      <c r="O98" s="2510"/>
      <c r="P98" s="2508"/>
      <c r="Q98" s="2496"/>
      <c r="R98" s="2427"/>
      <c r="S98" s="2427"/>
      <c r="T98" s="2427"/>
      <c r="U98" s="2427"/>
      <c r="V98" s="2427"/>
      <c r="W98" s="2427"/>
      <c r="X98" s="2427"/>
      <c r="Y98" s="2427"/>
      <c r="Z98" s="2427"/>
      <c r="AA98" s="2427"/>
      <c r="AB98" s="2427"/>
      <c r="AC98" s="242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11"/>
      <c r="O99" s="2511"/>
      <c r="P99" s="2511"/>
      <c r="Q99" s="2503"/>
      <c r="R99" s="2481"/>
      <c r="S99" s="2481"/>
      <c r="T99" s="2481"/>
      <c r="U99" s="2481"/>
      <c r="V99" s="2481"/>
      <c r="W99" s="2481"/>
      <c r="X99" s="2481"/>
      <c r="Y99" s="2481"/>
      <c r="Z99" s="2481"/>
      <c r="AA99" s="2481"/>
      <c r="AB99" s="2481"/>
      <c r="AC99" s="248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1"/>
      <c r="O100" s="2511"/>
      <c r="P100" s="2511"/>
      <c r="Q100" s="2503"/>
      <c r="R100" s="2481"/>
      <c r="S100" s="2481"/>
      <c r="T100" s="2481"/>
      <c r="U100" s="2481"/>
      <c r="V100" s="2481"/>
      <c r="W100" s="2481"/>
      <c r="X100" s="2481"/>
      <c r="Y100" s="2481"/>
      <c r="Z100" s="2481"/>
      <c r="AA100" s="2481"/>
      <c r="AB100" s="2481"/>
      <c r="AC100" s="2481"/>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55"/>
      <c r="N101" s="2511"/>
      <c r="O101" s="2511"/>
      <c r="P101" s="2511"/>
      <c r="Q101" s="2503"/>
      <c r="R101" s="2481"/>
      <c r="S101" s="2481"/>
      <c r="T101" s="2481"/>
      <c r="U101" s="2481"/>
      <c r="V101" s="2481"/>
      <c r="W101" s="2481"/>
      <c r="X101" s="2481"/>
      <c r="Y101" s="2481"/>
      <c r="Z101" s="2481"/>
      <c r="AA101" s="2481"/>
      <c r="AB101" s="2481"/>
      <c r="AC101" s="248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5"/>
      <c r="N102" s="2511"/>
      <c r="O102" s="2511"/>
      <c r="P102" s="2511"/>
      <c r="Q102" s="2503"/>
      <c r="R102" s="2481"/>
      <c r="S102" s="2481"/>
      <c r="T102" s="2481"/>
      <c r="U102" s="2481"/>
      <c r="V102" s="2481"/>
      <c r="W102" s="2481"/>
      <c r="X102" s="2481"/>
      <c r="Y102" s="2481"/>
      <c r="Z102" s="2481"/>
      <c r="AA102" s="2481"/>
      <c r="AB102" s="2481"/>
      <c r="AC102" s="2481"/>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09"/>
      <c r="O103" s="2509"/>
      <c r="P103" s="2508"/>
      <c r="Q103" s="2496"/>
      <c r="R103" s="2475"/>
      <c r="S103" s="2475"/>
      <c r="T103" s="2475"/>
      <c r="U103" s="2475"/>
      <c r="V103" s="2475"/>
      <c r="W103" s="2475"/>
      <c r="X103" s="2475"/>
      <c r="Y103" s="2475"/>
      <c r="Z103" s="2475"/>
      <c r="AA103" s="2475"/>
      <c r="AB103" s="2475"/>
      <c r="AC103" s="247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6"/>
      <c r="B105" s="468" t="s">
        <v>1812</v>
      </c>
      <c r="C105" s="484"/>
      <c r="D105" s="484"/>
      <c r="E105" s="484"/>
      <c r="F105" s="484"/>
      <c r="G105" s="484"/>
      <c r="H105" s="512"/>
      <c r="I105" s="512"/>
      <c r="J105" s="512"/>
      <c r="K105" s="513"/>
      <c r="L105" s="514"/>
      <c r="M105" s="515"/>
      <c r="N105" s="2509"/>
      <c r="O105" s="2509"/>
      <c r="P105" s="2508"/>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6"/>
      <c r="B107" s="468" t="s">
        <v>1870</v>
      </c>
      <c r="C107" s="512"/>
      <c r="D107" s="512"/>
      <c r="E107" s="512"/>
      <c r="F107" s="512"/>
      <c r="G107" s="512"/>
      <c r="H107" s="512"/>
      <c r="I107" s="512"/>
      <c r="J107" s="512"/>
      <c r="K107" s="513"/>
      <c r="L107" s="514"/>
      <c r="M107" s="515"/>
      <c r="N107" s="2509"/>
      <c r="O107" s="2509"/>
      <c r="P107" s="2508"/>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6"/>
      <c r="B109" s="476">
        <f>B35</f>
        <v>111</v>
      </c>
      <c r="C109" s="484"/>
      <c r="D109" s="484"/>
      <c r="E109" s="484"/>
      <c r="F109" s="484"/>
      <c r="G109" s="516"/>
      <c r="H109" s="516"/>
      <c r="I109" s="516"/>
      <c r="J109" s="516"/>
      <c r="K109" s="517"/>
      <c r="L109" s="518"/>
      <c r="M109" s="519"/>
      <c r="N109" s="2509"/>
      <c r="O109" s="2509"/>
      <c r="P109" s="2508"/>
      <c r="Q109" s="2496"/>
      <c r="R109" s="2475"/>
      <c r="S109" s="2475"/>
      <c r="T109" s="2475"/>
      <c r="U109" s="2475"/>
      <c r="V109" s="2475"/>
      <c r="W109" s="2475"/>
      <c r="X109" s="2475"/>
      <c r="Y109" s="2475"/>
      <c r="Z109" s="2475"/>
      <c r="AA109" s="2475"/>
      <c r="AB109" s="2475"/>
      <c r="AC109" s="2475"/>
    </row>
    <row r="110" spans="1:29" ht="15.75" thickBot="1">
      <c r="A110" s="366"/>
      <c r="B110" s="499"/>
      <c r="C110" s="490"/>
      <c r="D110" s="490"/>
      <c r="E110" s="490"/>
      <c r="F110" s="490"/>
      <c r="G110" s="520"/>
      <c r="H110" s="520"/>
      <c r="I110" s="520"/>
      <c r="J110" s="520"/>
      <c r="K110" s="520"/>
      <c r="L110" s="520"/>
      <c r="M110" s="521"/>
      <c r="N110" s="2510"/>
      <c r="O110" s="2510"/>
      <c r="P110" s="2508"/>
      <c r="Q110" s="2496"/>
      <c r="R110" s="2475"/>
      <c r="S110" s="2475"/>
      <c r="T110" s="2475"/>
      <c r="U110" s="2475"/>
      <c r="V110" s="2475"/>
      <c r="W110" s="2475"/>
      <c r="X110" s="2475"/>
      <c r="Y110" s="2475"/>
      <c r="Z110" s="2475"/>
      <c r="AA110" s="2475"/>
      <c r="AB110" s="2475"/>
      <c r="AC110" s="2475"/>
    </row>
    <row r="111" spans="1:29" ht="15" thickTop="1">
      <c r="A111" s="594"/>
      <c r="B111" s="468">
        <f>B36</f>
        <v>111</v>
      </c>
      <c r="C111" s="31"/>
      <c r="D111" s="31"/>
      <c r="E111" s="31"/>
      <c r="F111" s="31"/>
      <c r="G111" s="512"/>
      <c r="H111" s="512"/>
      <c r="I111" s="512"/>
      <c r="J111" s="512"/>
      <c r="K111" s="513"/>
      <c r="L111" s="514"/>
      <c r="M111" s="515"/>
      <c r="N111" s="2509"/>
      <c r="O111" s="2509"/>
      <c r="P111" s="2508"/>
      <c r="Q111" s="2496"/>
      <c r="R111" s="2475"/>
      <c r="S111" s="2475"/>
      <c r="T111" s="2475"/>
      <c r="U111" s="2475"/>
      <c r="V111" s="2475"/>
      <c r="W111" s="2475"/>
      <c r="X111" s="2475"/>
      <c r="Y111" s="2475"/>
      <c r="Z111" s="2475"/>
      <c r="AA111" s="2475"/>
      <c r="AB111" s="2475"/>
      <c r="AC111" s="2475"/>
    </row>
    <row r="112" spans="1:29" ht="15.75" thickBot="1">
      <c r="A112" s="366"/>
      <c r="B112" s="473"/>
      <c r="C112" s="500"/>
      <c r="D112" s="500"/>
      <c r="E112" s="500"/>
      <c r="F112" s="500"/>
      <c r="G112" s="466"/>
      <c r="H112" s="466"/>
      <c r="I112" s="466"/>
      <c r="J112" s="466"/>
      <c r="K112" s="466"/>
      <c r="L112" s="466"/>
      <c r="M112" s="467"/>
      <c r="N112" s="2510"/>
      <c r="O112" s="2510"/>
      <c r="P112" s="2508"/>
      <c r="Q112" s="2496"/>
      <c r="R112" s="2475"/>
      <c r="S112" s="2475"/>
      <c r="T112" s="2475"/>
      <c r="U112" s="2475"/>
      <c r="V112" s="2475"/>
      <c r="W112" s="2475"/>
      <c r="X112" s="2475"/>
      <c r="Y112" s="2475"/>
      <c r="Z112" s="2475"/>
      <c r="AA112" s="2475"/>
      <c r="AB112" s="2475"/>
      <c r="AC112" s="2475"/>
    </row>
    <row r="113" spans="1:29" s="407" customFormat="1" ht="15" thickTop="1">
      <c r="A113" s="405"/>
      <c r="B113" s="522">
        <f>B37</f>
        <v>111</v>
      </c>
      <c r="C113" s="6"/>
      <c r="D113" s="6"/>
      <c r="E113" s="6"/>
      <c r="F113" s="6"/>
      <c r="G113" s="6"/>
      <c r="H113" s="6"/>
      <c r="I113" s="6"/>
      <c r="J113" s="523"/>
      <c r="K113" s="523"/>
      <c r="L113" s="524"/>
      <c r="M113" s="525"/>
      <c r="N113" s="2511"/>
      <c r="O113" s="2511"/>
      <c r="P113" s="2511"/>
      <c r="Q113" s="2503"/>
      <c r="R113" s="2481"/>
      <c r="S113" s="2481"/>
      <c r="T113" s="2481"/>
      <c r="U113" s="2481"/>
      <c r="V113" s="2481"/>
      <c r="W113" s="2481"/>
      <c r="X113" s="2481"/>
      <c r="Y113" s="2481"/>
      <c r="Z113" s="2481"/>
      <c r="AA113" s="2481"/>
      <c r="AB113" s="2481"/>
      <c r="AC113" s="2481"/>
    </row>
    <row r="114" spans="1:29" s="407" customFormat="1" ht="15.75" thickBot="1">
      <c r="A114" s="483"/>
      <c r="B114" s="476"/>
      <c r="C114" s="445"/>
      <c r="D114" s="596"/>
      <c r="E114" s="596"/>
      <c r="F114" s="596"/>
      <c r="G114" s="596"/>
      <c r="H114" s="596"/>
      <c r="I114" s="596"/>
      <c r="J114" s="596"/>
      <c r="K114" s="596"/>
      <c r="L114" s="596"/>
      <c r="M114" s="618"/>
      <c r="N114" s="2510"/>
      <c r="O114" s="2510"/>
      <c r="P114" s="2511"/>
      <c r="Q114" s="2503"/>
      <c r="R114" s="2481"/>
      <c r="S114" s="2481"/>
      <c r="T114" s="2481"/>
      <c r="U114" s="2481"/>
      <c r="V114" s="2481"/>
      <c r="W114" s="2481"/>
      <c r="X114" s="2481"/>
      <c r="Y114" s="2481"/>
      <c r="Z114" s="2481"/>
      <c r="AA114" s="2481"/>
      <c r="AB114" s="2481"/>
      <c r="AC114" s="2481"/>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6"/>
      <c r="B116" s="476"/>
      <c r="C116" s="6"/>
      <c r="D116" s="6"/>
      <c r="E116" s="6"/>
      <c r="F116" s="6"/>
      <c r="G116" s="6"/>
      <c r="H116" s="6"/>
      <c r="I116" s="6"/>
      <c r="J116" s="523"/>
      <c r="K116" s="523"/>
      <c r="L116" s="524"/>
      <c r="M116" s="525"/>
      <c r="N116" s="2509"/>
      <c r="O116" s="2509"/>
      <c r="P116" s="2508"/>
      <c r="Q116" s="2496"/>
      <c r="R116" s="2475"/>
      <c r="S116" s="2475"/>
      <c r="T116" s="2475"/>
      <c r="U116" s="2475"/>
      <c r="V116" s="2475"/>
      <c r="W116" s="2475"/>
      <c r="X116" s="2475"/>
      <c r="Y116" s="2475"/>
      <c r="Z116" s="2475"/>
      <c r="AA116" s="2475"/>
      <c r="AB116" s="2475"/>
      <c r="AC116" s="2475"/>
    </row>
    <row r="117" spans="1:29" ht="15.75" thickBot="1">
      <c r="A117" s="366"/>
      <c r="B117" s="473"/>
      <c r="C117" s="500"/>
      <c r="D117" s="520"/>
      <c r="E117" s="520"/>
      <c r="F117" s="520"/>
      <c r="G117" s="520"/>
      <c r="H117" s="520"/>
      <c r="I117" s="520"/>
      <c r="J117" s="520"/>
      <c r="K117" s="520"/>
      <c r="L117" s="520"/>
      <c r="M117" s="521"/>
      <c r="N117" s="2510"/>
      <c r="O117" s="2510"/>
      <c r="P117" s="2508"/>
      <c r="Q117" s="2496"/>
      <c r="R117" s="2475"/>
      <c r="S117" s="2475"/>
      <c r="T117" s="2475"/>
      <c r="U117" s="2475"/>
      <c r="V117" s="2475"/>
      <c r="W117" s="2475"/>
      <c r="X117" s="2475"/>
      <c r="Y117" s="2475"/>
      <c r="Z117" s="2475"/>
      <c r="AA117" s="2475"/>
      <c r="AB117" s="2475"/>
      <c r="AC117" s="2475"/>
    </row>
    <row r="118" spans="1:29" ht="15" thickTop="1">
      <c r="A118" s="408"/>
      <c r="B118" s="468" t="s">
        <v>1911</v>
      </c>
      <c r="C118" s="512"/>
      <c r="D118" s="512"/>
      <c r="E118" s="512"/>
      <c r="F118" s="512"/>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8"/>
      <c r="B120" s="468" t="s">
        <v>1912</v>
      </c>
      <c r="C120" s="484"/>
      <c r="D120" s="484"/>
      <c r="E120" s="484"/>
      <c r="F120" s="512"/>
      <c r="G120" s="512"/>
      <c r="H120" s="512"/>
      <c r="I120" s="512"/>
      <c r="J120" s="512"/>
      <c r="K120" s="513"/>
      <c r="L120" s="514"/>
      <c r="M120" s="515"/>
      <c r="N120" s="2509"/>
      <c r="O120" s="2509"/>
      <c r="P120" s="2508"/>
      <c r="Q120" s="2496"/>
      <c r="R120" s="2475"/>
      <c r="S120" s="2475"/>
      <c r="T120" s="2475"/>
      <c r="U120" s="2475"/>
      <c r="V120" s="2475"/>
      <c r="W120" s="2475"/>
      <c r="X120" s="2475"/>
      <c r="Y120" s="2475"/>
      <c r="Z120" s="2475"/>
      <c r="AA120" s="2475"/>
      <c r="AB120" s="2475"/>
      <c r="AC120" s="247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0"/>
      <c r="O121" s="2510"/>
      <c r="P121" s="2508"/>
      <c r="Q121" s="2496"/>
      <c r="R121" s="2475"/>
      <c r="S121" s="2475"/>
      <c r="T121" s="2475"/>
      <c r="U121" s="2475"/>
      <c r="V121" s="2475"/>
      <c r="W121" s="2475"/>
      <c r="X121" s="2475"/>
      <c r="Y121" s="2475"/>
      <c r="Z121" s="2475"/>
      <c r="AA121" s="2475"/>
      <c r="AB121" s="2475"/>
      <c r="AC121" s="2475"/>
    </row>
    <row r="122" spans="1:29" s="407" customFormat="1" ht="15" thickTop="1">
      <c r="A122" s="405"/>
      <c r="B122" s="468" t="s">
        <v>1913</v>
      </c>
      <c r="C122" s="484"/>
      <c r="D122" s="484"/>
      <c r="E122" s="484"/>
      <c r="F122" s="484"/>
      <c r="G122" s="484"/>
      <c r="H122" s="512"/>
      <c r="I122" s="512"/>
      <c r="J122" s="512"/>
      <c r="K122" s="513"/>
      <c r="L122" s="514"/>
      <c r="M122" s="515"/>
      <c r="N122" s="2511"/>
      <c r="O122" s="2511"/>
      <c r="P122" s="2511"/>
      <c r="Q122" s="2503"/>
      <c r="R122" s="2481"/>
      <c r="S122" s="2481"/>
      <c r="T122" s="2481"/>
      <c r="U122" s="2481"/>
      <c r="V122" s="2481"/>
      <c r="W122" s="2481"/>
      <c r="X122" s="2481"/>
      <c r="Y122" s="2481"/>
      <c r="Z122" s="2481"/>
      <c r="AA122" s="2481"/>
      <c r="AB122" s="2481"/>
      <c r="AC122" s="248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8"/>
      <c r="B124" s="468" t="s">
        <v>1914</v>
      </c>
      <c r="C124" s="484"/>
      <c r="D124" s="484"/>
      <c r="E124" s="512"/>
      <c r="F124" s="512"/>
      <c r="G124" s="512"/>
      <c r="H124" s="512"/>
      <c r="I124" s="512"/>
      <c r="J124" s="512"/>
      <c r="K124" s="513"/>
      <c r="L124" s="514"/>
      <c r="M124" s="515"/>
      <c r="N124" s="2509"/>
      <c r="O124" s="2509"/>
      <c r="P124" s="2508"/>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8"/>
      <c r="B126" s="468">
        <f>B43</f>
        <v>111</v>
      </c>
      <c r="C126" s="484"/>
      <c r="D126" s="484"/>
      <c r="E126" s="484"/>
      <c r="F126" s="484"/>
      <c r="G126" s="484"/>
      <c r="H126" s="512"/>
      <c r="I126" s="512"/>
      <c r="J126" s="512"/>
      <c r="K126" s="513"/>
      <c r="L126" s="514"/>
      <c r="M126" s="515"/>
      <c r="N126" s="2509"/>
      <c r="O126" s="2509"/>
      <c r="P126" s="2508"/>
      <c r="Q126" s="2496"/>
      <c r="R126" s="2475"/>
      <c r="S126" s="2475"/>
      <c r="T126" s="2475"/>
      <c r="U126" s="2475"/>
      <c r="V126" s="2475"/>
      <c r="W126" s="2475"/>
      <c r="X126" s="2475"/>
      <c r="Y126" s="2475"/>
      <c r="Z126" s="2475"/>
      <c r="AA126" s="2475"/>
      <c r="AB126" s="2475"/>
      <c r="AC126" s="2475"/>
    </row>
    <row r="127" spans="1:29" ht="15.75" thickBot="1">
      <c r="A127" s="366"/>
      <c r="B127" s="473"/>
      <c r="C127" s="490"/>
      <c r="D127" s="490"/>
      <c r="E127" s="490"/>
      <c r="F127" s="490"/>
      <c r="G127" s="466"/>
      <c r="H127" s="466"/>
      <c r="I127" s="466"/>
      <c r="J127" s="466"/>
      <c r="K127" s="466"/>
      <c r="L127" s="466"/>
      <c r="M127" s="467"/>
      <c r="N127" s="2510"/>
      <c r="O127" s="2510"/>
      <c r="P127" s="2508"/>
      <c r="Q127" s="2496"/>
      <c r="R127" s="2475"/>
      <c r="S127" s="2475"/>
      <c r="T127" s="2475"/>
      <c r="U127" s="2475"/>
      <c r="V127" s="2475"/>
      <c r="W127" s="2475"/>
      <c r="X127" s="2475"/>
      <c r="Y127" s="2475"/>
      <c r="Z127" s="2475"/>
      <c r="AA127" s="2475"/>
      <c r="AB127" s="2475"/>
      <c r="AC127" s="2475"/>
    </row>
    <row r="128" spans="1:29" ht="15" thickTop="1">
      <c r="A128" s="408"/>
      <c r="B128" s="468">
        <f>B44</f>
        <v>111</v>
      </c>
      <c r="C128" s="31"/>
      <c r="D128" s="31"/>
      <c r="E128" s="31"/>
      <c r="F128" s="31"/>
      <c r="G128" s="512"/>
      <c r="H128" s="512"/>
      <c r="I128" s="512"/>
      <c r="J128" s="512"/>
      <c r="K128" s="513"/>
      <c r="L128" s="514"/>
      <c r="M128" s="515"/>
      <c r="N128" s="2509"/>
      <c r="O128" s="2509"/>
      <c r="P128" s="2508"/>
      <c r="Q128" s="2496"/>
      <c r="R128" s="2475"/>
      <c r="S128" s="2475"/>
      <c r="T128" s="2475"/>
      <c r="U128" s="2475"/>
      <c r="V128" s="2475"/>
      <c r="W128" s="2475"/>
      <c r="X128" s="2475"/>
      <c r="Y128" s="2475"/>
      <c r="Z128" s="2475"/>
      <c r="AA128" s="2475"/>
      <c r="AB128" s="2475"/>
      <c r="AC128" s="2475"/>
    </row>
    <row r="129" spans="1:29" ht="15.75" thickBot="1">
      <c r="A129" s="366"/>
      <c r="B129" s="473"/>
      <c r="C129" s="500"/>
      <c r="D129" s="500"/>
      <c r="E129" s="500"/>
      <c r="F129" s="500"/>
      <c r="G129" s="466"/>
      <c r="H129" s="466"/>
      <c r="I129" s="466"/>
      <c r="J129" s="466"/>
      <c r="K129" s="466"/>
      <c r="L129" s="466"/>
      <c r="M129" s="467"/>
      <c r="N129" s="2510"/>
      <c r="O129" s="2510"/>
      <c r="P129" s="2508"/>
      <c r="Q129" s="2496"/>
      <c r="R129" s="2475"/>
      <c r="S129" s="2475"/>
      <c r="T129" s="2475"/>
      <c r="U129" s="2475"/>
      <c r="V129" s="2475"/>
      <c r="W129" s="2475"/>
      <c r="X129" s="2475"/>
      <c r="Y129" s="2475"/>
      <c r="Z129" s="2475"/>
      <c r="AA129" s="2475"/>
      <c r="AB129" s="2475"/>
      <c r="AC129" s="2475"/>
    </row>
    <row r="130" spans="1:29" s="407" customFormat="1" ht="15" thickTop="1">
      <c r="A130" s="405"/>
      <c r="B130" s="468">
        <f>B45</f>
        <v>111</v>
      </c>
      <c r="C130" s="31"/>
      <c r="D130" s="31"/>
      <c r="E130" s="31"/>
      <c r="F130" s="31"/>
      <c r="G130" s="485"/>
      <c r="H130" s="485"/>
      <c r="I130" s="485"/>
      <c r="J130" s="485"/>
      <c r="K130" s="485"/>
      <c r="L130" s="486"/>
      <c r="M130" s="487"/>
      <c r="N130" s="2511"/>
      <c r="O130" s="2511"/>
      <c r="P130" s="2511"/>
      <c r="Q130" s="2503"/>
      <c r="R130" s="2481"/>
      <c r="S130" s="2481"/>
      <c r="T130" s="2481"/>
      <c r="U130" s="2481"/>
      <c r="V130" s="2481"/>
      <c r="W130" s="2481"/>
      <c r="X130" s="2481"/>
      <c r="Y130" s="2481"/>
      <c r="Z130" s="2481"/>
      <c r="AA130" s="2481"/>
      <c r="AB130" s="2481"/>
      <c r="AC130" s="2481"/>
    </row>
    <row r="131" spans="1:29" s="407" customFormat="1" ht="15.75" thickBot="1">
      <c r="A131" s="498"/>
      <c r="B131" s="619"/>
      <c r="C131" s="500"/>
      <c r="D131" s="500"/>
      <c r="E131" s="500"/>
      <c r="F131" s="500"/>
      <c r="G131" s="520"/>
      <c r="H131" s="520"/>
      <c r="I131" s="520"/>
      <c r="J131" s="520"/>
      <c r="K131" s="520"/>
      <c r="L131" s="520"/>
      <c r="M131" s="521"/>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F61</f>
        <v>#DIV/0!</v>
      </c>
      <c r="C2" s="848"/>
      <c r="D2" s="848"/>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486" t="s">
        <v>1916</v>
      </c>
      <c r="D6" s="3487"/>
      <c r="E6" s="3488" t="s">
        <v>1916</v>
      </c>
      <c r="F6" s="3489"/>
      <c r="G6" s="3486" t="s">
        <v>1916</v>
      </c>
      <c r="H6" s="3487"/>
      <c r="I6" s="3486" t="s">
        <v>1916</v>
      </c>
      <c r="J6" s="3487"/>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SUMIF(65:65,YEAR(E7)&amp;"-"&amp;INT((MONTH(E7)+2)/3),66:66)</f>
        <v>0</v>
      </c>
      <c r="G7" s="1811"/>
      <c r="H7" s="354">
        <f>SUMIF(65:65,YEAR(G7)&amp;"-"&amp;INT((MONTH(G7)+2)/3),66:66)</f>
        <v>0</v>
      </c>
      <c r="I7" s="1811"/>
      <c r="J7" s="354">
        <f>SUMIF(65:65,YEAR(I7)&amp;"-"&amp;INT((MONTH(I7)+2)/3),66:66)</f>
        <v>0</v>
      </c>
      <c r="K7" s="38"/>
      <c r="L7" s="2476"/>
      <c r="M7" s="2427"/>
      <c r="N7" s="2427"/>
      <c r="O7" s="2427"/>
      <c r="P7" s="3387" t="s">
        <v>1677</v>
      </c>
      <c r="Q7" s="3421"/>
      <c r="R7" s="660" t="s">
        <v>14</v>
      </c>
      <c r="S7" s="661">
        <f t="shared" ref="S7:S15" si="0">F7</f>
        <v>0</v>
      </c>
      <c r="T7" s="660" t="s">
        <v>14</v>
      </c>
      <c r="U7" s="661">
        <f t="shared" ref="U7:U15" si="1">H7</f>
        <v>0</v>
      </c>
      <c r="V7" s="660" t="s">
        <v>14</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76"/>
      <c r="M8" s="2427"/>
      <c r="N8" s="2427"/>
      <c r="O8" s="2427"/>
      <c r="P8" s="3387" t="s">
        <v>1680</v>
      </c>
      <c r="Q8" s="3388"/>
      <c r="R8" s="660" t="s">
        <v>14</v>
      </c>
      <c r="S8" s="661">
        <f t="shared" si="0"/>
        <v>0</v>
      </c>
      <c r="T8" s="660" t="s">
        <v>14</v>
      </c>
      <c r="U8" s="661">
        <f t="shared" si="1"/>
        <v>0</v>
      </c>
      <c r="V8" s="660" t="s">
        <v>14</v>
      </c>
      <c r="W8" s="661">
        <f t="shared" si="2"/>
        <v>0</v>
      </c>
      <c r="X8" s="662"/>
      <c r="Y8" s="3387" t="s">
        <v>1680</v>
      </c>
      <c r="Z8" s="3388"/>
      <c r="AA8" s="50" t="e">
        <f t="shared" ref="AA8:AA40" si="3">D8/F8</f>
        <v>#DIV/0!</v>
      </c>
      <c r="AB8" s="50" t="e">
        <f t="shared" ref="AB8:AB40" si="4">D8/H8</f>
        <v>#DIV/0!</v>
      </c>
      <c r="AC8" s="50" t="e">
        <f t="shared" ref="AC8:AC40" si="5">D8/J8</f>
        <v>#DIV/0!</v>
      </c>
    </row>
    <row r="9" spans="1:29" s="102" customFormat="1">
      <c r="A9" s="358" t="s">
        <v>1681</v>
      </c>
      <c r="B9" s="60" t="s">
        <v>1682</v>
      </c>
      <c r="C9" s="1814"/>
      <c r="D9" s="59">
        <v>100</v>
      </c>
      <c r="E9" s="1814"/>
      <c r="F9" s="59">
        <f>SUMIF(70:70,E9,71:71)-SUMIF(70:70,C9,71:71)+100</f>
        <v>100</v>
      </c>
      <c r="G9" s="1814"/>
      <c r="H9" s="59">
        <f>SUMIF(70:70,G9,71:71)-SUMIF(70:70,C9,71:71)+100</f>
        <v>100</v>
      </c>
      <c r="I9" s="1814"/>
      <c r="J9" s="59">
        <f>SUMIF(70:70,I9,71:71)-SUMIF(70:70,C9,71:71)+100</f>
        <v>100</v>
      </c>
      <c r="K9" s="38"/>
      <c r="L9" s="2476"/>
      <c r="M9" s="2427"/>
      <c r="N9" s="2427"/>
      <c r="O9" s="2528"/>
      <c r="P9" s="3431"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133</v>
      </c>
      <c r="G10" s="370"/>
      <c r="H10" s="118">
        <f>ROUND(100/'数据-取费表'!G16,0)</f>
        <v>133</v>
      </c>
      <c r="I10" s="370"/>
      <c r="J10" s="118">
        <f>ROUND(100/'数据-取费表'!G16,0)</f>
        <v>133</v>
      </c>
      <c r="K10" s="591"/>
      <c r="L10" s="2477"/>
      <c r="M10" s="2478"/>
      <c r="N10" s="2478"/>
      <c r="O10" s="2529"/>
      <c r="P10" s="3431"/>
      <c r="Q10" s="529" t="str">
        <f t="shared" si="6"/>
        <v>土地使用年限（年）</v>
      </c>
      <c r="R10" s="660" t="s">
        <v>14</v>
      </c>
      <c r="S10" s="661">
        <f t="shared" si="0"/>
        <v>133</v>
      </c>
      <c r="T10" s="660" t="s">
        <v>14</v>
      </c>
      <c r="U10" s="661">
        <f t="shared" si="1"/>
        <v>133</v>
      </c>
      <c r="V10" s="660" t="s">
        <v>14</v>
      </c>
      <c r="W10" s="661">
        <f t="shared" si="2"/>
        <v>133</v>
      </c>
      <c r="X10" s="662"/>
      <c r="Y10" s="3360"/>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79"/>
      <c r="M11" s="2475"/>
      <c r="N11" s="2475"/>
      <c r="O11" s="2530"/>
      <c r="P11" s="3431"/>
      <c r="Q11" s="529" t="str">
        <f t="shared" si="6"/>
        <v>容积率</v>
      </c>
      <c r="R11" s="660" t="s">
        <v>14</v>
      </c>
      <c r="S11" s="661" t="e">
        <f t="shared" si="0"/>
        <v>#N/A</v>
      </c>
      <c r="T11" s="660" t="s">
        <v>14</v>
      </c>
      <c r="U11" s="661" t="e">
        <f t="shared" si="1"/>
        <v>#N/A</v>
      </c>
      <c r="V11" s="660" t="s">
        <v>14</v>
      </c>
      <c r="W11" s="661" t="e">
        <f t="shared" si="2"/>
        <v>#N/A</v>
      </c>
      <c r="X11" s="662"/>
      <c r="Y11" s="336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6"/>
      <c r="M12" s="2427"/>
      <c r="N12" s="2427"/>
      <c r="O12" s="2528"/>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0"/>
      <c r="M13" s="2475"/>
      <c r="N13" s="2475"/>
      <c r="O13" s="2530"/>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479"/>
      <c r="F14" s="376">
        <f>SUMIF(81:81,E14,82:82)-SUMIF(81:81,C14,82:82)+100</f>
        <v>100</v>
      </c>
      <c r="G14" s="593"/>
      <c r="H14" s="376">
        <f>SUMIF(81:81,G14,82:82)-SUMIF(81:81,C14,82:82)+100</f>
        <v>100</v>
      </c>
      <c r="I14" s="479"/>
      <c r="J14" s="376">
        <f>SUMIF(81:81,I14,82:82)-SUMIF(81:81,C14,82:82)+100</f>
        <v>100</v>
      </c>
      <c r="K14" s="591"/>
      <c r="L14" s="2480"/>
      <c r="M14" s="2475"/>
      <c r="N14" s="2475"/>
      <c r="O14" s="2530"/>
      <c r="P14" s="3431"/>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57">
      <c r="A15" s="378" t="s">
        <v>1687</v>
      </c>
      <c r="B15" s="553" t="s">
        <v>1917</v>
      </c>
      <c r="C15" s="180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0"/>
      <c r="M15" s="2475"/>
      <c r="N15" s="2475"/>
      <c r="O15" s="2530"/>
      <c r="P15" s="3424" t="s">
        <v>1688</v>
      </c>
      <c r="Q15" s="1252" t="str">
        <f t="shared" si="6"/>
        <v>产业集聚程度</v>
      </c>
      <c r="R15" s="663" t="s">
        <v>14</v>
      </c>
      <c r="S15" s="664">
        <f t="shared" si="0"/>
        <v>100</v>
      </c>
      <c r="T15" s="663" t="s">
        <v>14</v>
      </c>
      <c r="U15" s="664">
        <f t="shared" si="1"/>
        <v>100</v>
      </c>
      <c r="V15" s="663" t="s">
        <v>14</v>
      </c>
      <c r="W15" s="664">
        <f t="shared" si="2"/>
        <v>100</v>
      </c>
      <c r="X15" s="1254"/>
      <c r="Y15" s="3424" t="s">
        <v>1688</v>
      </c>
      <c r="Z15" s="1253" t="str">
        <f t="shared" si="7"/>
        <v>产业集聚程度</v>
      </c>
      <c r="AA15" s="1253">
        <f t="shared" si="3"/>
        <v>1</v>
      </c>
      <c r="AB15" s="1253">
        <f t="shared" si="4"/>
        <v>1</v>
      </c>
      <c r="AC15" s="1253">
        <f t="shared" si="5"/>
        <v>1</v>
      </c>
    </row>
    <row r="16" spans="1:29" ht="15">
      <c r="A16" s="366"/>
      <c r="B16" s="554"/>
      <c r="C16" s="385"/>
      <c r="D16" s="386"/>
      <c r="E16" s="1747"/>
      <c r="F16" s="386"/>
      <c r="G16" s="1747"/>
      <c r="H16" s="388"/>
      <c r="I16" s="1747"/>
      <c r="J16" s="386"/>
      <c r="K16" s="591"/>
      <c r="L16" s="2480"/>
      <c r="M16" s="2475"/>
      <c r="N16" s="2475"/>
      <c r="O16" s="2530"/>
      <c r="P16" s="3425"/>
      <c r="Q16" s="1252"/>
      <c r="R16" s="663"/>
      <c r="S16" s="664"/>
      <c r="T16" s="663"/>
      <c r="U16" s="664"/>
      <c r="V16" s="663"/>
      <c r="W16" s="664"/>
      <c r="X16" s="1254"/>
      <c r="Y16" s="3425"/>
      <c r="Z16" s="1253"/>
      <c r="AA16" s="1253">
        <v>1</v>
      </c>
      <c r="AB16" s="1253">
        <v>1</v>
      </c>
      <c r="AC16" s="1253">
        <v>1</v>
      </c>
    </row>
    <row r="17" spans="1:29" ht="85.5">
      <c r="A17" s="366"/>
      <c r="B17" s="555" t="s">
        <v>1830</v>
      </c>
      <c r="C17" s="174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0"/>
      <c r="M17" s="2475"/>
      <c r="N17" s="2475"/>
      <c r="O17" s="2530"/>
      <c r="P17" s="3425"/>
      <c r="Q17" s="1252" t="str">
        <f>B17</f>
        <v>交通便捷度</v>
      </c>
      <c r="R17" s="663" t="s">
        <v>14</v>
      </c>
      <c r="S17" s="664">
        <f>F17</f>
        <v>100</v>
      </c>
      <c r="T17" s="663" t="s">
        <v>14</v>
      </c>
      <c r="U17" s="664">
        <f>H17</f>
        <v>100</v>
      </c>
      <c r="V17" s="663" t="s">
        <v>14</v>
      </c>
      <c r="W17" s="664">
        <f>J17</f>
        <v>100</v>
      </c>
      <c r="X17" s="1254"/>
      <c r="Y17" s="3425"/>
      <c r="Z17" s="1253" t="str">
        <f>Q17</f>
        <v>交通便捷度</v>
      </c>
      <c r="AA17" s="1253">
        <f t="shared" si="3"/>
        <v>1</v>
      </c>
      <c r="AB17" s="1253">
        <f t="shared" si="4"/>
        <v>1</v>
      </c>
      <c r="AC17" s="1253">
        <f t="shared" si="5"/>
        <v>1</v>
      </c>
    </row>
    <row r="18" spans="1:29" ht="15">
      <c r="A18" s="366"/>
      <c r="B18" s="400"/>
      <c r="C18" s="385"/>
      <c r="D18" s="386"/>
      <c r="E18" s="1741"/>
      <c r="F18" s="386"/>
      <c r="G18" s="1741"/>
      <c r="H18" s="386"/>
      <c r="I18" s="1740"/>
      <c r="J18" s="386"/>
      <c r="K18" s="591"/>
      <c r="L18" s="2480"/>
      <c r="M18" s="2475"/>
      <c r="N18" s="2475"/>
      <c r="O18" s="2530"/>
      <c r="P18" s="3425"/>
      <c r="Q18" s="1252"/>
      <c r="R18" s="663"/>
      <c r="S18" s="664"/>
      <c r="T18" s="663"/>
      <c r="U18" s="664"/>
      <c r="V18" s="663"/>
      <c r="W18" s="664"/>
      <c r="X18" s="1254"/>
      <c r="Y18" s="3425"/>
      <c r="Z18" s="1253"/>
      <c r="AA18" s="1253">
        <v>1</v>
      </c>
      <c r="AB18" s="1253">
        <v>1</v>
      </c>
      <c r="AC18" s="1253">
        <v>1</v>
      </c>
    </row>
    <row r="19" spans="1:29" ht="15">
      <c r="A19" s="366"/>
      <c r="B19" s="555" t="s">
        <v>1868</v>
      </c>
      <c r="C19" s="174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0"/>
      <c r="M19" s="2475"/>
      <c r="N19" s="2475"/>
      <c r="O19" s="2530"/>
      <c r="P19" s="3425"/>
      <c r="Q19" s="1252" t="str">
        <f t="shared" ref="Q19:Q33" si="8">B19</f>
        <v>区域土地利用方向</v>
      </c>
      <c r="R19" s="663" t="s">
        <v>14</v>
      </c>
      <c r="S19" s="664">
        <f>F19</f>
        <v>100</v>
      </c>
      <c r="T19" s="663" t="s">
        <v>14</v>
      </c>
      <c r="U19" s="664">
        <f>H19</f>
        <v>100</v>
      </c>
      <c r="V19" s="663" t="s">
        <v>14</v>
      </c>
      <c r="W19" s="664">
        <f>J19</f>
        <v>100</v>
      </c>
      <c r="X19" s="1254"/>
      <c r="Y19" s="3425"/>
      <c r="Z19" s="1253" t="str">
        <f>Q19</f>
        <v>区域土地利用方向</v>
      </c>
      <c r="AA19" s="1253">
        <f t="shared" si="3"/>
        <v>1</v>
      </c>
      <c r="AB19" s="1253">
        <f t="shared" si="4"/>
        <v>1</v>
      </c>
      <c r="AC19" s="1253">
        <f t="shared" si="5"/>
        <v>1</v>
      </c>
    </row>
    <row r="20" spans="1:29" ht="15">
      <c r="A20" s="347"/>
      <c r="B20" s="400"/>
      <c r="C20" s="385"/>
      <c r="D20" s="386"/>
      <c r="E20" s="1741"/>
      <c r="F20" s="386"/>
      <c r="G20" s="1741"/>
      <c r="H20" s="386"/>
      <c r="I20" s="1741"/>
      <c r="J20" s="386"/>
      <c r="K20" s="692"/>
      <c r="L20" s="2480"/>
      <c r="M20" s="2475"/>
      <c r="N20" s="2475"/>
      <c r="O20" s="2530"/>
      <c r="P20" s="3425"/>
      <c r="Q20" s="1252"/>
      <c r="R20" s="663"/>
      <c r="S20" s="664"/>
      <c r="T20" s="663"/>
      <c r="U20" s="664"/>
      <c r="V20" s="663"/>
      <c r="W20" s="664"/>
      <c r="X20" s="1254"/>
      <c r="Y20" s="3425"/>
      <c r="Z20" s="1253"/>
      <c r="AA20" s="1253"/>
      <c r="AB20" s="1253"/>
      <c r="AC20" s="1253"/>
    </row>
    <row r="21" spans="1:29" ht="71.25">
      <c r="A21" s="347"/>
      <c r="B21" s="555" t="s">
        <v>1918</v>
      </c>
      <c r="C21" s="174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0"/>
      <c r="M21" s="2475"/>
      <c r="N21" s="2475"/>
      <c r="O21" s="2530"/>
      <c r="P21" s="3425"/>
      <c r="Q21" s="1252" t="str">
        <f t="shared" si="8"/>
        <v>环境状况</v>
      </c>
      <c r="R21" s="663" t="s">
        <v>14</v>
      </c>
      <c r="S21" s="664">
        <f>F21</f>
        <v>100</v>
      </c>
      <c r="T21" s="663" t="s">
        <v>14</v>
      </c>
      <c r="U21" s="664">
        <f>H21</f>
        <v>100</v>
      </c>
      <c r="V21" s="663" t="s">
        <v>14</v>
      </c>
      <c r="W21" s="664">
        <f>J21</f>
        <v>100</v>
      </c>
      <c r="X21" s="1254"/>
      <c r="Y21" s="3425"/>
      <c r="Z21" s="1253" t="str">
        <f>Q21</f>
        <v>环境状况</v>
      </c>
      <c r="AA21" s="1253">
        <f t="shared" si="3"/>
        <v>1</v>
      </c>
      <c r="AB21" s="1253">
        <f t="shared" si="4"/>
        <v>1</v>
      </c>
      <c r="AC21" s="1253">
        <f t="shared" si="5"/>
        <v>1</v>
      </c>
    </row>
    <row r="22" spans="1:29" ht="15">
      <c r="A22" s="347"/>
      <c r="B22" s="400"/>
      <c r="C22" s="385"/>
      <c r="D22" s="386"/>
      <c r="E22" s="1747"/>
      <c r="F22" s="386"/>
      <c r="G22" s="1747"/>
      <c r="H22" s="386"/>
      <c r="I22" s="385"/>
      <c r="J22" s="386"/>
      <c r="K22" s="591"/>
      <c r="L22" s="2480"/>
      <c r="M22" s="2475"/>
      <c r="N22" s="2475"/>
      <c r="O22" s="2530"/>
      <c r="P22" s="3425"/>
      <c r="Q22" s="1252"/>
      <c r="R22" s="663"/>
      <c r="S22" s="664"/>
      <c r="T22" s="663"/>
      <c r="U22" s="664"/>
      <c r="V22" s="663"/>
      <c r="W22" s="664"/>
      <c r="X22" s="1254"/>
      <c r="Y22" s="3425"/>
      <c r="Z22" s="1253"/>
      <c r="AA22" s="1253">
        <v>1</v>
      </c>
      <c r="AB22" s="1253">
        <v>1</v>
      </c>
      <c r="AC22" s="1253">
        <v>1</v>
      </c>
    </row>
    <row r="23" spans="1:29" s="102" customFormat="1" ht="42.75">
      <c r="A23" s="442"/>
      <c r="B23" s="556" t="s">
        <v>1775</v>
      </c>
      <c r="C23" s="174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6"/>
      <c r="M23" s="2427"/>
      <c r="N23" s="2427"/>
      <c r="O23" s="2528"/>
      <c r="P23" s="3425"/>
      <c r="Q23" s="529" t="str">
        <f t="shared" si="8"/>
        <v>公共配套设施</v>
      </c>
      <c r="R23" s="660" t="s">
        <v>14</v>
      </c>
      <c r="S23" s="661">
        <f>F23</f>
        <v>100</v>
      </c>
      <c r="T23" s="660" t="s">
        <v>14</v>
      </c>
      <c r="U23" s="661">
        <f>H23</f>
        <v>100</v>
      </c>
      <c r="V23" s="660" t="s">
        <v>14</v>
      </c>
      <c r="W23" s="661">
        <f>J23</f>
        <v>100</v>
      </c>
      <c r="X23" s="662"/>
      <c r="Y23" s="3425"/>
      <c r="Z23" s="50" t="str">
        <f>Q23</f>
        <v>公共配套设施</v>
      </c>
      <c r="AA23" s="1253">
        <f>D23/F23</f>
        <v>1</v>
      </c>
      <c r="AB23" s="1253">
        <f>D23/H23</f>
        <v>1</v>
      </c>
      <c r="AC23" s="1253">
        <f>D23/J23</f>
        <v>1</v>
      </c>
    </row>
    <row r="24" spans="1:29" s="102" customFormat="1" ht="15">
      <c r="A24" s="442"/>
      <c r="B24" s="400"/>
      <c r="C24" s="1815"/>
      <c r="D24" s="386"/>
      <c r="E24" s="1747"/>
      <c r="F24" s="386"/>
      <c r="G24" s="1747"/>
      <c r="H24" s="386"/>
      <c r="I24" s="385"/>
      <c r="J24" s="386"/>
      <c r="K24" s="591"/>
      <c r="L24" s="2476"/>
      <c r="M24" s="2427"/>
      <c r="N24" s="2427"/>
      <c r="O24" s="2528"/>
      <c r="P24" s="3425"/>
      <c r="Q24" s="529"/>
      <c r="R24" s="660"/>
      <c r="S24" s="661"/>
      <c r="T24" s="660"/>
      <c r="U24" s="661"/>
      <c r="V24" s="660"/>
      <c r="W24" s="661"/>
      <c r="X24" s="662"/>
      <c r="Y24" s="3425"/>
      <c r="Z24" s="50"/>
      <c r="AA24" s="50">
        <v>1</v>
      </c>
      <c r="AB24" s="50">
        <v>1</v>
      </c>
      <c r="AC24" s="50">
        <v>1</v>
      </c>
    </row>
    <row r="25" spans="1:29" s="102" customFormat="1" ht="28.5">
      <c r="A25" s="442"/>
      <c r="B25" s="556" t="s">
        <v>1776</v>
      </c>
      <c r="C25" s="174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6"/>
      <c r="M25" s="2427"/>
      <c r="N25" s="2427"/>
      <c r="O25" s="2528"/>
      <c r="P25" s="3425"/>
      <c r="Q25" s="529" t="str">
        <f t="shared" ref="Q25" si="9">B25</f>
        <v>基础设施水平</v>
      </c>
      <c r="R25" s="660" t="s">
        <v>14</v>
      </c>
      <c r="S25" s="661">
        <f>F25</f>
        <v>100</v>
      </c>
      <c r="T25" s="660" t="s">
        <v>14</v>
      </c>
      <c r="U25" s="661">
        <f>H25</f>
        <v>100</v>
      </c>
      <c r="V25" s="660" t="s">
        <v>14</v>
      </c>
      <c r="W25" s="661">
        <f>J25</f>
        <v>100</v>
      </c>
      <c r="X25" s="662"/>
      <c r="Y25" s="3425"/>
      <c r="Z25" s="50" t="str">
        <f>Q25</f>
        <v>基础设施水平</v>
      </c>
      <c r="AA25" s="1253">
        <f>D25/F25</f>
        <v>1</v>
      </c>
      <c r="AB25" s="1253">
        <f>D25/H25</f>
        <v>1</v>
      </c>
      <c r="AC25" s="1253">
        <f>D25/J25</f>
        <v>1</v>
      </c>
    </row>
    <row r="26" spans="1:29" s="102" customFormat="1" ht="15">
      <c r="A26" s="442"/>
      <c r="B26" s="400"/>
      <c r="C26" s="1815"/>
      <c r="D26" s="386"/>
      <c r="E26" s="1816"/>
      <c r="F26" s="386"/>
      <c r="G26" s="1816"/>
      <c r="H26" s="386"/>
      <c r="I26" s="1816"/>
      <c r="J26" s="386"/>
      <c r="K26" s="591"/>
      <c r="L26" s="2476"/>
      <c r="M26" s="2427"/>
      <c r="N26" s="2427"/>
      <c r="O26" s="2528"/>
      <c r="P26" s="3425"/>
      <c r="Q26" s="529"/>
      <c r="R26" s="660"/>
      <c r="S26" s="661"/>
      <c r="T26" s="660"/>
      <c r="U26" s="661"/>
      <c r="V26" s="660"/>
      <c r="W26" s="661"/>
      <c r="X26" s="662"/>
      <c r="Y26" s="3425"/>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0"/>
      <c r="M27" s="2475"/>
      <c r="N27" s="2475"/>
      <c r="O27" s="2530"/>
      <c r="P27" s="3425"/>
      <c r="Q27" s="1252" t="str">
        <f t="shared" si="8"/>
        <v>临街状况</v>
      </c>
      <c r="R27" s="663" t="s">
        <v>14</v>
      </c>
      <c r="S27" s="664">
        <f t="shared" ref="S27:S40" si="10">F27</f>
        <v>100</v>
      </c>
      <c r="T27" s="663" t="s">
        <v>14</v>
      </c>
      <c r="U27" s="664">
        <f t="shared" ref="U27:U40" si="11">H27</f>
        <v>100</v>
      </c>
      <c r="V27" s="663" t="s">
        <v>14</v>
      </c>
      <c r="W27" s="664">
        <f t="shared" ref="W27:W40" si="12">J27</f>
        <v>100</v>
      </c>
      <c r="X27" s="1254"/>
      <c r="Y27" s="3425"/>
      <c r="Z27" s="1253" t="str">
        <f t="shared" ref="Z27:Z40" si="13">Q27</f>
        <v>临街状况</v>
      </c>
      <c r="AA27" s="1253">
        <f t="shared" si="3"/>
        <v>1</v>
      </c>
      <c r="AB27" s="1253">
        <f t="shared" si="4"/>
        <v>1</v>
      </c>
      <c r="AC27" s="1253">
        <f t="shared" si="5"/>
        <v>1</v>
      </c>
    </row>
    <row r="28" spans="1:29" ht="27">
      <c r="A28" s="366"/>
      <c r="B28" s="556" t="s">
        <v>1812</v>
      </c>
      <c r="C28" s="182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0"/>
      <c r="M28" s="2475"/>
      <c r="N28" s="2475"/>
      <c r="O28" s="2530"/>
      <c r="P28" s="3425"/>
      <c r="Q28" s="1252" t="str">
        <f t="shared" si="8"/>
        <v>毗邻道路的类型与等级</v>
      </c>
      <c r="R28" s="663" t="s">
        <v>14</v>
      </c>
      <c r="S28" s="664">
        <f t="shared" si="10"/>
        <v>100</v>
      </c>
      <c r="T28" s="663" t="s">
        <v>14</v>
      </c>
      <c r="U28" s="664">
        <f t="shared" si="11"/>
        <v>100</v>
      </c>
      <c r="V28" s="663" t="s">
        <v>14</v>
      </c>
      <c r="W28" s="664">
        <f t="shared" si="12"/>
        <v>100</v>
      </c>
      <c r="X28" s="1254"/>
      <c r="Y28" s="3425"/>
      <c r="Z28" s="1253" t="str">
        <f t="shared" si="13"/>
        <v>毗邻道路的类型与等级</v>
      </c>
      <c r="AA28" s="1253">
        <f t="shared" si="3"/>
        <v>1</v>
      </c>
      <c r="AB28" s="1253">
        <f t="shared" si="4"/>
        <v>1</v>
      </c>
      <c r="AC28" s="1253">
        <f t="shared" si="5"/>
        <v>1</v>
      </c>
    </row>
    <row r="29" spans="1:29" ht="15">
      <c r="A29" s="366"/>
      <c r="B29" s="400"/>
      <c r="C29" s="385"/>
      <c r="D29" s="386"/>
      <c r="E29" s="1747"/>
      <c r="F29" s="386"/>
      <c r="G29" s="1747"/>
      <c r="H29" s="386"/>
      <c r="I29" s="1747"/>
      <c r="J29" s="386"/>
      <c r="K29" s="538"/>
      <c r="L29" s="2480"/>
      <c r="M29" s="2475"/>
      <c r="N29" s="2475"/>
      <c r="O29" s="2530"/>
      <c r="P29" s="3425"/>
      <c r="Q29" s="1252"/>
      <c r="R29" s="663"/>
      <c r="S29" s="664"/>
      <c r="T29" s="663"/>
      <c r="U29" s="664"/>
      <c r="V29" s="663"/>
      <c r="W29" s="664"/>
      <c r="X29" s="1254"/>
      <c r="Y29" s="3425"/>
      <c r="Z29" s="1253"/>
      <c r="AA29" s="1253">
        <v>1</v>
      </c>
      <c r="AB29" s="1253">
        <v>1</v>
      </c>
      <c r="AC29" s="1253">
        <v>1</v>
      </c>
    </row>
    <row r="30" spans="1:29" ht="15">
      <c r="A30" s="366"/>
      <c r="B30" s="118" t="s">
        <v>1870</v>
      </c>
      <c r="C30" s="1059">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0"/>
      <c r="M30" s="2475"/>
      <c r="N30" s="2475"/>
      <c r="O30" s="2530"/>
      <c r="P30" s="3425"/>
      <c r="Q30" s="1252" t="str">
        <f t="shared" si="8"/>
        <v>土地级别</v>
      </c>
      <c r="R30" s="663" t="s">
        <v>14</v>
      </c>
      <c r="S30" s="664">
        <f t="shared" si="10"/>
        <v>100</v>
      </c>
      <c r="T30" s="663" t="s">
        <v>14</v>
      </c>
      <c r="U30" s="664">
        <f t="shared" si="11"/>
        <v>100</v>
      </c>
      <c r="V30" s="663" t="s">
        <v>14</v>
      </c>
      <c r="W30" s="664">
        <f t="shared" si="12"/>
        <v>100</v>
      </c>
      <c r="X30" s="1254"/>
      <c r="Y30" s="3425"/>
      <c r="Z30" s="1253" t="str">
        <f t="shared" si="13"/>
        <v>土地级别</v>
      </c>
      <c r="AA30" s="1253">
        <f t="shared" si="3"/>
        <v>1</v>
      </c>
      <c r="AB30" s="1253">
        <f t="shared" si="4"/>
        <v>1</v>
      </c>
      <c r="AC30" s="1253">
        <f t="shared" si="5"/>
        <v>1</v>
      </c>
    </row>
    <row r="31" spans="1:29" ht="15">
      <c r="A31" s="347"/>
      <c r="B31" s="1089">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0"/>
      <c r="M31" s="2475"/>
      <c r="N31" s="2475"/>
      <c r="O31" s="2530"/>
      <c r="P31" s="3425"/>
      <c r="Q31" s="1252">
        <f t="shared" si="8"/>
        <v>111</v>
      </c>
      <c r="R31" s="663" t="s">
        <v>14</v>
      </c>
      <c r="S31" s="664">
        <f t="shared" si="10"/>
        <v>100</v>
      </c>
      <c r="T31" s="663" t="s">
        <v>14</v>
      </c>
      <c r="U31" s="664">
        <f t="shared" si="11"/>
        <v>100</v>
      </c>
      <c r="V31" s="663" t="s">
        <v>14</v>
      </c>
      <c r="W31" s="664">
        <f t="shared" si="12"/>
        <v>100</v>
      </c>
      <c r="X31" s="1254"/>
      <c r="Y31" s="3425"/>
      <c r="Z31" s="1253">
        <f t="shared" si="13"/>
        <v>111</v>
      </c>
      <c r="AA31" s="1253">
        <f t="shared" si="3"/>
        <v>1</v>
      </c>
      <c r="AB31" s="1253">
        <f t="shared" si="4"/>
        <v>1</v>
      </c>
      <c r="AC31" s="1253">
        <f t="shared" si="5"/>
        <v>1</v>
      </c>
    </row>
    <row r="32" spans="1:29" ht="15">
      <c r="A32" s="594"/>
      <c r="B32" s="182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0"/>
      <c r="M32" s="2475"/>
      <c r="N32" s="2475"/>
      <c r="O32" s="2530"/>
      <c r="P32" s="3481" t="s">
        <v>1693</v>
      </c>
      <c r="Q32" s="1252">
        <f t="shared" si="8"/>
        <v>111</v>
      </c>
      <c r="R32" s="663" t="s">
        <v>14</v>
      </c>
      <c r="S32" s="664">
        <f t="shared" si="10"/>
        <v>100</v>
      </c>
      <c r="T32" s="663" t="s">
        <v>14</v>
      </c>
      <c r="U32" s="664">
        <f t="shared" si="11"/>
        <v>100</v>
      </c>
      <c r="V32" s="663" t="s">
        <v>14</v>
      </c>
      <c r="W32" s="664">
        <f t="shared" si="12"/>
        <v>100</v>
      </c>
      <c r="X32" s="1254"/>
      <c r="Y32" s="3429" t="s">
        <v>1693</v>
      </c>
      <c r="Z32" s="1253">
        <f t="shared" si="13"/>
        <v>111</v>
      </c>
      <c r="AA32" s="1253">
        <f t="shared" si="3"/>
        <v>1</v>
      </c>
      <c r="AB32" s="1253">
        <f t="shared" si="4"/>
        <v>1</v>
      </c>
      <c r="AC32" s="1253">
        <f t="shared" si="5"/>
        <v>1</v>
      </c>
    </row>
    <row r="33" spans="1:31" s="407" customFormat="1" ht="15.75" thickBot="1">
      <c r="A33" s="595"/>
      <c r="B33" s="182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79"/>
      <c r="M33" s="2481"/>
      <c r="N33" s="2481"/>
      <c r="O33" s="2531"/>
      <c r="P33" s="3429"/>
      <c r="Q33" s="1252">
        <f t="shared" si="8"/>
        <v>111</v>
      </c>
      <c r="R33" s="665" t="s">
        <v>14</v>
      </c>
      <c r="S33" s="666">
        <f t="shared" si="10"/>
        <v>100</v>
      </c>
      <c r="T33" s="665" t="s">
        <v>14</v>
      </c>
      <c r="U33" s="666">
        <f t="shared" si="11"/>
        <v>100</v>
      </c>
      <c r="V33" s="665" t="s">
        <v>14</v>
      </c>
      <c r="W33" s="666">
        <f t="shared" si="12"/>
        <v>100</v>
      </c>
      <c r="X33" s="667"/>
      <c r="Y33" s="3429"/>
      <c r="Z33" s="668">
        <f t="shared" si="13"/>
        <v>111</v>
      </c>
      <c r="AA33" s="1253">
        <f t="shared" si="3"/>
        <v>1</v>
      </c>
      <c r="AB33" s="1253">
        <f t="shared" si="4"/>
        <v>1</v>
      </c>
      <c r="AC33" s="125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0"/>
      <c r="M34" s="2475"/>
      <c r="N34" s="2475"/>
      <c r="O34" s="2530"/>
      <c r="P34" s="3429"/>
      <c r="Q34" s="1252" t="str">
        <f>B34</f>
        <v>宗地面积</v>
      </c>
      <c r="R34" s="663" t="s">
        <v>14</v>
      </c>
      <c r="S34" s="664" t="e">
        <f t="shared" si="10"/>
        <v>#N/A</v>
      </c>
      <c r="T34" s="663" t="s">
        <v>14</v>
      </c>
      <c r="U34" s="664" t="e">
        <f t="shared" si="11"/>
        <v>#N/A</v>
      </c>
      <c r="V34" s="663" t="s">
        <v>14</v>
      </c>
      <c r="W34" s="664" t="e">
        <f t="shared" si="12"/>
        <v>#N/A</v>
      </c>
      <c r="X34" s="1254"/>
      <c r="Y34" s="3429"/>
      <c r="Z34" s="1253" t="str">
        <f t="shared" si="13"/>
        <v>宗地面积</v>
      </c>
      <c r="AA34" s="1253" t="e">
        <f t="shared" si="3"/>
        <v>#N/A</v>
      </c>
      <c r="AB34" s="1253" t="e">
        <f t="shared" si="4"/>
        <v>#N/A</v>
      </c>
      <c r="AC34" s="1253" t="e">
        <f t="shared" si="5"/>
        <v>#N/A</v>
      </c>
    </row>
    <row r="35" spans="1:31" ht="15">
      <c r="A35" s="408"/>
      <c r="B35" s="363" t="s">
        <v>1872</v>
      </c>
      <c r="C35" s="1749"/>
      <c r="D35" s="373">
        <v>100</v>
      </c>
      <c r="E35" s="1749"/>
      <c r="F35" s="373">
        <f>SUMIF(110:110,E35,111:111)-SUMIF(110:110,C35,111:111)+100</f>
        <v>100</v>
      </c>
      <c r="G35" s="1749"/>
      <c r="H35" s="373">
        <f>SUMIF(110:110,G35,111:111)-SUMIF(110:110,C35,111:111)+100</f>
        <v>100</v>
      </c>
      <c r="I35" s="1749"/>
      <c r="J35" s="373">
        <f>SUMIF(110:110,I35,111:111)-SUMIF(110:110,C35,111:111)+100</f>
        <v>100</v>
      </c>
      <c r="K35" s="537"/>
      <c r="L35" s="2480"/>
      <c r="M35" s="2475"/>
      <c r="N35" s="2475"/>
      <c r="O35" s="2530"/>
      <c r="P35" s="3429"/>
      <c r="Q35" s="1252" t="str">
        <f t="shared" ref="Q35:Q40" si="14">B35</f>
        <v>宗地形状</v>
      </c>
      <c r="R35" s="663" t="s">
        <v>14</v>
      </c>
      <c r="S35" s="664">
        <f t="shared" si="10"/>
        <v>100</v>
      </c>
      <c r="T35" s="663" t="s">
        <v>14</v>
      </c>
      <c r="U35" s="664">
        <f t="shared" si="11"/>
        <v>100</v>
      </c>
      <c r="V35" s="663" t="s">
        <v>14</v>
      </c>
      <c r="W35" s="664">
        <f t="shared" si="12"/>
        <v>100</v>
      </c>
      <c r="X35" s="1254"/>
      <c r="Y35" s="3429"/>
      <c r="Z35" s="1253" t="str">
        <f t="shared" si="13"/>
        <v>宗地形状</v>
      </c>
      <c r="AA35" s="1253">
        <f t="shared" si="3"/>
        <v>1</v>
      </c>
      <c r="AB35" s="1253">
        <f t="shared" si="4"/>
        <v>1</v>
      </c>
      <c r="AC35" s="1253">
        <f t="shared" si="5"/>
        <v>1</v>
      </c>
    </row>
    <row r="36" spans="1:31" s="102" customFormat="1" ht="15">
      <c r="A36" s="409"/>
      <c r="B36" s="363" t="s">
        <v>1874</v>
      </c>
      <c r="C36" s="1817"/>
      <c r="D36" s="118">
        <v>100</v>
      </c>
      <c r="E36" s="1817"/>
      <c r="F36" s="373">
        <f>SUMIF(112:112,E36,113:113)-SUMIF(112:112,C36,113:113)+100</f>
        <v>100</v>
      </c>
      <c r="G36" s="1817"/>
      <c r="H36" s="373">
        <f>SUMIF(112:112,G36,113:113)-SUMIF(112:112,C36,113:113)+100</f>
        <v>100</v>
      </c>
      <c r="I36" s="1817"/>
      <c r="J36" s="373">
        <f>SUMIF(112:112,I36,113:113)-SUMIF(112:112,C36,113:113)+100</f>
        <v>100</v>
      </c>
      <c r="K36" s="537"/>
      <c r="L36" s="2476"/>
      <c r="M36" s="2427"/>
      <c r="N36" s="2427"/>
      <c r="O36" s="2528"/>
      <c r="P36" s="3429"/>
      <c r="Q36" s="1252" t="str">
        <f t="shared" si="14"/>
        <v>宗地开发程度</v>
      </c>
      <c r="R36" s="660" t="s">
        <v>14</v>
      </c>
      <c r="S36" s="661">
        <f t="shared" si="10"/>
        <v>100</v>
      </c>
      <c r="T36" s="660" t="s">
        <v>14</v>
      </c>
      <c r="U36" s="661">
        <f t="shared" si="11"/>
        <v>100</v>
      </c>
      <c r="V36" s="660" t="s">
        <v>14</v>
      </c>
      <c r="W36" s="661">
        <f t="shared" si="12"/>
        <v>100</v>
      </c>
      <c r="X36" s="662"/>
      <c r="Y36" s="3429"/>
      <c r="Z36" s="50" t="str">
        <f t="shared" si="13"/>
        <v>宗地开发程度</v>
      </c>
      <c r="AA36" s="50">
        <f t="shared" si="3"/>
        <v>1</v>
      </c>
      <c r="AB36" s="50">
        <f t="shared" si="4"/>
        <v>1</v>
      </c>
      <c r="AC36" s="50">
        <f t="shared" si="5"/>
        <v>1</v>
      </c>
    </row>
    <row r="37" spans="1:31" ht="15">
      <c r="A37" s="408"/>
      <c r="B37" s="363" t="s">
        <v>1875</v>
      </c>
      <c r="C37" s="1749"/>
      <c r="D37" s="373">
        <v>100</v>
      </c>
      <c r="E37" s="1749"/>
      <c r="F37" s="373">
        <f>SUMIF(114:114,E37,115:115)-SUMIF(114:114,C37,115:115)+100</f>
        <v>100</v>
      </c>
      <c r="G37" s="1749"/>
      <c r="H37" s="373">
        <f>SUMIF(114:114,G37,115:115)-SUMIF(114:114,C37,115:115)+100</f>
        <v>100</v>
      </c>
      <c r="I37" s="1749"/>
      <c r="J37" s="373">
        <f>SUMIF(114:114,I37,115:115)-SUMIF(114:114,C37,115:115)+100</f>
        <v>100</v>
      </c>
      <c r="K37" s="537"/>
      <c r="L37" s="2480"/>
      <c r="M37" s="2475"/>
      <c r="N37" s="2475"/>
      <c r="O37" s="2530"/>
      <c r="P37" s="3429" t="s">
        <v>1693</v>
      </c>
      <c r="Q37" s="1252" t="str">
        <f t="shared" si="14"/>
        <v>工程地质条件</v>
      </c>
      <c r="R37" s="663" t="s">
        <v>14</v>
      </c>
      <c r="S37" s="664">
        <f t="shared" si="10"/>
        <v>100</v>
      </c>
      <c r="T37" s="663" t="s">
        <v>14</v>
      </c>
      <c r="U37" s="664">
        <f t="shared" si="11"/>
        <v>100</v>
      </c>
      <c r="V37" s="663" t="s">
        <v>14</v>
      </c>
      <c r="W37" s="664">
        <f t="shared" si="12"/>
        <v>100</v>
      </c>
      <c r="X37" s="1254"/>
      <c r="Y37" s="3429" t="s">
        <v>1693</v>
      </c>
      <c r="Z37" s="1253" t="str">
        <f t="shared" si="13"/>
        <v>工程地质条件</v>
      </c>
      <c r="AA37" s="1253">
        <f t="shared" si="3"/>
        <v>1</v>
      </c>
      <c r="AB37" s="1253">
        <f t="shared" si="4"/>
        <v>1</v>
      </c>
      <c r="AC37" s="1253">
        <f t="shared" si="5"/>
        <v>1</v>
      </c>
    </row>
    <row r="38" spans="1:31" ht="15">
      <c r="A38" s="408"/>
      <c r="B38" s="1057">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0"/>
      <c r="M38" s="2475"/>
      <c r="N38" s="2475"/>
      <c r="O38" s="2530"/>
      <c r="P38" s="3429"/>
      <c r="Q38" s="1252">
        <f t="shared" si="14"/>
        <v>111</v>
      </c>
      <c r="R38" s="663" t="s">
        <v>14</v>
      </c>
      <c r="S38" s="664">
        <f t="shared" si="10"/>
        <v>100</v>
      </c>
      <c r="T38" s="663" t="s">
        <v>14</v>
      </c>
      <c r="U38" s="664">
        <f t="shared" si="11"/>
        <v>100</v>
      </c>
      <c r="V38" s="663" t="s">
        <v>14</v>
      </c>
      <c r="W38" s="664">
        <f t="shared" si="12"/>
        <v>100</v>
      </c>
      <c r="X38" s="1254"/>
      <c r="Y38" s="3429"/>
      <c r="Z38" s="1253">
        <f t="shared" si="13"/>
        <v>111</v>
      </c>
      <c r="AA38" s="1253">
        <f t="shared" si="3"/>
        <v>1</v>
      </c>
      <c r="AB38" s="1253">
        <f t="shared" si="4"/>
        <v>1</v>
      </c>
      <c r="AC38" s="1253">
        <f t="shared" si="5"/>
        <v>1</v>
      </c>
    </row>
    <row r="39" spans="1:31" ht="15">
      <c r="A39" s="408"/>
      <c r="B39" s="1057">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0"/>
      <c r="M39" s="2475"/>
      <c r="N39" s="2475"/>
      <c r="O39" s="2530"/>
      <c r="P39" s="3429"/>
      <c r="Q39" s="1252">
        <f t="shared" si="14"/>
        <v>111</v>
      </c>
      <c r="R39" s="663" t="s">
        <v>14</v>
      </c>
      <c r="S39" s="664">
        <f t="shared" si="10"/>
        <v>100</v>
      </c>
      <c r="T39" s="663" t="s">
        <v>14</v>
      </c>
      <c r="U39" s="664">
        <f t="shared" si="11"/>
        <v>100</v>
      </c>
      <c r="V39" s="663" t="s">
        <v>14</v>
      </c>
      <c r="W39" s="664">
        <f t="shared" si="12"/>
        <v>100</v>
      </c>
      <c r="X39" s="1254"/>
      <c r="Y39" s="3429"/>
      <c r="Z39" s="1253">
        <f t="shared" si="13"/>
        <v>111</v>
      </c>
      <c r="AA39" s="1253">
        <f t="shared" si="3"/>
        <v>1</v>
      </c>
      <c r="AB39" s="1253">
        <f t="shared" si="4"/>
        <v>1</v>
      </c>
      <c r="AC39" s="1253">
        <f t="shared" si="5"/>
        <v>1</v>
      </c>
    </row>
    <row r="40" spans="1:31" s="407" customFormat="1" ht="15.75" thickBot="1">
      <c r="A40" s="405"/>
      <c r="B40" s="1057">
        <v>111</v>
      </c>
      <c r="C40" s="1818"/>
      <c r="D40" s="119">
        <v>100</v>
      </c>
      <c r="E40" s="593"/>
      <c r="F40" s="376">
        <f>SUMIF(120:120,E40,121:121)-SUMIF(120:120,C40,121:121)+100</f>
        <v>100</v>
      </c>
      <c r="G40" s="593"/>
      <c r="H40" s="376">
        <f>SUMIF(120:120,G40,121:121)-SUMIF(120:120,C40,121:121)+100</f>
        <v>100</v>
      </c>
      <c r="I40" s="479"/>
      <c r="J40" s="376">
        <f>SUMIF(120:120,I40,121:121)-SUMIF(120:120,C40,121:121)+100</f>
        <v>100</v>
      </c>
      <c r="K40" s="600"/>
      <c r="L40" s="2479"/>
      <c r="M40" s="2481"/>
      <c r="N40" s="2481"/>
      <c r="O40" s="2531"/>
      <c r="P40" s="3429"/>
      <c r="Q40" s="1252">
        <f t="shared" si="14"/>
        <v>111</v>
      </c>
      <c r="R40" s="665" t="s">
        <v>14</v>
      </c>
      <c r="S40" s="666">
        <f t="shared" si="10"/>
        <v>100</v>
      </c>
      <c r="T40" s="665" t="s">
        <v>14</v>
      </c>
      <c r="U40" s="666">
        <f t="shared" si="11"/>
        <v>100</v>
      </c>
      <c r="V40" s="665" t="s">
        <v>14</v>
      </c>
      <c r="W40" s="666">
        <f t="shared" si="12"/>
        <v>100</v>
      </c>
      <c r="X40" s="667"/>
      <c r="Y40" s="3429"/>
      <c r="Z40" s="668">
        <f t="shared" si="13"/>
        <v>111</v>
      </c>
      <c r="AA40" s="1253">
        <f t="shared" si="3"/>
        <v>1</v>
      </c>
      <c r="AB40" s="1253">
        <f t="shared" si="4"/>
        <v>1</v>
      </c>
      <c r="AC40" s="1253">
        <f t="shared" si="5"/>
        <v>1</v>
      </c>
    </row>
    <row r="41" spans="1:31" ht="15">
      <c r="A41" s="415" t="s">
        <v>1841</v>
      </c>
      <c r="B41" s="1819" t="s">
        <v>1919</v>
      </c>
      <c r="C41" s="601" t="s">
        <v>0</v>
      </c>
      <c r="D41" s="417"/>
      <c r="E41" s="418"/>
      <c r="F41" s="419"/>
      <c r="G41" s="420"/>
      <c r="H41" s="421"/>
      <c r="I41" s="418"/>
      <c r="J41" s="421"/>
      <c r="K41" s="670"/>
      <c r="L41" s="2482"/>
      <c r="M41" s="2475"/>
      <c r="N41" s="2475"/>
      <c r="O41" s="2475"/>
      <c r="P41" s="3431" t="str">
        <f>A41</f>
        <v>成交单价</v>
      </c>
      <c r="Q41" s="3431"/>
      <c r="R41" s="3419">
        <f>E41</f>
        <v>0</v>
      </c>
      <c r="S41" s="3419"/>
      <c r="T41" s="3419">
        <f>G41</f>
        <v>0</v>
      </c>
      <c r="U41" s="3419"/>
      <c r="V41" s="3419">
        <f>I41</f>
        <v>0</v>
      </c>
      <c r="W41" s="3419"/>
      <c r="X41" s="384"/>
      <c r="Y41" s="669"/>
      <c r="Z41" s="384"/>
      <c r="AA41" s="384"/>
      <c r="AB41" s="384"/>
      <c r="AC41" s="384"/>
    </row>
    <row r="42" spans="1:31" ht="15.75" thickBot="1">
      <c r="A42" s="422" t="s">
        <v>1790</v>
      </c>
      <c r="B42" s="602"/>
      <c r="C42" s="425" t="e">
        <f>R43</f>
        <v>#DIV/0!</v>
      </c>
      <c r="D42" s="2130" t="s">
        <v>2130</v>
      </c>
      <c r="E42" s="425" t="e">
        <f>R42</f>
        <v>#DIV/0!</v>
      </c>
      <c r="F42" s="2131"/>
      <c r="G42" s="424" t="e">
        <f>T42</f>
        <v>#DIV/0!</v>
      </c>
      <c r="H42" s="2131"/>
      <c r="I42" s="425" t="e">
        <f>V42</f>
        <v>#DIV/0!</v>
      </c>
      <c r="J42" s="2131"/>
      <c r="K42" s="2133">
        <f>F42+H42+J42</f>
        <v>0</v>
      </c>
      <c r="L42" s="2482"/>
      <c r="M42" s="2475"/>
      <c r="N42" s="2475"/>
      <c r="O42" s="2475"/>
      <c r="P42" s="3431" t="str">
        <f>A42</f>
        <v>比较价值（元/平方米）</v>
      </c>
      <c r="Q42" s="3431"/>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75" thickBot="1">
      <c r="A43" s="426" t="s">
        <v>1791</v>
      </c>
      <c r="B43" s="427"/>
      <c r="C43" s="428" t="e">
        <f>R43</f>
        <v>#DIV/0!</v>
      </c>
      <c r="D43" s="428"/>
      <c r="E43" s="428"/>
      <c r="F43" s="428"/>
      <c r="G43" s="428"/>
      <c r="H43" s="428"/>
      <c r="I43" s="428"/>
      <c r="J43" s="428"/>
      <c r="K43" s="671"/>
      <c r="L43" s="2482"/>
      <c r="M43" s="2475"/>
      <c r="N43" s="2475"/>
      <c r="O43" s="2475"/>
      <c r="P43" s="3472" t="str">
        <f>A43</f>
        <v>估价对象XX用房的比较价值（楼面单价，元/平方米）</v>
      </c>
      <c r="Q43" s="3473"/>
      <c r="R43" s="3484" t="e">
        <f>ROUND(IF(D42="简单平均",AVERAGE(R42:W42),R42*F42+T42*H42+V42*J42),0)</f>
        <v>#DIV/0!</v>
      </c>
      <c r="S43" s="3484"/>
      <c r="T43" s="3484"/>
      <c r="U43" s="3484"/>
      <c r="V43" s="3484"/>
      <c r="W43" s="3484"/>
      <c r="X43" s="384"/>
      <c r="Y43" s="384"/>
      <c r="Z43" s="384"/>
      <c r="AA43" s="384"/>
      <c r="AB43" s="384"/>
      <c r="AC43" s="384"/>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6" customFormat="1" ht="15" thickBot="1">
      <c r="A49" s="2485"/>
      <c r="B49" s="2488"/>
      <c r="C49" s="653"/>
      <c r="D49" s="651"/>
      <c r="E49" s="651"/>
      <c r="F49" s="651"/>
      <c r="G49" s="651"/>
      <c r="H49" s="651"/>
      <c r="I49" s="651"/>
      <c r="J49" s="651"/>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3" t="s">
        <v>1878</v>
      </c>
      <c r="B50" s="604" t="s">
        <v>1879</v>
      </c>
      <c r="C50" s="1820" t="s">
        <v>1880</v>
      </c>
      <c r="D50" s="1821" t="s">
        <v>1881</v>
      </c>
      <c r="E50" s="605" t="s">
        <v>1882</v>
      </c>
      <c r="F50" s="606" t="s">
        <v>1883</v>
      </c>
      <c r="G50" s="3406" t="s">
        <v>1884</v>
      </c>
      <c r="H50" s="3485"/>
      <c r="I50" s="1253" t="s">
        <v>1920</v>
      </c>
      <c r="J50" s="1253">
        <f>项目基本情况!F35</f>
        <v>0</v>
      </c>
      <c r="K50" s="1823" t="s">
        <v>1886</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1" customFormat="1">
      <c r="A51" s="607" t="s">
        <v>1887</v>
      </c>
      <c r="B51" s="608" t="e">
        <f>C43</f>
        <v>#DIV/0!</v>
      </c>
      <c r="C51" s="609">
        <v>1</v>
      </c>
      <c r="D51" s="883">
        <v>1</v>
      </c>
      <c r="E51" s="609">
        <f>'数据-汇总表'!E8+'数据-汇总表'!E9</f>
        <v>51111.68000000059</v>
      </c>
      <c r="F51" s="610" t="e">
        <f t="shared" ref="F51:F60" si="15">ROUND(B51*E51/10000,0)</f>
        <v>#DIV/0!</v>
      </c>
      <c r="G51" s="3402"/>
      <c r="H51" s="3431"/>
      <c r="I51" s="721">
        <v>1</v>
      </c>
      <c r="J51" s="721">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1" customFormat="1">
      <c r="A52" s="612" t="s">
        <v>1888</v>
      </c>
      <c r="B52" s="209" t="e">
        <f>ROUND($C$43*C52*D52,0)</f>
        <v>#DIV/0!</v>
      </c>
      <c r="C52" s="162">
        <f t="shared" ref="C52:C60" si="16">IF($C$50="北京市系数",I52,J52)</f>
        <v>0</v>
      </c>
      <c r="D52" s="884">
        <v>0.25</v>
      </c>
      <c r="E52" s="613"/>
      <c r="F52" s="610" t="e">
        <f t="shared" si="15"/>
        <v>#DIV/0!</v>
      </c>
      <c r="G52" s="2738" t="s">
        <v>1889</v>
      </c>
      <c r="H52" s="828">
        <f>项目基本情况!B37</f>
        <v>0</v>
      </c>
      <c r="I52" s="721">
        <f>SUMIF(修正!A57:A68,H52,修正!B57:B68)</f>
        <v>0</v>
      </c>
      <c r="J52" s="722"/>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1" customFormat="1">
      <c r="A53" s="612" t="s">
        <v>1890</v>
      </c>
      <c r="B53" s="209" t="e">
        <f t="shared" ref="B53:B60" si="17">ROUND($C$43*C53*D53,0)</f>
        <v>#DIV/0!</v>
      </c>
      <c r="C53" s="162">
        <f t="shared" si="16"/>
        <v>0</v>
      </c>
      <c r="D53" s="884">
        <v>0.25</v>
      </c>
      <c r="E53" s="613"/>
      <c r="F53" s="610" t="e">
        <f t="shared" si="15"/>
        <v>#DIV/0!</v>
      </c>
      <c r="G53" s="2739"/>
      <c r="H53" s="828">
        <f>项目基本情况!B37</f>
        <v>0</v>
      </c>
      <c r="I53" s="721">
        <f>SUMIF(修正!A57:A68,H53,修正!C57:C68)</f>
        <v>0</v>
      </c>
      <c r="J53" s="722"/>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1" customFormat="1">
      <c r="A54" s="612" t="s">
        <v>1891</v>
      </c>
      <c r="B54" s="209" t="e">
        <f t="shared" si="17"/>
        <v>#DIV/0!</v>
      </c>
      <c r="C54" s="162">
        <f t="shared" si="16"/>
        <v>0</v>
      </c>
      <c r="D54" s="884">
        <v>0.25</v>
      </c>
      <c r="E54" s="613"/>
      <c r="F54" s="610" t="e">
        <f t="shared" si="15"/>
        <v>#DIV/0!</v>
      </c>
      <c r="G54" s="2739"/>
      <c r="H54" s="828">
        <f>项目基本情况!B37</f>
        <v>0</v>
      </c>
      <c r="I54" s="721">
        <f>SUMIF(修正!A57:A68,H54,修正!D57:D68)</f>
        <v>0</v>
      </c>
      <c r="J54" s="722"/>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1" customFormat="1" hidden="1">
      <c r="A55" s="612"/>
      <c r="B55" s="209"/>
      <c r="C55" s="162"/>
      <c r="D55" s="884"/>
      <c r="E55" s="613"/>
      <c r="F55" s="610"/>
      <c r="G55" s="2740"/>
      <c r="H55" s="828"/>
      <c r="I55" s="721"/>
      <c r="J55" s="722"/>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1" customFormat="1">
      <c r="A56" s="612" t="s">
        <v>1892</v>
      </c>
      <c r="B56" s="209" t="e">
        <f t="shared" si="17"/>
        <v>#DIV/0!</v>
      </c>
      <c r="C56" s="162">
        <f t="shared" si="16"/>
        <v>0</v>
      </c>
      <c r="D56" s="884">
        <v>0.25</v>
      </c>
      <c r="E56" s="208">
        <f>'数据-汇总表'!E11</f>
        <v>0</v>
      </c>
      <c r="F56" s="610" t="e">
        <f t="shared" si="15"/>
        <v>#DIV/0!</v>
      </c>
      <c r="G56" s="1824" t="s">
        <v>1893</v>
      </c>
      <c r="H56" s="828">
        <f>项目基本情况!C37</f>
        <v>0</v>
      </c>
      <c r="I56" s="721">
        <f>SUMIF(修正!A57:A68,H56,修正!E57:E68)</f>
        <v>0</v>
      </c>
      <c r="J56" s="722"/>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1" customFormat="1">
      <c r="A57" s="612" t="s">
        <v>1894</v>
      </c>
      <c r="B57" s="209" t="e">
        <f t="shared" si="17"/>
        <v>#DIV/0!</v>
      </c>
      <c r="C57" s="162">
        <f t="shared" si="16"/>
        <v>0</v>
      </c>
      <c r="D57" s="884">
        <v>0.25</v>
      </c>
      <c r="E57" s="208">
        <f>'数据-汇总表'!E12</f>
        <v>0</v>
      </c>
      <c r="F57" s="610" t="e">
        <f t="shared" si="15"/>
        <v>#DIV/0!</v>
      </c>
      <c r="G57" s="833" t="s">
        <v>1895</v>
      </c>
      <c r="H57" s="828">
        <f>IF(G57="商业",项目基本情况!B37,IF(G57="办公",项目基本情况!C37,IF(G57="住宅",项目基本情况!D37,项目基本情况!E37)))</f>
        <v>0</v>
      </c>
      <c r="I57" s="721">
        <f>SUMIF(修正!A57:A68,H57,修正!F57:F68)</f>
        <v>0</v>
      </c>
      <c r="J57" s="722"/>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1" customFormat="1">
      <c r="A58" s="612" t="s">
        <v>1896</v>
      </c>
      <c r="B58" s="209" t="e">
        <f t="shared" si="17"/>
        <v>#DIV/0!</v>
      </c>
      <c r="C58" s="162">
        <f t="shared" si="16"/>
        <v>0</v>
      </c>
      <c r="D58" s="884">
        <v>0.25</v>
      </c>
      <c r="E58" s="208">
        <f>'数据-汇总表'!E13</f>
        <v>0</v>
      </c>
      <c r="F58" s="610" t="e">
        <f t="shared" si="15"/>
        <v>#DIV/0!</v>
      </c>
      <c r="G58" s="833" t="s">
        <v>1897</v>
      </c>
      <c r="H58" s="828">
        <f>IF(G58="商业",项目基本情况!B37,IF(G58="办公",项目基本情况!C37,IF(G58="住宅",项目基本情况!D37,项目基本情况!E37)))</f>
        <v>0</v>
      </c>
      <c r="I58" s="721">
        <f>SUMIF(修正!A57:A68,H58,修正!G57:G68)</f>
        <v>0</v>
      </c>
      <c r="J58" s="722"/>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1" customFormat="1">
      <c r="A59" s="612" t="s">
        <v>1898</v>
      </c>
      <c r="B59" s="209" t="e">
        <f t="shared" si="17"/>
        <v>#DIV/0!</v>
      </c>
      <c r="C59" s="162">
        <f t="shared" si="16"/>
        <v>0</v>
      </c>
      <c r="D59" s="884">
        <v>0.25</v>
      </c>
      <c r="E59" s="208">
        <f>'数据-汇总表'!E14</f>
        <v>0</v>
      </c>
      <c r="F59" s="610" t="e">
        <f t="shared" si="15"/>
        <v>#DIV/0!</v>
      </c>
      <c r="G59" s="1824" t="s">
        <v>1889</v>
      </c>
      <c r="H59" s="828">
        <f>项目基本情况!B37</f>
        <v>0</v>
      </c>
      <c r="I59" s="721">
        <f>SUMIF(修正!A57:A68,H59,修正!G57:G68)</f>
        <v>0</v>
      </c>
      <c r="J59" s="722"/>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1" customFormat="1" ht="15" thickBot="1">
      <c r="A60" s="612" t="s">
        <v>1899</v>
      </c>
      <c r="B60" s="209" t="e">
        <f t="shared" si="17"/>
        <v>#DIV/0!</v>
      </c>
      <c r="C60" s="162">
        <f t="shared" si="16"/>
        <v>0</v>
      </c>
      <c r="D60" s="884">
        <v>0.25</v>
      </c>
      <c r="E60" s="208">
        <f>'数据-汇总表'!E15</f>
        <v>0</v>
      </c>
      <c r="F60" s="610" t="e">
        <f t="shared" si="15"/>
        <v>#DIV/0!</v>
      </c>
      <c r="G60" s="1825" t="s">
        <v>1893</v>
      </c>
      <c r="H60" s="838">
        <f>项目基本情况!C37</f>
        <v>0</v>
      </c>
      <c r="I60" s="721">
        <f>SUMIF(修正!A57:A68,H60,修正!G57:G68)</f>
        <v>0</v>
      </c>
      <c r="J60" s="722"/>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78"/>
      <c r="H61" s="878"/>
      <c r="I61" s="878"/>
      <c r="J61" s="878"/>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54"/>
      <c r="B62" s="868"/>
      <c r="C62" s="870"/>
      <c r="D62" s="854"/>
      <c r="E62" s="854"/>
      <c r="F62" s="854"/>
      <c r="G62" s="854"/>
      <c r="H62" s="854"/>
      <c r="I62" s="854"/>
      <c r="J62" s="854"/>
      <c r="K62" s="829"/>
      <c r="L62" s="830"/>
      <c r="M62" s="854"/>
      <c r="N62" s="854"/>
      <c r="O62" s="854"/>
      <c r="P62" s="2475"/>
      <c r="Q62" s="2475"/>
      <c r="R62" s="2475"/>
      <c r="S62" s="2475"/>
      <c r="T62" s="2475"/>
      <c r="U62" s="2475"/>
      <c r="V62" s="2475"/>
      <c r="W62" s="2475"/>
      <c r="X62" s="2475"/>
      <c r="Y62" s="2475"/>
      <c r="Z62" s="2475"/>
      <c r="AA62" s="2475"/>
      <c r="AB62" s="2475"/>
      <c r="AC62" s="2475"/>
      <c r="AD62" s="2475"/>
      <c r="AE62" s="2475"/>
    </row>
    <row r="63" spans="1:31">
      <c r="A63" s="854"/>
      <c r="B63" s="868"/>
      <c r="C63" s="652" t="str">
        <f>YEAR(C7)&amp;"-"&amp;MONTH(C7)&amp;"-1"</f>
        <v>2024-10-1</v>
      </c>
      <c r="D63" s="652">
        <f>EDATE(C63,-3)</f>
        <v>45474</v>
      </c>
      <c r="E63" s="652">
        <f>EDATE(D63,-3)</f>
        <v>45383</v>
      </c>
      <c r="F63" s="652">
        <f t="shared" ref="F63:O63" si="18">EDATE(E63,-3)</f>
        <v>45292</v>
      </c>
      <c r="G63" s="652">
        <f t="shared" si="18"/>
        <v>45200</v>
      </c>
      <c r="H63" s="652">
        <f t="shared" si="18"/>
        <v>45108</v>
      </c>
      <c r="I63" s="652">
        <f t="shared" si="18"/>
        <v>45017</v>
      </c>
      <c r="J63" s="652">
        <f t="shared" si="18"/>
        <v>44927</v>
      </c>
      <c r="K63" s="652">
        <f t="shared" si="18"/>
        <v>44835</v>
      </c>
      <c r="L63" s="652">
        <f t="shared" si="18"/>
        <v>44743</v>
      </c>
      <c r="M63" s="652">
        <f t="shared" si="18"/>
        <v>44652</v>
      </c>
      <c r="N63" s="652">
        <f t="shared" si="18"/>
        <v>44562</v>
      </c>
      <c r="O63" s="652">
        <f t="shared" si="18"/>
        <v>44470</v>
      </c>
      <c r="P63" s="2475"/>
      <c r="Q63" s="2475"/>
      <c r="R63" s="2475"/>
      <c r="S63" s="2475"/>
      <c r="T63" s="2475"/>
      <c r="U63" s="2475"/>
      <c r="V63" s="2475"/>
      <c r="W63" s="2475"/>
      <c r="X63" s="2475"/>
      <c r="Y63" s="2475"/>
      <c r="Z63" s="2475"/>
      <c r="AA63" s="2475"/>
      <c r="AB63" s="2475"/>
      <c r="AC63" s="2475"/>
      <c r="AD63" s="2475"/>
      <c r="AE63" s="2475"/>
    </row>
    <row r="64" spans="1:31" ht="21.75" thickBot="1">
      <c r="A64" s="654" t="s">
        <v>1795</v>
      </c>
      <c r="B64" s="384"/>
      <c r="C64" s="655"/>
      <c r="D64" s="655"/>
      <c r="E64" s="655"/>
      <c r="F64" s="656"/>
      <c r="G64" s="656"/>
      <c r="H64" s="655"/>
      <c r="I64" s="655"/>
      <c r="J64" s="655"/>
      <c r="K64" s="657"/>
      <c r="L64" s="658"/>
      <c r="M64" s="655"/>
      <c r="N64" s="655"/>
      <c r="O64" s="879"/>
      <c r="P64" s="2525"/>
      <c r="Q64" s="2496"/>
      <c r="R64" s="2475"/>
      <c r="S64" s="2475"/>
      <c r="T64" s="2475"/>
      <c r="U64" s="2475"/>
      <c r="V64" s="2475"/>
      <c r="W64" s="2475"/>
      <c r="X64" s="2475"/>
      <c r="Y64" s="2475"/>
      <c r="Z64" s="2475"/>
      <c r="AA64" s="2475"/>
      <c r="AB64" s="2475"/>
      <c r="AC64" s="2475"/>
      <c r="AD64" s="2475"/>
      <c r="AE64" s="2475"/>
    </row>
    <row r="65" spans="1:31" s="441" customFormat="1" ht="15">
      <c r="A65" s="1619" t="s">
        <v>1901</v>
      </c>
      <c r="B65" s="1036"/>
      <c r="C65" s="1091" t="str">
        <f>YEAR(C63)&amp;"-"&amp;ROUNDUP(MONTH(C63)/3,0)</f>
        <v>2024-4</v>
      </c>
      <c r="D65" s="1091" t="str">
        <f t="shared" ref="D65:O65" si="19">YEAR(D63)&amp;"-"&amp;ROUNDUP(MONTH(D63)/3,0)</f>
        <v>2024-3</v>
      </c>
      <c r="E65" s="1091" t="str">
        <f t="shared" si="19"/>
        <v>2024-2</v>
      </c>
      <c r="F65" s="1091" t="str">
        <f t="shared" si="19"/>
        <v>2024-1</v>
      </c>
      <c r="G65" s="1091" t="str">
        <f t="shared" si="19"/>
        <v>2023-4</v>
      </c>
      <c r="H65" s="1091" t="str">
        <f t="shared" si="19"/>
        <v>2023-3</v>
      </c>
      <c r="I65" s="1091" t="str">
        <f t="shared" si="19"/>
        <v>2023-2</v>
      </c>
      <c r="J65" s="1091" t="str">
        <f t="shared" si="19"/>
        <v>2023-1</v>
      </c>
      <c r="K65" s="1091" t="str">
        <f t="shared" si="19"/>
        <v>2022-4</v>
      </c>
      <c r="L65" s="1091" t="str">
        <f t="shared" si="19"/>
        <v>2022-3</v>
      </c>
      <c r="M65" s="1091" t="str">
        <f t="shared" si="19"/>
        <v>2022-2</v>
      </c>
      <c r="N65" s="1091" t="str">
        <f t="shared" si="19"/>
        <v>2022-1</v>
      </c>
      <c r="O65" s="1091" t="str">
        <f t="shared" si="19"/>
        <v>2021-4</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0" t="s">
        <v>1921</v>
      </c>
      <c r="B66" s="279" t="str">
        <f>"北京市平均增长率"&amp;TEXT(基准地价修正!P28,"0.00%")</f>
        <v>北京市平均增长率0.00%</v>
      </c>
      <c r="C66" s="529">
        <v>100</v>
      </c>
      <c r="D66" s="6"/>
      <c r="E66" s="6"/>
      <c r="F66" s="6"/>
      <c r="G66" s="6"/>
      <c r="H66" s="6"/>
      <c r="I66" s="6"/>
      <c r="J66" s="6"/>
      <c r="K66" s="6"/>
      <c r="L66" s="6"/>
      <c r="M66" s="1056"/>
      <c r="N66" s="1056"/>
      <c r="O66" s="1089"/>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8" t="s">
        <v>1713</v>
      </c>
      <c r="B67" s="449"/>
      <c r="C67" s="450"/>
      <c r="D67" s="451"/>
      <c r="E67" s="451"/>
      <c r="F67" s="451"/>
      <c r="G67" s="451"/>
      <c r="H67" s="451"/>
      <c r="I67" s="451"/>
      <c r="J67" s="451"/>
      <c r="K67" s="451"/>
      <c r="L67" s="451"/>
      <c r="M67" s="452"/>
      <c r="N67" s="452"/>
      <c r="O67" s="453"/>
      <c r="P67" s="2496"/>
      <c r="Q67" s="2496"/>
      <c r="R67" s="2427"/>
      <c r="S67" s="2427"/>
      <c r="T67" s="2427"/>
      <c r="U67" s="2427"/>
      <c r="V67" s="2427"/>
      <c r="W67" s="2427"/>
      <c r="X67" s="2427"/>
      <c r="Y67" s="2427"/>
      <c r="Z67" s="2427"/>
      <c r="AA67" s="2427"/>
      <c r="AB67" s="2427"/>
      <c r="AC67" s="2427"/>
      <c r="AD67" s="2427"/>
      <c r="AE67" s="2427"/>
    </row>
    <row r="68" spans="1:31" s="102" customFormat="1" ht="15">
      <c r="A68" s="454" t="s">
        <v>1678</v>
      </c>
      <c r="B68" s="443"/>
      <c r="C68" s="455" t="s">
        <v>1773</v>
      </c>
      <c r="D68" s="31"/>
      <c r="E68" s="31"/>
      <c r="F68" s="31"/>
      <c r="G68" s="31"/>
      <c r="H68" s="31"/>
      <c r="I68" s="31"/>
      <c r="J68" s="31"/>
      <c r="K68" s="31"/>
      <c r="L68" s="456"/>
      <c r="M68" s="457"/>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4"/>
      <c r="B69" s="443"/>
      <c r="C69" s="562">
        <v>100</v>
      </c>
      <c r="D69" s="445"/>
      <c r="E69" s="445"/>
      <c r="F69" s="445"/>
      <c r="G69" s="445"/>
      <c r="H69" s="445"/>
      <c r="I69" s="445"/>
      <c r="J69" s="445"/>
      <c r="K69" s="445"/>
      <c r="L69" s="445"/>
      <c r="M69" s="447"/>
      <c r="N69" s="2508"/>
      <c r="O69" s="2508"/>
      <c r="P69" s="2496"/>
      <c r="Q69" s="2496"/>
      <c r="R69" s="2427"/>
      <c r="S69" s="2427"/>
      <c r="T69" s="2427"/>
      <c r="U69" s="2427"/>
      <c r="V69" s="2427"/>
      <c r="W69" s="2427"/>
      <c r="X69" s="2427"/>
      <c r="Y69" s="2427"/>
      <c r="Z69" s="2427"/>
      <c r="AA69" s="2427"/>
      <c r="AB69" s="2427"/>
      <c r="AC69" s="2427"/>
      <c r="AD69" s="2427"/>
      <c r="AE69" s="2427"/>
    </row>
    <row r="70" spans="1:31">
      <c r="A70" s="378" t="s">
        <v>1716</v>
      </c>
      <c r="B70" s="459" t="s">
        <v>1682</v>
      </c>
      <c r="C70" s="461"/>
      <c r="D70" s="461"/>
      <c r="E70" s="461"/>
      <c r="F70" s="461"/>
      <c r="G70" s="461"/>
      <c r="H70" s="461"/>
      <c r="I70" s="461"/>
      <c r="J70" s="461"/>
      <c r="K70" s="462"/>
      <c r="L70" s="463"/>
      <c r="M70" s="464"/>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6"/>
      <c r="B71" s="465"/>
      <c r="C71" s="466"/>
      <c r="D71" s="466"/>
      <c r="E71" s="466"/>
      <c r="F71" s="466"/>
      <c r="G71" s="466"/>
      <c r="H71" s="466"/>
      <c r="I71" s="466"/>
      <c r="J71" s="466"/>
      <c r="K71" s="466"/>
      <c r="L71" s="466"/>
      <c r="M71" s="467"/>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6"/>
      <c r="B72" s="468" t="s">
        <v>1685</v>
      </c>
      <c r="C72" s="469"/>
      <c r="D72" s="469"/>
      <c r="E72" s="469"/>
      <c r="F72" s="469"/>
      <c r="G72" s="469"/>
      <c r="H72" s="469"/>
      <c r="I72" s="469"/>
      <c r="J72" s="469"/>
      <c r="K72" s="470"/>
      <c r="L72" s="471"/>
      <c r="M72" s="472"/>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6"/>
      <c r="B73" s="473"/>
      <c r="C73" s="474"/>
      <c r="D73" s="474"/>
      <c r="E73" s="474"/>
      <c r="F73" s="474"/>
      <c r="G73" s="474"/>
      <c r="H73" s="474"/>
      <c r="I73" s="474"/>
      <c r="J73" s="474"/>
      <c r="K73" s="474"/>
      <c r="L73" s="474"/>
      <c r="M73" s="475"/>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6"/>
      <c r="B75" s="478"/>
      <c r="C75" s="479"/>
      <c r="D75" s="479"/>
      <c r="E75" s="479"/>
      <c r="F75" s="479"/>
      <c r="G75" s="479"/>
      <c r="H75" s="479"/>
      <c r="I75" s="479"/>
      <c r="J75" s="479"/>
      <c r="K75" s="480"/>
      <c r="L75" s="481"/>
      <c r="M75" s="482"/>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7" customFormat="1" ht="15.75" thickTop="1">
      <c r="A77" s="483"/>
      <c r="B77" s="468">
        <f>B12</f>
        <v>111</v>
      </c>
      <c r="C77" s="484"/>
      <c r="D77" s="484"/>
      <c r="E77" s="484"/>
      <c r="F77" s="484"/>
      <c r="G77" s="484"/>
      <c r="H77" s="485"/>
      <c r="I77" s="485"/>
      <c r="J77" s="485"/>
      <c r="K77" s="485"/>
      <c r="L77" s="486"/>
      <c r="M77" s="487"/>
      <c r="N77" s="2511"/>
      <c r="O77" s="2511"/>
      <c r="P77" s="2511"/>
      <c r="Q77" s="2503"/>
      <c r="R77" s="2481"/>
      <c r="S77" s="2481"/>
      <c r="T77" s="2481"/>
      <c r="U77" s="2481"/>
      <c r="V77" s="2481"/>
      <c r="W77" s="2481"/>
      <c r="X77" s="2481"/>
      <c r="Y77" s="2481"/>
      <c r="Z77" s="2481"/>
      <c r="AA77" s="2481"/>
      <c r="AB77" s="2481"/>
      <c r="AC77" s="2481"/>
      <c r="AD77" s="2481"/>
      <c r="AE77" s="2481"/>
    </row>
    <row r="78" spans="1:31" s="407" customFormat="1" ht="15.75" thickBot="1">
      <c r="A78" s="483"/>
      <c r="B78" s="473"/>
      <c r="C78" s="490"/>
      <c r="D78" s="466"/>
      <c r="E78" s="466"/>
      <c r="F78" s="466"/>
      <c r="G78" s="466"/>
      <c r="H78" s="466"/>
      <c r="I78" s="466"/>
      <c r="J78" s="466"/>
      <c r="K78" s="466"/>
      <c r="L78" s="466"/>
      <c r="M78" s="467"/>
      <c r="N78" s="2510"/>
      <c r="O78" s="2510"/>
      <c r="P78" s="2511"/>
      <c r="Q78" s="2503"/>
      <c r="R78" s="2481"/>
      <c r="S78" s="2481"/>
      <c r="T78" s="2481"/>
      <c r="U78" s="2481"/>
      <c r="V78" s="2481"/>
      <c r="W78" s="2481"/>
      <c r="X78" s="2481"/>
      <c r="Y78" s="2481"/>
      <c r="Z78" s="2481"/>
      <c r="AA78" s="2481"/>
      <c r="AB78" s="2481"/>
      <c r="AC78" s="2481"/>
      <c r="AD78" s="2481"/>
      <c r="AE78" s="2481"/>
    </row>
    <row r="79" spans="1:31" s="407" customFormat="1" ht="15.75" thickTop="1">
      <c r="A79" s="483"/>
      <c r="B79" s="468">
        <f>B13</f>
        <v>111</v>
      </c>
      <c r="C79" s="484"/>
      <c r="D79" s="484"/>
      <c r="E79" s="484"/>
      <c r="F79" s="484"/>
      <c r="G79" s="484"/>
      <c r="H79" s="485"/>
      <c r="I79" s="485"/>
      <c r="J79" s="485"/>
      <c r="K79" s="485"/>
      <c r="L79" s="486"/>
      <c r="M79" s="487"/>
      <c r="N79" s="2511"/>
      <c r="O79" s="2511"/>
      <c r="P79" s="2481"/>
      <c r="Q79" s="2505"/>
      <c r="R79" s="2481"/>
      <c r="S79" s="2481"/>
      <c r="T79" s="2481"/>
      <c r="U79" s="2481"/>
      <c r="V79" s="2481"/>
      <c r="W79" s="2481"/>
      <c r="X79" s="2481"/>
      <c r="Y79" s="2481"/>
      <c r="Z79" s="2481"/>
      <c r="AA79" s="2481"/>
      <c r="AB79" s="2481"/>
      <c r="AC79" s="2481"/>
      <c r="AD79" s="2481"/>
      <c r="AE79" s="2481"/>
    </row>
    <row r="80" spans="1:31" s="407" customFormat="1" ht="15.75" thickBot="1">
      <c r="A80" s="483"/>
      <c r="B80" s="473"/>
      <c r="C80" s="490"/>
      <c r="D80" s="490"/>
      <c r="E80" s="490"/>
      <c r="F80" s="490"/>
      <c r="G80" s="490"/>
      <c r="H80" s="492"/>
      <c r="I80" s="492"/>
      <c r="J80" s="492"/>
      <c r="K80" s="492"/>
      <c r="L80" s="492"/>
      <c r="M80" s="493"/>
      <c r="N80" s="2511"/>
      <c r="O80" s="2511"/>
      <c r="P80" s="2511"/>
      <c r="Q80" s="2503"/>
      <c r="R80" s="2481"/>
      <c r="S80" s="2481"/>
      <c r="T80" s="2481"/>
      <c r="U80" s="2481"/>
      <c r="V80" s="2481"/>
      <c r="W80" s="2481"/>
      <c r="X80" s="2481"/>
      <c r="Y80" s="2481"/>
      <c r="Z80" s="2481"/>
      <c r="AA80" s="2481"/>
      <c r="AB80" s="2481"/>
      <c r="AC80" s="2481"/>
      <c r="AD80" s="2481"/>
      <c r="AE80" s="2481"/>
    </row>
    <row r="81" spans="1:31" s="407" customFormat="1" ht="15.75" thickTop="1">
      <c r="A81" s="483"/>
      <c r="B81" s="476">
        <f>B14</f>
        <v>111</v>
      </c>
      <c r="C81" s="31"/>
      <c r="D81" s="31"/>
      <c r="E81" s="31"/>
      <c r="F81" s="31"/>
      <c r="G81" s="31"/>
      <c r="H81" s="494"/>
      <c r="I81" s="494"/>
      <c r="J81" s="494"/>
      <c r="K81" s="494"/>
      <c r="L81" s="495"/>
      <c r="M81" s="496"/>
      <c r="N81" s="2511"/>
      <c r="O81" s="2511"/>
      <c r="P81" s="2536"/>
      <c r="Q81" s="2503"/>
      <c r="R81" s="2481"/>
      <c r="S81" s="2481"/>
      <c r="T81" s="2481"/>
      <c r="U81" s="2481"/>
      <c r="V81" s="2481"/>
      <c r="W81" s="2481"/>
      <c r="X81" s="2481"/>
      <c r="Y81" s="2481"/>
      <c r="Z81" s="2481"/>
      <c r="AA81" s="2481"/>
      <c r="AB81" s="2481"/>
      <c r="AC81" s="2481"/>
      <c r="AD81" s="2481"/>
      <c r="AE81" s="2481"/>
    </row>
    <row r="82" spans="1:31" s="407" customFormat="1" ht="15.75" thickBot="1">
      <c r="A82" s="498"/>
      <c r="B82" s="499"/>
      <c r="C82" s="500"/>
      <c r="D82" s="500"/>
      <c r="E82" s="500"/>
      <c r="F82" s="500"/>
      <c r="G82" s="500"/>
      <c r="H82" s="501"/>
      <c r="I82" s="501"/>
      <c r="J82" s="501"/>
      <c r="K82" s="501"/>
      <c r="L82" s="501"/>
      <c r="M82" s="502"/>
      <c r="N82" s="2511"/>
      <c r="O82" s="2511"/>
      <c r="P82" s="2511"/>
      <c r="Q82" s="2503"/>
      <c r="R82" s="2481"/>
      <c r="S82" s="2481"/>
      <c r="T82" s="2481"/>
      <c r="U82" s="2481"/>
      <c r="V82" s="2481"/>
      <c r="W82" s="2481"/>
      <c r="X82" s="2481"/>
      <c r="Y82" s="2481"/>
      <c r="Z82" s="2481"/>
      <c r="AA82" s="2481"/>
      <c r="AB82" s="2481"/>
      <c r="AC82" s="2481"/>
      <c r="AD82" s="2481"/>
      <c r="AE82" s="2481"/>
    </row>
    <row r="83" spans="1:31">
      <c r="A83" s="378" t="s">
        <v>1687</v>
      </c>
      <c r="B83" s="459" t="s">
        <v>1826</v>
      </c>
      <c r="C83" s="503" t="s">
        <v>1718</v>
      </c>
      <c r="D83" s="503" t="s">
        <v>1719</v>
      </c>
      <c r="E83" s="503" t="s">
        <v>1720</v>
      </c>
      <c r="F83" s="503" t="s">
        <v>1721</v>
      </c>
      <c r="G83" s="503" t="s">
        <v>1722</v>
      </c>
      <c r="H83" s="460"/>
      <c r="I83" s="460"/>
      <c r="J83" s="460"/>
      <c r="K83" s="504"/>
      <c r="L83" s="505"/>
      <c r="M83" s="506"/>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6"/>
      <c r="B85" s="468" t="s">
        <v>1723</v>
      </c>
      <c r="C85" s="508" t="s">
        <v>1718</v>
      </c>
      <c r="D85" s="508" t="s">
        <v>1719</v>
      </c>
      <c r="E85" s="508" t="s">
        <v>1720</v>
      </c>
      <c r="F85" s="508" t="s">
        <v>1721</v>
      </c>
      <c r="G85" s="508" t="s">
        <v>1722</v>
      </c>
      <c r="H85" s="469"/>
      <c r="I85" s="469"/>
      <c r="J85" s="469"/>
      <c r="K85" s="470"/>
      <c r="L85" s="471"/>
      <c r="M85" s="472"/>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69"/>
      <c r="B87" s="468" t="s">
        <v>1904</v>
      </c>
      <c r="C87" s="503" t="s">
        <v>1718</v>
      </c>
      <c r="D87" s="503" t="s">
        <v>1719</v>
      </c>
      <c r="E87" s="503" t="s">
        <v>1720</v>
      </c>
      <c r="F87" s="503" t="s">
        <v>1721</v>
      </c>
      <c r="G87" s="503" t="s">
        <v>1722</v>
      </c>
      <c r="H87" s="508"/>
      <c r="I87" s="508"/>
      <c r="J87" s="508"/>
      <c r="K87" s="508"/>
      <c r="L87" s="617"/>
      <c r="M87" s="546"/>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69"/>
      <c r="B89" s="468" t="s">
        <v>1905</v>
      </c>
      <c r="C89" s="503" t="s">
        <v>1718</v>
      </c>
      <c r="D89" s="503" t="s">
        <v>1719</v>
      </c>
      <c r="E89" s="503" t="s">
        <v>1720</v>
      </c>
      <c r="F89" s="503" t="s">
        <v>1721</v>
      </c>
      <c r="G89" s="503" t="s">
        <v>1722</v>
      </c>
      <c r="H89" s="508"/>
      <c r="I89" s="508"/>
      <c r="J89" s="508"/>
      <c r="K89" s="508"/>
      <c r="L89" s="508"/>
      <c r="M89" s="546"/>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0"/>
      <c r="O90" s="2510"/>
      <c r="P90" s="2508"/>
      <c r="Q90" s="2496"/>
      <c r="R90" s="2427"/>
      <c r="S90" s="2427"/>
      <c r="T90" s="2427"/>
      <c r="U90" s="2427"/>
      <c r="V90" s="2427"/>
      <c r="W90" s="2427"/>
      <c r="X90" s="2427"/>
      <c r="Y90" s="2427"/>
      <c r="Z90" s="2427"/>
      <c r="AA90" s="2427"/>
      <c r="AB90" s="2427"/>
      <c r="AC90" s="2427"/>
      <c r="AD90" s="2427"/>
      <c r="AE90" s="242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11"/>
      <c r="O91" s="2511"/>
      <c r="P91" s="2511"/>
      <c r="Q91" s="2503"/>
      <c r="R91" s="2481"/>
      <c r="S91" s="2481"/>
      <c r="T91" s="2481"/>
      <c r="U91" s="2481"/>
      <c r="V91" s="2481"/>
      <c r="W91" s="2481"/>
      <c r="X91" s="2481"/>
      <c r="Y91" s="2481"/>
      <c r="Z91" s="2481"/>
      <c r="AA91" s="2481"/>
      <c r="AB91" s="2481"/>
      <c r="AC91" s="2481"/>
      <c r="AD91" s="2481"/>
      <c r="AE91" s="248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1"/>
      <c r="O92" s="2511"/>
      <c r="P92" s="2511"/>
      <c r="Q92" s="2503"/>
      <c r="R92" s="2481"/>
      <c r="S92" s="2481"/>
      <c r="T92" s="2481"/>
      <c r="U92" s="2481"/>
      <c r="V92" s="2481"/>
      <c r="W92" s="2481"/>
      <c r="X92" s="2481"/>
      <c r="Y92" s="2481"/>
      <c r="Z92" s="2481"/>
      <c r="AA92" s="2481"/>
      <c r="AB92" s="2481"/>
      <c r="AC92" s="2481"/>
      <c r="AD92" s="2481"/>
      <c r="AE92" s="2481"/>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1"/>
      <c r="O93" s="2511"/>
      <c r="P93" s="2511"/>
      <c r="Q93" s="2503"/>
      <c r="R93" s="2481"/>
      <c r="S93" s="2481"/>
      <c r="T93" s="2481"/>
      <c r="U93" s="2481"/>
      <c r="V93" s="2481"/>
      <c r="W93" s="2481"/>
      <c r="X93" s="2481"/>
      <c r="Y93" s="2481"/>
      <c r="Z93" s="2481"/>
      <c r="AA93" s="2481"/>
      <c r="AB93" s="2481"/>
      <c r="AC93" s="2481"/>
      <c r="AD93" s="2481"/>
      <c r="AE93" s="248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5"/>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6"/>
      <c r="B97" s="468" t="s">
        <v>1812</v>
      </c>
      <c r="C97" s="484"/>
      <c r="D97" s="484"/>
      <c r="E97" s="484"/>
      <c r="F97" s="484"/>
      <c r="G97" s="484"/>
      <c r="H97" s="512"/>
      <c r="I97" s="512"/>
      <c r="J97" s="512"/>
      <c r="K97" s="513"/>
      <c r="L97" s="514"/>
      <c r="M97" s="515"/>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6"/>
      <c r="B99" s="468" t="s">
        <v>1870</v>
      </c>
      <c r="C99" s="512"/>
      <c r="D99" s="512"/>
      <c r="E99" s="512"/>
      <c r="F99" s="512"/>
      <c r="G99" s="512"/>
      <c r="H99" s="512"/>
      <c r="I99" s="512"/>
      <c r="J99" s="512"/>
      <c r="K99" s="513"/>
      <c r="L99" s="514"/>
      <c r="M99" s="515"/>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6"/>
      <c r="B101" s="476">
        <f>B31</f>
        <v>111</v>
      </c>
      <c r="C101" s="484"/>
      <c r="D101" s="484"/>
      <c r="E101" s="484"/>
      <c r="F101" s="484"/>
      <c r="G101" s="516"/>
      <c r="H101" s="516"/>
      <c r="I101" s="516"/>
      <c r="J101" s="516"/>
      <c r="K101" s="517"/>
      <c r="L101" s="518"/>
      <c r="M101" s="519"/>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6"/>
      <c r="B102" s="499"/>
      <c r="C102" s="490"/>
      <c r="D102" s="466"/>
      <c r="E102" s="466"/>
      <c r="F102" s="466"/>
      <c r="G102" s="520"/>
      <c r="H102" s="520"/>
      <c r="I102" s="520"/>
      <c r="J102" s="520"/>
      <c r="K102" s="520"/>
      <c r="L102" s="520"/>
      <c r="M102" s="521"/>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4"/>
      <c r="B103" s="468">
        <f>B32</f>
        <v>111</v>
      </c>
      <c r="C103" s="484"/>
      <c r="D103" s="484"/>
      <c r="E103" s="484"/>
      <c r="F103" s="484"/>
      <c r="G103" s="512"/>
      <c r="H103" s="512"/>
      <c r="I103" s="512"/>
      <c r="J103" s="512"/>
      <c r="K103" s="513"/>
      <c r="L103" s="514"/>
      <c r="M103" s="515"/>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6"/>
      <c r="B104" s="473"/>
      <c r="C104" s="490"/>
      <c r="D104" s="490"/>
      <c r="E104" s="490"/>
      <c r="F104" s="490"/>
      <c r="G104" s="466"/>
      <c r="H104" s="466"/>
      <c r="I104" s="466"/>
      <c r="J104" s="466"/>
      <c r="K104" s="466"/>
      <c r="L104" s="466"/>
      <c r="M104" s="467"/>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7" customFormat="1" ht="15" thickTop="1">
      <c r="A105" s="405"/>
      <c r="B105" s="522">
        <f>B33</f>
        <v>111</v>
      </c>
      <c r="C105" s="31"/>
      <c r="D105" s="31"/>
      <c r="E105" s="31"/>
      <c r="F105" s="31"/>
      <c r="G105" s="6"/>
      <c r="H105" s="6"/>
      <c r="I105" s="6"/>
      <c r="J105" s="523"/>
      <c r="K105" s="523"/>
      <c r="L105" s="524"/>
      <c r="M105" s="525"/>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7" customFormat="1" ht="15.75" thickBot="1">
      <c r="A106" s="483"/>
      <c r="B106" s="476"/>
      <c r="C106" s="500"/>
      <c r="D106" s="500"/>
      <c r="E106" s="500"/>
      <c r="F106" s="500"/>
      <c r="G106" s="596"/>
      <c r="H106" s="596"/>
      <c r="I106" s="596"/>
      <c r="J106" s="596"/>
      <c r="K106" s="596"/>
      <c r="L106" s="596"/>
      <c r="M106" s="618"/>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36" t="str">
        <f t="shared" si="25"/>
        <v>(含)-</v>
      </c>
      <c r="L107" s="1236" t="str">
        <f t="shared" si="25"/>
        <v>(含)-</v>
      </c>
      <c r="M107" s="1237"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6"/>
      <c r="B108" s="476"/>
      <c r="C108" s="6"/>
      <c r="D108" s="6"/>
      <c r="E108" s="6"/>
      <c r="F108" s="6"/>
      <c r="G108" s="6"/>
      <c r="H108" s="6"/>
      <c r="I108" s="6"/>
      <c r="J108" s="523"/>
      <c r="K108" s="523"/>
      <c r="L108" s="524"/>
      <c r="M108" s="525"/>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6"/>
      <c r="B109" s="473"/>
      <c r="C109" s="500"/>
      <c r="D109" s="520"/>
      <c r="E109" s="520"/>
      <c r="F109" s="520"/>
      <c r="G109" s="520"/>
      <c r="H109" s="520"/>
      <c r="I109" s="520"/>
      <c r="J109" s="520"/>
      <c r="K109" s="520"/>
      <c r="L109" s="520"/>
      <c r="M109" s="521"/>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8"/>
      <c r="B110" s="468" t="s">
        <v>1911</v>
      </c>
      <c r="C110" s="512"/>
      <c r="D110" s="512"/>
      <c r="E110" s="512"/>
      <c r="F110" s="512"/>
      <c r="G110" s="512"/>
      <c r="H110" s="512"/>
      <c r="I110" s="512"/>
      <c r="J110" s="512"/>
      <c r="K110" s="513"/>
      <c r="L110" s="514"/>
      <c r="M110" s="515"/>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7" customFormat="1" ht="15" thickTop="1">
      <c r="A112" s="405"/>
      <c r="B112" s="468" t="s">
        <v>1913</v>
      </c>
      <c r="C112" s="484"/>
      <c r="D112" s="484"/>
      <c r="E112" s="484"/>
      <c r="F112" s="484"/>
      <c r="G112" s="484"/>
      <c r="H112" s="512"/>
      <c r="I112" s="512"/>
      <c r="J112" s="512"/>
      <c r="K112" s="513"/>
      <c r="L112" s="514"/>
      <c r="M112" s="515"/>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8"/>
      <c r="B114" s="468" t="s">
        <v>1914</v>
      </c>
      <c r="C114" s="484"/>
      <c r="D114" s="484"/>
      <c r="E114" s="512"/>
      <c r="F114" s="512"/>
      <c r="G114" s="512"/>
      <c r="H114" s="512"/>
      <c r="I114" s="512"/>
      <c r="J114" s="512"/>
      <c r="K114" s="513"/>
      <c r="L114" s="514"/>
      <c r="M114" s="515"/>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8"/>
      <c r="B116" s="468">
        <f>B38</f>
        <v>111</v>
      </c>
      <c r="C116" s="484"/>
      <c r="D116" s="484"/>
      <c r="E116" s="484"/>
      <c r="F116" s="484"/>
      <c r="G116" s="484"/>
      <c r="H116" s="512"/>
      <c r="I116" s="512"/>
      <c r="J116" s="512"/>
      <c r="K116" s="513"/>
      <c r="L116" s="514"/>
      <c r="M116" s="515"/>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6"/>
      <c r="B117" s="473"/>
      <c r="C117" s="490"/>
      <c r="D117" s="466"/>
      <c r="E117" s="466"/>
      <c r="F117" s="466"/>
      <c r="G117" s="466"/>
      <c r="H117" s="466"/>
      <c r="I117" s="466"/>
      <c r="J117" s="466"/>
      <c r="K117" s="466"/>
      <c r="L117" s="466"/>
      <c r="M117" s="467"/>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8"/>
      <c r="B118" s="468">
        <f>B39</f>
        <v>111</v>
      </c>
      <c r="C118" s="484"/>
      <c r="D118" s="484"/>
      <c r="E118" s="484"/>
      <c r="F118" s="484"/>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6"/>
      <c r="B119" s="473"/>
      <c r="C119" s="490"/>
      <c r="D119" s="490"/>
      <c r="E119" s="490"/>
      <c r="F119" s="490"/>
      <c r="G119" s="466"/>
      <c r="H119" s="466"/>
      <c r="I119" s="466"/>
      <c r="J119" s="466"/>
      <c r="K119" s="466"/>
      <c r="L119" s="466"/>
      <c r="M119" s="467"/>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7" customFormat="1" ht="15" thickTop="1">
      <c r="A120" s="405"/>
      <c r="B120" s="468">
        <f>B40</f>
        <v>111</v>
      </c>
      <c r="C120" s="31"/>
      <c r="D120" s="31"/>
      <c r="E120" s="31"/>
      <c r="F120" s="31"/>
      <c r="G120" s="485"/>
      <c r="H120" s="485"/>
      <c r="I120" s="485"/>
      <c r="J120" s="485"/>
      <c r="K120" s="485"/>
      <c r="L120" s="486"/>
      <c r="M120" s="487"/>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7" customFormat="1" ht="15.75" thickBot="1">
      <c r="A121" s="498"/>
      <c r="B121" s="619"/>
      <c r="C121" s="500"/>
      <c r="D121" s="500"/>
      <c r="E121" s="500"/>
      <c r="F121" s="500"/>
      <c r="G121" s="520"/>
      <c r="H121" s="520"/>
      <c r="I121" s="520"/>
      <c r="J121" s="520"/>
      <c r="K121" s="520"/>
      <c r="L121" s="520"/>
      <c r="M121" s="521"/>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4" t="s">
        <v>2078</v>
      </c>
      <c r="B1" s="4"/>
      <c r="C1" s="4"/>
      <c r="D1" s="4"/>
      <c r="E1" s="4"/>
      <c r="F1" s="2532"/>
      <c r="G1" s="2532"/>
      <c r="H1" s="2532"/>
      <c r="I1" s="2532"/>
      <c r="J1" s="2532"/>
      <c r="K1" s="2532"/>
      <c r="L1" s="2532"/>
      <c r="M1" s="2532"/>
      <c r="N1" s="2532"/>
      <c r="O1" s="2532"/>
      <c r="P1" s="2532"/>
    </row>
    <row r="2" spans="1:16" ht="15.75">
      <c r="A2" s="1973" t="s">
        <v>2070</v>
      </c>
      <c r="B2" s="2375" t="e">
        <f ca="1">SUMIF(B6:B13,"&lt;&gt;#ref!",B6:B13)</f>
        <v>#DIV/0!</v>
      </c>
      <c r="C2" s="1973" t="s">
        <v>2071</v>
      </c>
      <c r="D2" s="1973" t="s">
        <v>2072</v>
      </c>
      <c r="E2" s="2385">
        <f ca="1">SUMIF(E6:E13,"&lt;&gt;#ref!",E6:E13)</f>
        <v>0</v>
      </c>
      <c r="F2" s="2532"/>
      <c r="G2" s="2532"/>
      <c r="H2" s="2532"/>
      <c r="I2" s="2532"/>
      <c r="J2" s="2532"/>
      <c r="K2" s="2532"/>
      <c r="L2" s="2532"/>
      <c r="M2" s="2532"/>
      <c r="N2" s="2532"/>
      <c r="O2" s="2532"/>
      <c r="P2" s="2532"/>
    </row>
    <row r="3" spans="1:16" ht="15.75">
      <c r="A3" s="1973" t="s">
        <v>2073</v>
      </c>
      <c r="B3" s="2375" t="e">
        <f ca="1">ROUND(B2*10000/E2,0)</f>
        <v>#DIV/0!</v>
      </c>
      <c r="C3" s="1973" t="s">
        <v>2079</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2074</v>
      </c>
      <c r="B5" s="2383" t="s">
        <v>2075</v>
      </c>
      <c r="C5" s="1974"/>
      <c r="D5" s="2532"/>
      <c r="E5" s="2384" t="s">
        <v>2076</v>
      </c>
      <c r="F5" s="2532"/>
      <c r="G5" s="2532"/>
      <c r="H5" s="2532"/>
      <c r="I5" s="2532"/>
      <c r="J5" s="2532"/>
      <c r="K5" s="2532"/>
      <c r="L5" s="2532"/>
      <c r="M5" s="2532"/>
      <c r="N5" s="2532"/>
      <c r="O5" s="2532"/>
      <c r="P5" s="2532"/>
    </row>
    <row r="6" spans="1:16" ht="15.75">
      <c r="A6" s="2382" t="s">
        <v>2077</v>
      </c>
      <c r="B6" s="2375" t="e">
        <f ca="1">SUMIF(INDIRECT("'"&amp;A6&amp;"'"&amp;"!A:A"),"总价",INDIRECT("'"&amp;A6&amp;"'"&amp;"!B:B"))</f>
        <v>#DIV/0!</v>
      </c>
      <c r="C6" s="1973" t="s">
        <v>2071</v>
      </c>
      <c r="D6" s="2532"/>
      <c r="E6" s="2385">
        <f ca="1">SUMIF(INDIRECT("'"&amp;A6&amp;"'"&amp;"!C:C"),"建筑面积",INDIRECT("'"&amp;A6&amp;"'"&amp;"!D:D"))</f>
        <v>0</v>
      </c>
      <c r="F6" s="2532"/>
      <c r="G6" s="2532"/>
      <c r="H6" s="2532"/>
      <c r="I6" s="2532"/>
      <c r="J6" s="2532"/>
      <c r="K6" s="2532"/>
      <c r="L6" s="2532"/>
      <c r="M6" s="2532"/>
      <c r="N6" s="2532"/>
      <c r="O6" s="2532"/>
      <c r="P6" s="2532"/>
    </row>
    <row r="7" spans="1:16" ht="15.75">
      <c r="A7" s="2382"/>
      <c r="B7" s="2375" t="e">
        <f ca="1">SUMIF(INDIRECT("'"&amp;A7&amp;"'"&amp;"!A:A"),"总价",INDIRECT("'"&amp;A7&amp;"'"&amp;"!B:B"))</f>
        <v>#REF!</v>
      </c>
      <c r="C7" s="1973" t="s">
        <v>2071</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3" t="s">
        <v>2071</v>
      </c>
      <c r="D8" s="2532"/>
      <c r="E8" s="2385" t="e">
        <f t="shared" ca="1" si="0"/>
        <v>#REF!</v>
      </c>
      <c r="F8" s="2532"/>
      <c r="G8" s="2532"/>
      <c r="H8" s="2532"/>
      <c r="I8" s="2532"/>
      <c r="J8" s="2532"/>
      <c r="K8" s="2532"/>
      <c r="L8" s="2532"/>
      <c r="M8" s="2532"/>
      <c r="N8" s="2532"/>
      <c r="O8" s="2532"/>
      <c r="P8" s="2532"/>
    </row>
    <row r="9" spans="1:16" ht="15.75">
      <c r="A9" s="2382"/>
      <c r="B9" s="2375" t="e">
        <f t="shared" ca="1" si="1"/>
        <v>#REF!</v>
      </c>
      <c r="C9" s="1973" t="s">
        <v>2071</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2071</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2071</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2071</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2071</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84" customWidth="1"/>
    <col min="2" max="2" width="22.5" style="1972" customWidth="1"/>
    <col min="3" max="3" width="12" style="1834"/>
    <col min="4" max="4" width="14.875" style="1834" customWidth="1"/>
    <col min="5" max="5" width="14.625" style="1834" customWidth="1"/>
    <col min="6" max="8" width="12" style="1834"/>
    <col min="9" max="9" width="12.25" style="1834" bestFit="1" customWidth="1"/>
    <col min="10" max="10" width="12" style="1834"/>
    <col min="11" max="11" width="8.125" style="1880" customWidth="1"/>
    <col min="12" max="12" width="19.5" style="1834" customWidth="1"/>
    <col min="13" max="13" width="8.5" style="1834" customWidth="1"/>
    <col min="14" max="14" width="9.75" style="1834" customWidth="1"/>
    <col min="15" max="25" width="12" style="1834"/>
    <col min="26" max="26" width="9.375" style="1884" customWidth="1"/>
    <col min="27" max="32" width="9.375" style="1048" customWidth="1"/>
    <col min="33" max="36" width="9.375" style="1884" customWidth="1"/>
    <col min="37" max="38" width="9.375" style="1834" customWidth="1"/>
    <col min="39" max="16384" width="12" style="1834"/>
  </cols>
  <sheetData>
    <row r="1" spans="1:36" ht="28.5">
      <c r="A1" s="187" t="s">
        <v>1923</v>
      </c>
      <c r="B1" s="188"/>
      <c r="C1" s="192" t="s">
        <v>1924</v>
      </c>
      <c r="D1" s="332">
        <f>SUM(D33:D34,D37:D42)</f>
        <v>0</v>
      </c>
      <c r="E1" s="1831"/>
      <c r="F1" s="1831"/>
      <c r="G1" s="1831"/>
      <c r="H1" s="1831"/>
      <c r="I1" s="1831"/>
      <c r="J1" s="1831"/>
      <c r="K1" s="1046"/>
      <c r="L1" s="1832" t="s">
        <v>1925</v>
      </c>
      <c r="M1" s="804">
        <f>SUMPRODUCT((区片价!B5:B9=I2)*(区片价!C3:G3=E2)*(区片价!C5:G9))</f>
        <v>0</v>
      </c>
      <c r="N1" s="807">
        <f>SUMPRODUCT((因素修正幅度!B5:B9=I2)*(因素修正幅度!C3:G3=E2)*(因素修正幅度!C5:G9))</f>
        <v>0</v>
      </c>
      <c r="O1" s="1833"/>
      <c r="P1" s="1833"/>
      <c r="Q1" s="1046"/>
      <c r="R1" s="1119" t="s">
        <v>1926</v>
      </c>
      <c r="S1" s="1119" t="s">
        <v>1927</v>
      </c>
      <c r="T1" s="1119" t="s">
        <v>1928</v>
      </c>
      <c r="U1" s="1119" t="s">
        <v>1929</v>
      </c>
      <c r="V1" s="1119" t="s">
        <v>1930</v>
      </c>
      <c r="W1" s="1123"/>
      <c r="X1" s="1123"/>
      <c r="Y1" s="1123"/>
      <c r="Z1" s="1123"/>
      <c r="AA1" s="1123"/>
      <c r="AB1" s="1123"/>
      <c r="AC1" s="1124"/>
      <c r="AD1" s="1125"/>
      <c r="AE1" s="1125"/>
      <c r="AF1" s="1125"/>
      <c r="AG1" s="1125"/>
      <c r="AH1" s="1125"/>
      <c r="AI1" s="1125"/>
      <c r="AJ1" s="1126"/>
    </row>
    <row r="2" spans="1:36" ht="15.75">
      <c r="A2" s="192" t="s">
        <v>1931</v>
      </c>
      <c r="B2" s="195" t="e">
        <f>C30</f>
        <v>#DIV/0!</v>
      </c>
      <c r="C2" s="1835" t="s">
        <v>1932</v>
      </c>
      <c r="D2" s="161" t="s">
        <v>1933</v>
      </c>
      <c r="E2" s="3108"/>
      <c r="F2" s="161" t="s">
        <v>1934</v>
      </c>
      <c r="G2" s="162">
        <f>IF(E2="商业",项目基本情况!B37,IF(E2="办公",项目基本情况!C37,IF(E2="住宅",项目基本情况!D37,IF(E2="工业",项目基本情况!E37,项目基本情况!F37))))</f>
        <v>0</v>
      </c>
      <c r="H2" s="161" t="s">
        <v>1935</v>
      </c>
      <c r="I2" s="162">
        <f>IF(E2="商业",项目基本情况!B38,IF(E2="办公",项目基本情况!C38,IF(E2="住宅",项目基本情况!D38,IF(E2="工业",项目基本情况!E38,项目基本情况!F38))))</f>
        <v>0</v>
      </c>
      <c r="J2" s="1831"/>
      <c r="K2" s="1046"/>
      <c r="L2" s="1836" t="s">
        <v>1936</v>
      </c>
      <c r="M2" s="805">
        <f>SUMPRODUCT((区片价!B10:B29=I2)*(区片价!C3:G3=E2)*(区片价!C10:G29))</f>
        <v>0</v>
      </c>
      <c r="N2" s="807">
        <f>SUMPRODUCT((因素修正幅度!B10:B29=I2)*(因素修正幅度!C3:G3=E2)*(因素修正幅度!C10:G29))</f>
        <v>0</v>
      </c>
      <c r="O2" s="1046"/>
      <c r="P2" s="1046"/>
      <c r="Q2" s="1046"/>
      <c r="R2" s="1119">
        <v>1</v>
      </c>
      <c r="S2" s="3051">
        <f>ROUND(SUMPRODUCT((B106:B110=R2)*(C105:N105=G2)*(C106:N110)),4)</f>
        <v>0</v>
      </c>
      <c r="T2" s="3051" t="e">
        <f t="shared" ref="T2:T16" si="0">ROUND($C$5*$C$22*$C$23*$C$24*S2*$C$28,0)</f>
        <v>#DIV/0!</v>
      </c>
      <c r="U2" s="1120"/>
      <c r="V2" s="3051" t="e">
        <f>ROUND(T2*U2/10000,0)</f>
        <v>#DIV/0!</v>
      </c>
      <c r="W2" s="1123"/>
      <c r="X2" s="1123"/>
      <c r="Y2" s="1123"/>
      <c r="Z2" s="1123"/>
      <c r="AA2" s="1123"/>
      <c r="AB2" s="1123"/>
      <c r="AC2" s="1124"/>
      <c r="AD2" s="1125"/>
      <c r="AE2" s="1125"/>
      <c r="AF2" s="1125"/>
      <c r="AG2" s="1125"/>
      <c r="AH2" s="1125"/>
      <c r="AI2" s="1125"/>
      <c r="AJ2" s="1126"/>
    </row>
    <row r="3" spans="1:36" ht="15.75">
      <c r="A3" s="194" t="s">
        <v>1937</v>
      </c>
      <c r="B3" s="195" t="e">
        <f>ROUND(B2*10000/D1,0)</f>
        <v>#DIV/0!</v>
      </c>
      <c r="C3" s="1835" t="s">
        <v>1938</v>
      </c>
      <c r="D3" s="161" t="s">
        <v>1939</v>
      </c>
      <c r="E3" s="3106"/>
      <c r="F3" s="1837"/>
      <c r="G3" s="702">
        <f>IF(F3="宗地容积率",'数据-汇总表'!I4,IF(F3="估价对象容积率",'数据-汇总表'!I6,'数据-汇总表'!I7))</f>
        <v>0</v>
      </c>
      <c r="H3" s="161" t="s">
        <v>1940</v>
      </c>
      <c r="I3" s="723"/>
      <c r="J3" s="1831" t="s">
        <v>1941</v>
      </c>
      <c r="K3" s="1046"/>
      <c r="L3" s="1836" t="s">
        <v>1942</v>
      </c>
      <c r="M3" s="805">
        <f>SUMPRODUCT((区片价!B30:B54=I2)*(区片价!C3:G3=E2)*(区片价!C30:G54))</f>
        <v>0</v>
      </c>
      <c r="N3" s="807">
        <f>SUMPRODUCT((因素修正幅度!B30:B54=I2)*(因素修正幅度!C3:G3=E2)*(因素修正幅度!C30:G54))</f>
        <v>0</v>
      </c>
      <c r="O3" s="1046"/>
      <c r="P3" s="1046"/>
      <c r="Q3" s="1046"/>
      <c r="R3" s="1119">
        <v>2</v>
      </c>
      <c r="S3" s="3051">
        <f>ROUND(SUMPRODUCT((B106:B110=R3)*(C105:N105=G2)*(C106:N110)),4)</f>
        <v>0</v>
      </c>
      <c r="T3" s="3051" t="e">
        <f t="shared" si="0"/>
        <v>#DIV/0!</v>
      </c>
      <c r="U3" s="1120"/>
      <c r="V3" s="3051" t="e">
        <f t="shared" ref="V3:V16" si="1">ROUND(T3*U3/10000,0)</f>
        <v>#DIV/0!</v>
      </c>
      <c r="W3" s="1123"/>
      <c r="X3" s="1123"/>
      <c r="Y3" s="1123"/>
      <c r="Z3" s="1123"/>
      <c r="AA3" s="1123"/>
      <c r="AB3" s="1123"/>
      <c r="AC3" s="1124"/>
      <c r="AD3" s="1125"/>
      <c r="AE3" s="1125"/>
      <c r="AF3" s="1125"/>
      <c r="AG3" s="1125"/>
      <c r="AH3" s="1125"/>
      <c r="AI3" s="1125"/>
      <c r="AJ3" s="1126"/>
    </row>
    <row r="4" spans="1:36" ht="15.75">
      <c r="A4" s="3497"/>
      <c r="B4" s="3498"/>
      <c r="C4" s="3498"/>
      <c r="D4" s="3499"/>
      <c r="E4" s="3499"/>
      <c r="F4" s="3499"/>
      <c r="G4" s="3499"/>
      <c r="H4" s="3499"/>
      <c r="I4" s="3499"/>
      <c r="J4" s="3500"/>
      <c r="K4" s="1046"/>
      <c r="L4" s="1836" t="s">
        <v>1943</v>
      </c>
      <c r="M4" s="805">
        <f>SUMPRODUCT((区片价!B55:B86=I2)*(区片价!C3:G3=E2)*(区片价!C55:G86))</f>
        <v>0</v>
      </c>
      <c r="N4" s="807">
        <f>SUMPRODUCT((因素修正幅度!B55:B86=I2)*(因素修正幅度!C3:G3=E2)*(因素修正幅度!C55:G86))</f>
        <v>0</v>
      </c>
      <c r="O4" s="1046"/>
      <c r="P4" s="1046"/>
      <c r="Q4" s="1046"/>
      <c r="R4" s="1119">
        <v>3</v>
      </c>
      <c r="S4" s="3051">
        <f>ROUND(SUMPRODUCT((B106:B110=R4)*(C105:N105=G2)*(C106:N110)),4)</f>
        <v>0</v>
      </c>
      <c r="T4" s="3051" t="e">
        <f t="shared" si="0"/>
        <v>#DIV/0!</v>
      </c>
      <c r="U4" s="1120"/>
      <c r="V4" s="3051" t="e">
        <f t="shared" si="1"/>
        <v>#DIV/0!</v>
      </c>
      <c r="W4" s="1123"/>
      <c r="X4" s="1123"/>
      <c r="Y4" s="1123"/>
      <c r="Z4" s="1123"/>
      <c r="AA4" s="1123"/>
      <c r="AB4" s="1123"/>
      <c r="AC4" s="1124"/>
      <c r="AD4" s="1125"/>
      <c r="AE4" s="1125"/>
      <c r="AF4" s="1125"/>
      <c r="AG4" s="1125"/>
      <c r="AH4" s="1125"/>
      <c r="AI4" s="1125"/>
      <c r="AJ4" s="1126"/>
    </row>
    <row r="5" spans="1:36" s="1847" customFormat="1" ht="15.75" thickBot="1">
      <c r="A5" s="1838" t="s">
        <v>362</v>
      </c>
      <c r="B5" s="1839" t="s">
        <v>1944</v>
      </c>
      <c r="C5" s="703" t="e">
        <f>ROUND(IF(E2="商业",C6*C7*C17+C20,(IF(E2="住宅",C6*C13*C17+C20,IF(E2="办公",C6*C12*C17+C20,C6+C20)))),0)</f>
        <v>#DIV/0!</v>
      </c>
      <c r="D5" s="1241" t="e">
        <f>ROUND(C6*C17+C20,0)</f>
        <v>#DIV/0!</v>
      </c>
      <c r="E5" s="1241"/>
      <c r="F5" s="1840"/>
      <c r="G5" s="1841"/>
      <c r="H5" s="1841"/>
      <c r="I5" s="1841"/>
      <c r="J5" s="1842"/>
      <c r="K5" s="1843"/>
      <c r="L5" s="1836" t="s">
        <v>1945</v>
      </c>
      <c r="M5" s="805">
        <f>SUMPRODUCT((区片价!B87:B126=I2)*(区片价!C3:G3=E2)*(区片价!C87:G126))</f>
        <v>0</v>
      </c>
      <c r="N5" s="807">
        <f>SUMPRODUCT((因素修正幅度!B87:B126=I2)*(因素修正幅度!C3:G3=E2)*(因素修正幅度!C87:G126))</f>
        <v>0</v>
      </c>
      <c r="O5" s="1046"/>
      <c r="P5" s="1046"/>
      <c r="Q5" s="1046"/>
      <c r="R5" s="1119">
        <v>4</v>
      </c>
      <c r="S5" s="3051">
        <f>ROUND(SUMPRODUCT((B106:B110=R5)*(C105:N105=G2)*(C106:N110)),4)</f>
        <v>0</v>
      </c>
      <c r="T5" s="3051" t="e">
        <f t="shared" si="0"/>
        <v>#DIV/0!</v>
      </c>
      <c r="U5" s="1120"/>
      <c r="V5" s="3051" t="e">
        <f t="shared" si="1"/>
        <v>#DIV/0!</v>
      </c>
      <c r="W5" s="1123"/>
      <c r="X5" s="1123"/>
      <c r="Y5" s="1123"/>
      <c r="Z5" s="1123"/>
      <c r="AA5" s="1123"/>
      <c r="AB5" s="1123"/>
      <c r="AC5" s="1844"/>
      <c r="AD5" s="1845"/>
      <c r="AE5" s="1845"/>
      <c r="AF5" s="1845"/>
      <c r="AG5" s="1845"/>
      <c r="AH5" s="1845"/>
      <c r="AI5" s="1845"/>
      <c r="AJ5" s="1846"/>
    </row>
    <row r="6" spans="1:36" ht="15.75" thickBot="1">
      <c r="A6" s="1848" t="s">
        <v>1946</v>
      </c>
      <c r="B6" s="1849" t="s">
        <v>1947</v>
      </c>
      <c r="C6" s="704">
        <f>SUMIF(L1:L12,G2,M1:M12)</f>
        <v>0</v>
      </c>
      <c r="D6" s="1850"/>
      <c r="E6" s="1851"/>
      <c r="F6" s="1851"/>
      <c r="G6" s="1852"/>
      <c r="H6" s="1852"/>
      <c r="I6" s="1852"/>
      <c r="J6" s="1853"/>
      <c r="K6" s="1281"/>
      <c r="L6" s="1836" t="s">
        <v>1948</v>
      </c>
      <c r="M6" s="805">
        <f>SUMPRODUCT((区片价!B127:B189=I2)*(区片价!C3:G3=E2)*(区片价!C127:G189))</f>
        <v>0</v>
      </c>
      <c r="N6" s="807">
        <f>SUMPRODUCT((因素修正幅度!B127:B189=I2)*(因素修正幅度!C3:G3=E2)*(因素修正幅度!C127:G189))</f>
        <v>0</v>
      </c>
      <c r="O6" s="1046"/>
      <c r="P6" s="1046"/>
      <c r="Q6" s="1046"/>
      <c r="R6" s="1119">
        <v>5</v>
      </c>
      <c r="S6" s="3051">
        <f>ROUND(SUMPRODUCT((B106:B110=R6)*(C105:N105=G2)*(C106:N110)),4)</f>
        <v>0</v>
      </c>
      <c r="T6" s="3051" t="e">
        <f t="shared" si="0"/>
        <v>#DIV/0!</v>
      </c>
      <c r="U6" s="1120"/>
      <c r="V6" s="3051" t="e">
        <f t="shared" si="1"/>
        <v>#DIV/0!</v>
      </c>
      <c r="W6" s="1123"/>
      <c r="X6" s="1123"/>
      <c r="Y6" s="1123"/>
      <c r="Z6" s="1123"/>
      <c r="AA6" s="1123"/>
      <c r="AB6" s="1123"/>
      <c r="AC6" s="1844"/>
      <c r="AD6" s="1845"/>
      <c r="AE6" s="1845"/>
      <c r="AF6" s="1845"/>
      <c r="AG6" s="1845"/>
      <c r="AH6" s="1845"/>
      <c r="AI6" s="1845"/>
      <c r="AJ6" s="1846"/>
    </row>
    <row r="7" spans="1:36" ht="24.75" thickBot="1">
      <c r="A7" s="3000" t="s">
        <v>3227</v>
      </c>
      <c r="B7" s="1854" t="s">
        <v>1949</v>
      </c>
      <c r="C7" s="705" t="e">
        <f>IF(C8="不临65条商业街",1,ROUND(1+(1.6*E8+1.2*E9+0.8*E10+0.4*E11)*C9,4))</f>
        <v>#DIV/0!</v>
      </c>
      <c r="D7" s="1855" t="s">
        <v>1950</v>
      </c>
      <c r="E7" s="724"/>
      <c r="F7" s="1856"/>
      <c r="G7" s="1857"/>
      <c r="H7" s="1857"/>
      <c r="I7" s="1857"/>
      <c r="J7" s="1858"/>
      <c r="K7" s="1281"/>
      <c r="L7" s="1836" t="s">
        <v>1951</v>
      </c>
      <c r="M7" s="805">
        <f>SUMPRODUCT((区片价!B190:B233=I2)*(区片价!C3:G3=E2)*(区片价!C190:G233))</f>
        <v>0</v>
      </c>
      <c r="N7" s="807">
        <f>SUMPRODUCT((因素修正幅度!B190:B233=I2)*(因素修正幅度!C3:G3=E2)*(因素修正幅度!C190:G233))</f>
        <v>0</v>
      </c>
      <c r="O7" s="1046"/>
      <c r="P7" s="1046"/>
      <c r="Q7" s="1046"/>
      <c r="R7" s="1119">
        <v>6</v>
      </c>
      <c r="S7" s="3105"/>
      <c r="T7" s="3051" t="e">
        <f t="shared" si="0"/>
        <v>#DIV/0!</v>
      </c>
      <c r="U7" s="1120"/>
      <c r="V7" s="3051" t="e">
        <f t="shared" si="1"/>
        <v>#DIV/0!</v>
      </c>
      <c r="W7" s="1256" t="s">
        <v>1952</v>
      </c>
      <c r="X7" s="1121">
        <f>G2</f>
        <v>0</v>
      </c>
      <c r="Y7" s="1121" t="s">
        <v>1953</v>
      </c>
      <c r="Z7" s="1122">
        <f>G3</f>
        <v>0</v>
      </c>
      <c r="AA7" s="1123"/>
      <c r="AB7" s="1123"/>
      <c r="AC7" s="1124"/>
      <c r="AD7" s="1125"/>
      <c r="AE7" s="1125"/>
      <c r="AF7" s="1125"/>
      <c r="AG7" s="1125"/>
      <c r="AH7" s="1125"/>
      <c r="AI7" s="1125"/>
      <c r="AJ7" s="1126"/>
    </row>
    <row r="8" spans="1:36" ht="15">
      <c r="A8" s="2997"/>
      <c r="B8" s="161" t="s">
        <v>1954</v>
      </c>
      <c r="C8" s="1859"/>
      <c r="D8" s="706" t="s">
        <v>112</v>
      </c>
      <c r="E8" s="707" t="e">
        <f>ROUND(C11/E7,4)</f>
        <v>#DIV/0!</v>
      </c>
      <c r="F8" s="1860" t="s">
        <v>1955</v>
      </c>
      <c r="G8" s="1861"/>
      <c r="H8" s="1861"/>
      <c r="I8" s="1861"/>
      <c r="J8" s="1862"/>
      <c r="K8" s="1046"/>
      <c r="L8" s="1836" t="s">
        <v>1956</v>
      </c>
      <c r="M8" s="805">
        <f>SUMPRODUCT((区片价!B234:B276=I2)*(区片价!C3:G3=E2)*(区片价!C234:G276))</f>
        <v>0</v>
      </c>
      <c r="N8" s="807">
        <f>SUMPRODUCT((因素修正幅度!B234:B276=I2)*(因素修正幅度!C3:G3=E2)*(因素修正幅度!C234:G276))</f>
        <v>0</v>
      </c>
      <c r="O8" s="1046"/>
      <c r="P8" s="1046"/>
      <c r="Q8" s="1046"/>
      <c r="R8" s="1119">
        <v>7</v>
      </c>
      <c r="S8" s="1120"/>
      <c r="T8" s="3051" t="e">
        <f t="shared" si="0"/>
        <v>#DIV/0!</v>
      </c>
      <c r="U8" s="1120"/>
      <c r="V8" s="3051" t="e">
        <f t="shared" si="1"/>
        <v>#DIV/0!</v>
      </c>
      <c r="W8" s="3494" t="s">
        <v>1957</v>
      </c>
      <c r="X8" s="3495"/>
      <c r="Y8" s="1127" t="s">
        <v>1958</v>
      </c>
      <c r="Z8" s="1127" t="s">
        <v>1959</v>
      </c>
      <c r="AA8" s="1127" t="s">
        <v>1960</v>
      </c>
      <c r="AB8" s="1127" t="s">
        <v>1961</v>
      </c>
      <c r="AC8" s="1127" t="s">
        <v>1962</v>
      </c>
      <c r="AD8" s="1127" t="s">
        <v>1963</v>
      </c>
      <c r="AE8" s="1127" t="s">
        <v>1964</v>
      </c>
      <c r="AF8" s="1127" t="s">
        <v>1965</v>
      </c>
      <c r="AG8" s="1127" t="s">
        <v>1966</v>
      </c>
      <c r="AH8" s="1127" t="s">
        <v>1967</v>
      </c>
      <c r="AI8" s="1127" t="s">
        <v>1968</v>
      </c>
      <c r="AJ8" s="1127" t="s">
        <v>1969</v>
      </c>
    </row>
    <row r="9" spans="1:36" ht="15">
      <c r="A9" s="2997"/>
      <c r="B9" s="161" t="s">
        <v>1970</v>
      </c>
      <c r="C9" s="708">
        <f>SUMIF(修正!C71:C138,C8,修正!E71:E138)</f>
        <v>0</v>
      </c>
      <c r="D9" s="162" t="s">
        <v>113</v>
      </c>
      <c r="E9" s="162" t="e">
        <f>ROUND(C11/E7,4)</f>
        <v>#DIV/0!</v>
      </c>
      <c r="F9" s="1860" t="s">
        <v>1971</v>
      </c>
      <c r="G9" s="1861"/>
      <c r="H9" s="1861"/>
      <c r="I9" s="1861"/>
      <c r="J9" s="1862"/>
      <c r="K9" s="1046"/>
      <c r="L9" s="1836" t="s">
        <v>1972</v>
      </c>
      <c r="M9" s="805">
        <f>SUMPRODUCT((区片价!B277:B326=I2)*(区片价!C3:G3=E2)*(区片价!C277:G326))</f>
        <v>0</v>
      </c>
      <c r="N9" s="807">
        <f>SUMPRODUCT((因素修正幅度!B277:B326=I2)*(因素修正幅度!C3:G3=E2)*(因素修正幅度!C277:G326))</f>
        <v>0</v>
      </c>
      <c r="O9" s="1046"/>
      <c r="P9" s="1046"/>
      <c r="Q9" s="1046"/>
      <c r="R9" s="1119">
        <v>8</v>
      </c>
      <c r="S9" s="1120"/>
      <c r="T9" s="3051" t="e">
        <f t="shared" si="0"/>
        <v>#DIV/0!</v>
      </c>
      <c r="U9" s="1120"/>
      <c r="V9" s="3051" t="e">
        <f t="shared" si="1"/>
        <v>#DIV/0!</v>
      </c>
      <c r="W9" s="3496"/>
      <c r="X9" s="3052" t="s">
        <v>3258</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1973</v>
      </c>
      <c r="C10" s="162">
        <f>SUMIF(修正!C71:C138,C8,修正!F71:F138)</f>
        <v>0</v>
      </c>
      <c r="D10" s="162" t="s">
        <v>114</v>
      </c>
      <c r="E10" s="162" t="e">
        <f>ROUND(C11/E7,4)</f>
        <v>#DIV/0!</v>
      </c>
      <c r="F10" s="1860" t="s">
        <v>1974</v>
      </c>
      <c r="G10" s="1861"/>
      <c r="H10" s="1861"/>
      <c r="I10" s="1861"/>
      <c r="J10" s="1862"/>
      <c r="K10" s="1046"/>
      <c r="L10" s="1836" t="s">
        <v>1975</v>
      </c>
      <c r="M10" s="805">
        <f>SUMPRODUCT((区片价!B327:B357=I2)*(区片价!C3:G3=E2)*(区片价!C327:G357))</f>
        <v>0</v>
      </c>
      <c r="N10" s="807">
        <f>SUMPRODUCT((因素修正幅度!B327:B357=I2)*(因素修正幅度!C3:G3=E2)*(因素修正幅度!C327:G357))</f>
        <v>0</v>
      </c>
      <c r="O10" s="1046"/>
      <c r="P10" s="1046"/>
      <c r="Q10" s="1046"/>
      <c r="R10" s="1119">
        <v>9</v>
      </c>
      <c r="S10" s="1120"/>
      <c r="T10" s="3051" t="e">
        <f t="shared" si="0"/>
        <v>#DIV/0!</v>
      </c>
      <c r="U10" s="1120"/>
      <c r="V10" s="3051" t="e">
        <f t="shared" si="1"/>
        <v>#DIV/0!</v>
      </c>
      <c r="W10" s="3496"/>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1976</v>
      </c>
      <c r="C11" s="709">
        <f>C10/4</f>
        <v>0</v>
      </c>
      <c r="D11" s="709" t="s">
        <v>115</v>
      </c>
      <c r="E11" s="709" t="e">
        <f>ROUND(C11/E7,4)</f>
        <v>#DIV/0!</v>
      </c>
      <c r="F11" s="1864" t="s">
        <v>1977</v>
      </c>
      <c r="G11" s="1865"/>
      <c r="H11" s="1865"/>
      <c r="I11" s="1865"/>
      <c r="J11" s="1866"/>
      <c r="K11" s="1046"/>
      <c r="L11" s="1836" t="s">
        <v>1978</v>
      </c>
      <c r="M11" s="805">
        <f>SUMPRODUCT((区片价!B358:B377=I2)*(区片价!C3:G3=E2)*(区片价!C358:G377))</f>
        <v>0</v>
      </c>
      <c r="N11" s="807">
        <f>SUMPRODUCT((因素修正幅度!B358:B377=I2)*(因素修正幅度!C3:G3=E2)*(因素修正幅度!C358:G377))</f>
        <v>0</v>
      </c>
      <c r="O11" s="1046"/>
      <c r="P11" s="1046"/>
      <c r="Q11" s="1046"/>
      <c r="R11" s="1119">
        <v>10</v>
      </c>
      <c r="S11" s="1120"/>
      <c r="T11" s="3051" t="e">
        <f t="shared" si="0"/>
        <v>#DIV/0!</v>
      </c>
      <c r="U11" s="1120"/>
      <c r="V11" s="3051" t="e">
        <f t="shared" si="1"/>
        <v>#DIV/0!</v>
      </c>
      <c r="W11" s="1123"/>
      <c r="X11" s="1123"/>
      <c r="Y11" s="1123"/>
      <c r="Z11" s="1123"/>
      <c r="AA11" s="1123"/>
      <c r="AB11" s="1123"/>
      <c r="AC11" s="1124"/>
      <c r="AD11" s="2541"/>
      <c r="AE11" s="2541"/>
      <c r="AF11" s="2541"/>
      <c r="AG11" s="2541"/>
      <c r="AH11" s="2541"/>
      <c r="AI11" s="2541"/>
      <c r="AJ11" s="2542"/>
    </row>
    <row r="12" spans="1:36" ht="25.5" thickBot="1">
      <c r="A12" s="3000" t="s">
        <v>3228</v>
      </c>
      <c r="B12" s="3001" t="s">
        <v>3229</v>
      </c>
      <c r="C12" s="3002"/>
      <c r="D12" s="3003" t="s">
        <v>3230</v>
      </c>
      <c r="E12" s="3004" t="s">
        <v>3231</v>
      </c>
      <c r="F12" s="3005"/>
      <c r="G12" s="3006"/>
      <c r="H12" s="3006"/>
      <c r="I12" s="3006"/>
      <c r="J12" s="3007"/>
      <c r="K12" s="1046"/>
      <c r="L12" s="1785" t="s">
        <v>1981</v>
      </c>
      <c r="M12" s="806">
        <f>SUMPRODUCT((区片价!B378:B384=I2)*(区片价!C3:G3=E2)*(区片价!C378:G384))</f>
        <v>0</v>
      </c>
      <c r="N12" s="807">
        <f>SUMPRODUCT((因素修正幅度!B378:B384=I2)*(因素修正幅度!C3:G3=E2)*(因素修正幅度!C378:G384))</f>
        <v>0</v>
      </c>
      <c r="O12" s="1046"/>
      <c r="P12" s="1046"/>
      <c r="Q12" s="1046"/>
      <c r="R12" s="1119">
        <v>11</v>
      </c>
      <c r="S12" s="1120"/>
      <c r="T12" s="3051" t="e">
        <f t="shared" si="0"/>
        <v>#DIV/0!</v>
      </c>
      <c r="U12" s="1120"/>
      <c r="V12" s="3051" t="e">
        <f t="shared" si="1"/>
        <v>#DIV/0!</v>
      </c>
      <c r="W12" s="1123"/>
      <c r="X12" s="1123"/>
      <c r="Y12" s="1123"/>
      <c r="Z12" s="1123"/>
      <c r="AA12" s="1123"/>
      <c r="AB12" s="1123"/>
      <c r="AC12" s="1124"/>
      <c r="AD12" s="2541"/>
      <c r="AE12" s="2541"/>
      <c r="AF12" s="2541"/>
      <c r="AG12" s="2541"/>
      <c r="AH12" s="2541"/>
      <c r="AI12" s="2541"/>
      <c r="AJ12" s="2542"/>
    </row>
    <row r="13" spans="1:36" ht="15.75" thickBot="1">
      <c r="A13" s="3000" t="s">
        <v>3232</v>
      </c>
      <c r="B13" s="1867" t="s">
        <v>1979</v>
      </c>
      <c r="C13" s="705">
        <f>ROUND(C16*D16*E16*F16*G16*H16*I16*J16,4)</f>
        <v>0</v>
      </c>
      <c r="D13" s="1868" t="s">
        <v>1980</v>
      </c>
      <c r="E13" s="1869"/>
      <c r="F13" s="1869"/>
      <c r="G13" s="1870"/>
      <c r="H13" s="1870"/>
      <c r="I13" s="1870"/>
      <c r="J13" s="1871"/>
      <c r="K13" s="1046"/>
      <c r="L13" s="3"/>
      <c r="M13" s="4"/>
      <c r="N13" s="2998"/>
      <c r="O13" s="1046"/>
      <c r="P13" s="1046"/>
      <c r="Q13" s="1046"/>
      <c r="R13" s="1119">
        <v>12</v>
      </c>
      <c r="S13" s="1120"/>
      <c r="T13" s="3051" t="e">
        <f t="shared" si="0"/>
        <v>#DIV/0!</v>
      </c>
      <c r="U13" s="1120"/>
      <c r="V13" s="3051" t="e">
        <f t="shared" si="1"/>
        <v>#DIV/0!</v>
      </c>
      <c r="W13" s="1123"/>
      <c r="X13" s="1123"/>
      <c r="Y13" s="1123"/>
      <c r="Z13" s="1123"/>
      <c r="AA13" s="1123"/>
      <c r="AB13" s="1123"/>
      <c r="AC13" s="1124"/>
      <c r="AD13" s="2541"/>
      <c r="AE13" s="2541"/>
      <c r="AF13" s="2541"/>
      <c r="AG13" s="2541"/>
      <c r="AH13" s="2541"/>
      <c r="AI13" s="2541"/>
      <c r="AJ13" s="2542"/>
    </row>
    <row r="14" spans="1:36" ht="15">
      <c r="A14" s="2996"/>
      <c r="B14" s="1872" t="s">
        <v>1982</v>
      </c>
      <c r="C14" s="1873" t="s">
        <v>1983</v>
      </c>
      <c r="D14" s="1250" t="s">
        <v>1984</v>
      </c>
      <c r="E14" s="27" t="s">
        <v>1985</v>
      </c>
      <c r="F14" s="3008" t="s">
        <v>3233</v>
      </c>
      <c r="G14" s="3008" t="s">
        <v>3233</v>
      </c>
      <c r="H14" s="3008" t="s">
        <v>3233</v>
      </c>
      <c r="I14" s="3008" t="s">
        <v>3233</v>
      </c>
      <c r="J14" s="3008" t="s">
        <v>3233</v>
      </c>
      <c r="K14" s="1046"/>
      <c r="L14" s="1046"/>
      <c r="M14" s="1046"/>
      <c r="N14" s="1046"/>
      <c r="O14" s="1046"/>
      <c r="P14" s="1046"/>
      <c r="Q14" s="1046"/>
      <c r="R14" s="1119">
        <v>13</v>
      </c>
      <c r="S14" s="1120"/>
      <c r="T14" s="3051" t="e">
        <f t="shared" si="0"/>
        <v>#DIV/0!</v>
      </c>
      <c r="U14" s="1120"/>
      <c r="V14" s="3051" t="e">
        <f t="shared" si="1"/>
        <v>#DIV/0!</v>
      </c>
      <c r="W14" s="1123"/>
      <c r="X14" s="1123"/>
      <c r="Y14" s="1123"/>
      <c r="Z14" s="1123"/>
      <c r="AA14" s="1123"/>
      <c r="AB14" s="1123"/>
      <c r="AC14" s="1124"/>
      <c r="AD14" s="2541"/>
      <c r="AE14" s="2541"/>
      <c r="AF14" s="2541"/>
      <c r="AG14" s="2541"/>
      <c r="AH14" s="2541"/>
      <c r="AI14" s="2541"/>
      <c r="AJ14" s="2542"/>
    </row>
    <row r="15" spans="1:36" ht="15">
      <c r="A15" s="2996"/>
      <c r="B15" s="1874"/>
      <c r="C15" s="1875"/>
      <c r="D15" s="1876"/>
      <c r="E15" s="1877"/>
      <c r="F15" s="1459" t="s">
        <v>3234</v>
      </c>
      <c r="G15" s="1917"/>
      <c r="H15" s="3009"/>
      <c r="I15" s="3010"/>
      <c r="J15" s="3011"/>
      <c r="K15" s="1046"/>
      <c r="L15" s="1046"/>
      <c r="M15" s="1046"/>
      <c r="N15" s="1046"/>
      <c r="O15" s="1046"/>
      <c r="P15" s="1046"/>
      <c r="Q15" s="1046"/>
      <c r="R15" s="1119">
        <v>14</v>
      </c>
      <c r="S15" s="1120"/>
      <c r="T15" s="3051" t="e">
        <f t="shared" si="0"/>
        <v>#DIV/0!</v>
      </c>
      <c r="U15" s="1120"/>
      <c r="V15" s="3051" t="e">
        <f t="shared" si="1"/>
        <v>#DIV/0!</v>
      </c>
      <c r="W15" s="1123"/>
      <c r="X15" s="1123"/>
      <c r="Y15" s="1123"/>
      <c r="Z15" s="1123"/>
      <c r="AA15" s="1123"/>
      <c r="AB15" s="1123"/>
      <c r="AC15" s="1124"/>
      <c r="AD15" s="2541"/>
      <c r="AE15" s="2541"/>
      <c r="AF15" s="2541"/>
      <c r="AG15" s="2541"/>
      <c r="AH15" s="2541"/>
      <c r="AI15" s="2541"/>
      <c r="AJ15" s="2542"/>
    </row>
    <row r="16" spans="1:36" ht="15.75" thickBot="1">
      <c r="A16" s="2996"/>
      <c r="B16" s="3014" t="s">
        <v>1986</v>
      </c>
      <c r="C16" s="3012"/>
      <c r="D16" s="3012"/>
      <c r="E16" s="3012"/>
      <c r="F16" s="3012">
        <v>1</v>
      </c>
      <c r="G16" s="3012">
        <v>1</v>
      </c>
      <c r="H16" s="3012">
        <v>1</v>
      </c>
      <c r="I16" s="3012">
        <v>1</v>
      </c>
      <c r="J16" s="3013">
        <v>1</v>
      </c>
      <c r="K16" s="1046"/>
      <c r="L16" s="1833"/>
      <c r="M16" s="1833"/>
      <c r="N16" s="1833"/>
      <c r="O16" s="1833"/>
      <c r="P16" s="1833"/>
      <c r="Q16" s="1046"/>
      <c r="R16" s="1119">
        <v>15</v>
      </c>
      <c r="S16" s="1120"/>
      <c r="T16" s="3051" t="e">
        <f t="shared" si="0"/>
        <v>#DIV/0!</v>
      </c>
      <c r="U16" s="1120"/>
      <c r="V16" s="3051" t="e">
        <f t="shared" si="1"/>
        <v>#DIV/0!</v>
      </c>
      <c r="W16" s="1123"/>
      <c r="X16" s="1123"/>
      <c r="Y16" s="1123"/>
      <c r="Z16" s="1123"/>
      <c r="AA16" s="1123"/>
      <c r="AB16" s="1123"/>
      <c r="AC16" s="1124"/>
      <c r="AD16" s="2541"/>
      <c r="AE16" s="2541"/>
      <c r="AF16" s="2541"/>
      <c r="AG16" s="2541"/>
      <c r="AH16" s="2541"/>
      <c r="AI16" s="2541"/>
      <c r="AJ16" s="2542"/>
    </row>
    <row r="17" spans="1:37">
      <c r="A17" s="3023" t="s">
        <v>3235</v>
      </c>
      <c r="B17" s="3015" t="s">
        <v>3236</v>
      </c>
      <c r="C17" s="3024">
        <f>ROUND(IF(OR(E2="工业",E2="公共服务"),1,IF(AND(E18=0,E19=0),1,IF(AND(E18=J24,E19=G19),0.8,IF(E19=0,1+E17*(-0.2),1+E17*G17*(-0.2))))),4)</f>
        <v>1</v>
      </c>
      <c r="D17" s="3016" t="s">
        <v>3237</v>
      </c>
      <c r="E17" s="3024" t="e">
        <f>ROUND(G18/I18,2)</f>
        <v>#DIV/0!</v>
      </c>
      <c r="F17" s="3016" t="s">
        <v>3240</v>
      </c>
      <c r="G17" s="3024" t="e">
        <f>ROUND(E19/G19,2)</f>
        <v>#DIV/0!</v>
      </c>
      <c r="H17" s="3024"/>
      <c r="I17" s="3024"/>
      <c r="J17" s="3025"/>
      <c r="K17" s="1046"/>
      <c r="L17" s="1833"/>
      <c r="M17" s="1833"/>
      <c r="N17" s="1833"/>
      <c r="O17" s="1833"/>
      <c r="P17" s="1833"/>
      <c r="Q17" s="1046"/>
      <c r="R17" s="1046"/>
      <c r="S17" s="1046"/>
      <c r="T17" s="1046"/>
      <c r="U17" s="1046"/>
      <c r="V17" s="1046"/>
      <c r="W17" s="1046"/>
      <c r="X17" s="1046"/>
      <c r="Y17" s="1046"/>
      <c r="Z17" s="1047"/>
      <c r="AA17" s="1047"/>
      <c r="AB17" s="1047"/>
      <c r="AC17" s="1047"/>
      <c r="AD17" s="1047"/>
      <c r="AE17" s="1046"/>
      <c r="AF17" s="1046"/>
      <c r="AG17" s="1833"/>
      <c r="AH17" s="1833"/>
      <c r="AI17" s="1833"/>
      <c r="AJ17" s="1833"/>
    </row>
    <row r="18" spans="1:37" s="1847" customFormat="1" ht="14.25">
      <c r="A18" s="3026"/>
      <c r="B18" s="2297"/>
      <c r="C18" s="3022"/>
      <c r="D18" s="3017" t="s">
        <v>3238</v>
      </c>
      <c r="E18" s="2344"/>
      <c r="F18" s="3018" t="s">
        <v>3241</v>
      </c>
      <c r="G18" s="3022">
        <f>ROUND(1-(1/(POWER(1+G24,E18))),4)</f>
        <v>0</v>
      </c>
      <c r="H18" s="3018" t="s">
        <v>3243</v>
      </c>
      <c r="I18" s="3022">
        <f>ROUND(1-(1/(POWER(1+G24,J24))),4)</f>
        <v>0</v>
      </c>
      <c r="J18" s="3027"/>
      <c r="K18" s="1046"/>
      <c r="L18" s="1833"/>
      <c r="M18" s="1833"/>
      <c r="N18" s="1833"/>
      <c r="O18" s="1833"/>
      <c r="P18" s="1833"/>
      <c r="Q18" s="1046"/>
      <c r="R18" s="1050"/>
      <c r="S18" s="1050"/>
      <c r="T18" s="1047"/>
      <c r="U18" s="1047"/>
      <c r="V18" s="1047"/>
      <c r="W18" s="1046"/>
      <c r="X18" s="1046"/>
      <c r="Y18" s="1046"/>
      <c r="Z18" s="1051"/>
      <c r="AA18" s="1051"/>
      <c r="AB18" s="1051"/>
      <c r="AC18" s="1051"/>
      <c r="AD18" s="1051"/>
      <c r="AE18" s="1047"/>
      <c r="AF18" s="1047"/>
      <c r="AG18" s="1969"/>
      <c r="AH18" s="1969"/>
      <c r="AI18" s="1969"/>
      <c r="AJ18" s="2540"/>
    </row>
    <row r="19" spans="1:37" s="1847" customFormat="1" ht="15" thickBot="1">
      <c r="A19" s="3028"/>
      <c r="B19" s="3029"/>
      <c r="C19" s="3030"/>
      <c r="D19" s="3030" t="s">
        <v>3239</v>
      </c>
      <c r="E19" s="3031"/>
      <c r="F19" s="3032" t="s">
        <v>3242</v>
      </c>
      <c r="G19" s="3031"/>
      <c r="H19" s="3030"/>
      <c r="I19" s="3030"/>
      <c r="J19" s="3033"/>
      <c r="K19" s="1046"/>
      <c r="L19" s="1833"/>
      <c r="M19" s="1833"/>
      <c r="N19" s="1833"/>
      <c r="O19" s="1833"/>
      <c r="P19" s="1833"/>
      <c r="Q19" s="1050"/>
      <c r="R19" s="1050"/>
      <c r="S19" s="1050"/>
      <c r="T19" s="1047"/>
      <c r="U19" s="1047"/>
      <c r="V19" s="1047"/>
      <c r="W19" s="1046"/>
      <c r="X19" s="1046"/>
      <c r="Y19" s="1046"/>
      <c r="Z19" s="1051"/>
      <c r="AA19" s="1051"/>
      <c r="AB19" s="1051"/>
      <c r="AC19" s="1051"/>
      <c r="AD19" s="1051"/>
      <c r="AE19" s="1051"/>
      <c r="AF19" s="1050"/>
      <c r="AG19" s="2543"/>
      <c r="AH19" s="1969"/>
      <c r="AI19" s="560"/>
      <c r="AJ19" s="560"/>
      <c r="AK19" s="1888"/>
    </row>
    <row r="20" spans="1:37" s="1847" customFormat="1" ht="14.25">
      <c r="A20" s="3501" t="s">
        <v>3244</v>
      </c>
      <c r="B20" s="158" t="s">
        <v>1991</v>
      </c>
      <c r="C20" s="3019" t="e">
        <f>ROUND(IF(F21="与级别开发程度一致",0,(G21-E21)/C21),0)</f>
        <v>#DIV/0!</v>
      </c>
      <c r="D20" s="3034" t="s">
        <v>1995</v>
      </c>
      <c r="E20" s="3035"/>
      <c r="F20" s="3507" t="s">
        <v>1992</v>
      </c>
      <c r="G20" s="3508"/>
      <c r="H20" s="3020"/>
      <c r="I20" s="3020"/>
      <c r="J20" s="3021"/>
      <c r="K20" s="1878"/>
      <c r="L20" s="1878"/>
      <c r="M20" s="1878"/>
      <c r="N20" s="1878"/>
      <c r="O20" s="1879"/>
      <c r="P20" s="1833"/>
      <c r="Q20" s="1050"/>
      <c r="R20" s="1050"/>
      <c r="S20" s="1050"/>
      <c r="T20" s="1047"/>
      <c r="U20" s="1047"/>
      <c r="V20" s="1047"/>
      <c r="W20" s="1046"/>
      <c r="X20" s="1046"/>
      <c r="Y20" s="1046"/>
      <c r="Z20" s="1051"/>
      <c r="AA20" s="1051"/>
      <c r="AB20" s="1051"/>
      <c r="AC20" s="1051"/>
      <c r="AD20" s="1051"/>
      <c r="AE20" s="1051"/>
      <c r="AF20" s="1051"/>
      <c r="AG20" s="2540"/>
      <c r="AH20" s="2540"/>
      <c r="AI20" s="2540"/>
      <c r="AJ20" s="2540"/>
    </row>
    <row r="21" spans="1:37" s="1847" customFormat="1" ht="15" thickBot="1">
      <c r="A21" s="3502"/>
      <c r="B21" s="1991" t="s">
        <v>1994</v>
      </c>
      <c r="C21" s="1992">
        <f>IF(E3="M4科研用地",SUMPRODUCT((修正!A2:A7=E3)*(修正!B1:M1=G2)*(修正!B2:M7)),SUMPRODUCT((修正!A2:A7=E2)*(修正!B1:M1=G2)*(修正!B2:M7)))</f>
        <v>0</v>
      </c>
      <c r="D21" s="178" t="str">
        <f>IF(OR(G2="八级",G2="九级",G2="十级",G2="十一级",G2="十二级"),"五通一平","七通一平")</f>
        <v>七通一平</v>
      </c>
      <c r="E21" s="1982">
        <f>SUMPRODUCT((修正!B1:M1=G2)*(修正!B17:M17))</f>
        <v>0</v>
      </c>
      <c r="F21" s="1983"/>
      <c r="G21" s="1984">
        <f>SUM(H21:O21)</f>
        <v>0</v>
      </c>
      <c r="H21" s="1992">
        <f>SUMPRODUCT((七通一平=H20)*(修正!B1:M1=G2)*(修正!B8:M16))</f>
        <v>0</v>
      </c>
      <c r="I21" s="1992">
        <f>SUMPRODUCT((七通一平=I20)*(修正!B1:M1=G2)*(修正!B8:M16))</f>
        <v>0</v>
      </c>
      <c r="J21" s="1993">
        <f>SUMPRODUCT((七通一平=J20)*(修正!B1:M1=G2)*(修正!B8:M16))</f>
        <v>0</v>
      </c>
      <c r="K21" s="1992">
        <f>SUMPRODUCT((七通一平=K20)*(修正!B1:M1=G2)*(修正!B8:M16))</f>
        <v>0</v>
      </c>
      <c r="L21" s="1992">
        <f>SUMPRODUCT((七通一平=L20)*(修正!B1:M1=G2)*(修正!B8:M16))</f>
        <v>0</v>
      </c>
      <c r="M21" s="1992">
        <f>SUMPRODUCT((七通一平=M20)*(修正!B1:M1=G2)*(修正!B8:M16))</f>
        <v>0</v>
      </c>
      <c r="N21" s="1992">
        <f>SUMPRODUCT((七通一平=N20)*(修正!B1:M1=G2)*(修正!B8:M16))</f>
        <v>0</v>
      </c>
      <c r="O21" s="1994">
        <f>SUMPRODUCT((七通一平=O20)*(修正!B1:M1=G2)*(修正!B8:M16))</f>
        <v>0</v>
      </c>
      <c r="P21" s="1833"/>
      <c r="Q21" s="2540"/>
      <c r="R21" s="1050"/>
      <c r="S21" s="1050"/>
      <c r="T21" s="1047"/>
      <c r="U21" s="1047"/>
      <c r="V21" s="1047"/>
      <c r="W21" s="1046"/>
      <c r="X21" s="1046"/>
      <c r="Y21" s="1046"/>
      <c r="Z21" s="1051"/>
      <c r="AA21" s="1051"/>
      <c r="AB21" s="1051"/>
      <c r="AC21" s="1051"/>
      <c r="AD21" s="1051"/>
      <c r="AE21" s="1051"/>
      <c r="AF21" s="1051"/>
      <c r="AG21" s="2540"/>
      <c r="AH21" s="2540"/>
      <c r="AI21" s="2540"/>
      <c r="AJ21" s="2540"/>
    </row>
    <row r="22" spans="1:37" s="1847" customFormat="1" ht="15.75" thickBot="1">
      <c r="A22" s="1985" t="s">
        <v>363</v>
      </c>
      <c r="B22" s="1986" t="s">
        <v>1997</v>
      </c>
      <c r="C22" s="1987">
        <f>SUMIF(修正!C20:C51,E3,修正!E20:E51)</f>
        <v>0</v>
      </c>
      <c r="D22" s="1988"/>
      <c r="E22" s="1989"/>
      <c r="F22" s="1989"/>
      <c r="G22" s="1989"/>
      <c r="H22" s="1989"/>
      <c r="I22" s="1989"/>
      <c r="J22" s="1990"/>
      <c r="K22" s="1051"/>
      <c r="L22" s="2540"/>
      <c r="M22" s="2540"/>
      <c r="N22" s="2540"/>
      <c r="O22" s="1049"/>
      <c r="P22" s="1049"/>
      <c r="Q22" s="2540"/>
      <c r="R22" s="1050"/>
      <c r="S22" s="1050"/>
      <c r="T22" s="1047"/>
      <c r="U22" s="1047"/>
      <c r="V22" s="1047"/>
      <c r="W22" s="1046"/>
      <c r="X22" s="1046"/>
      <c r="Y22" s="1046"/>
      <c r="Z22" s="1051"/>
      <c r="AA22" s="1051"/>
      <c r="AB22" s="1051"/>
      <c r="AC22" s="1051"/>
      <c r="AD22" s="1051"/>
      <c r="AE22" s="1051"/>
      <c r="AF22" s="1051"/>
      <c r="AG22" s="2540"/>
      <c r="AH22" s="2540"/>
      <c r="AI22" s="2540"/>
      <c r="AJ22" s="2540"/>
    </row>
    <row r="23" spans="1:37" ht="26.25" thickBot="1">
      <c r="A23" s="1881" t="s">
        <v>364</v>
      </c>
      <c r="B23" s="1882" t="s">
        <v>1998</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5" t="s">
        <v>1999</v>
      </c>
      <c r="E23" s="711">
        <v>44197</v>
      </c>
      <c r="F23" s="1885" t="s">
        <v>2000</v>
      </c>
      <c r="G23" s="712">
        <f>'数据-取费表'!B2</f>
        <v>45596</v>
      </c>
      <c r="H23" s="3036" t="s">
        <v>3246</v>
      </c>
      <c r="I23" s="3037" t="str">
        <f>IF(H23="季度增幅（自定义）",SUMIF(N25:N28,E2,O25:O28),"")</f>
        <v/>
      </c>
      <c r="J23" s="3128" t="s">
        <v>3245</v>
      </c>
      <c r="K23" s="1051"/>
      <c r="L23" s="1886" t="s">
        <v>2001</v>
      </c>
      <c r="M23" s="1231">
        <f>ROUND(SUMIF(地价!B2:G2,E2,地价!B16:G16),0)</f>
        <v>0</v>
      </c>
      <c r="N23" s="1887" t="s">
        <v>2002</v>
      </c>
      <c r="O23" s="713">
        <f>ROUNDDOWN(DATEDIF(E23,G23,"M")/3,0)</f>
        <v>15</v>
      </c>
      <c r="P23" s="1047"/>
      <c r="Q23" s="2540"/>
      <c r="R23" s="1050"/>
      <c r="S23" s="1050"/>
      <c r="T23" s="1047"/>
      <c r="U23" s="1047"/>
      <c r="V23" s="1047"/>
      <c r="W23" s="1046"/>
      <c r="X23" s="1046"/>
      <c r="Y23" s="1046"/>
      <c r="Z23" s="1051"/>
      <c r="AA23" s="1051"/>
      <c r="AB23" s="1051"/>
      <c r="AC23" s="1051"/>
      <c r="AD23" s="1051"/>
      <c r="AE23" s="1047"/>
      <c r="AF23" s="1047"/>
      <c r="AG23" s="1969"/>
      <c r="AH23" s="1969"/>
      <c r="AI23" s="1969"/>
      <c r="AJ23" s="1969"/>
      <c r="AK23" s="1884"/>
    </row>
    <row r="24" spans="1:37" s="1847" customFormat="1" ht="24.75" thickBot="1">
      <c r="A24" s="1889" t="s">
        <v>365</v>
      </c>
      <c r="B24" s="1890" t="s">
        <v>2003</v>
      </c>
      <c r="C24" s="714" t="e">
        <f>ROUND(POWER(1+G24,J24-I24)*(POWER(1+G24,I24)-1)/(POWER(1+G24,J24)-1),4)</f>
        <v>#DIV/0!</v>
      </c>
      <c r="D24" s="1891" t="s">
        <v>2004</v>
      </c>
      <c r="E24" s="1238">
        <f>存贷款利率!E27/100</f>
        <v>4.3499999999999997E-2</v>
      </c>
      <c r="F24" s="1891" t="s">
        <v>1996</v>
      </c>
      <c r="G24" s="718">
        <f>SUMIF(M30:Q30,E2,M33:Q33)</f>
        <v>0</v>
      </c>
      <c r="H24" s="1891" t="s">
        <v>2005</v>
      </c>
      <c r="I24" s="719" t="e">
        <f>SUMIF('数据-取费表'!C6:C15,E2,'数据-取费表'!F6:F15)/COUNTIF('数据-取费表'!C6:C15,E2)</f>
        <v>#DIV/0!</v>
      </c>
      <c r="J24" s="720">
        <f>IF(E2="住宅",70,IF(E2="商业",40,50))</f>
        <v>50</v>
      </c>
      <c r="K24" s="1051"/>
      <c r="L24" s="1892" t="s">
        <v>2006</v>
      </c>
      <c r="M24" s="1232">
        <f>ROUND(SUMPRODUCT((地价!A4:A16=YEAR(G23)&amp;"-"&amp;ROUNDUP(MONTH(G23)/3,0))*(地价!B2:G2=E2)*(地价!B4:G16)),0)</f>
        <v>0</v>
      </c>
      <c r="N24" s="1893" t="s">
        <v>2007</v>
      </c>
      <c r="O24" s="1894" t="s">
        <v>2008</v>
      </c>
      <c r="P24" s="1895" t="s">
        <v>2009</v>
      </c>
      <c r="Q24" s="1833"/>
      <c r="R24" s="1050"/>
      <c r="S24" s="1050"/>
      <c r="T24" s="1047"/>
      <c r="U24" s="1047"/>
      <c r="V24" s="1047"/>
      <c r="W24" s="1046"/>
      <c r="X24" s="1046"/>
      <c r="Y24" s="1046"/>
      <c r="Z24" s="1051"/>
      <c r="AA24" s="1051"/>
      <c r="AB24" s="1051"/>
      <c r="AC24" s="1051"/>
      <c r="AD24" s="1051"/>
      <c r="AE24" s="1051"/>
      <c r="AF24" s="1051"/>
      <c r="AG24" s="2540"/>
      <c r="AH24" s="2540"/>
      <c r="AI24" s="2540"/>
      <c r="AJ24" s="2540"/>
    </row>
    <row r="25" spans="1:37" ht="15">
      <c r="A25" s="1896" t="s">
        <v>366</v>
      </c>
      <c r="B25" s="1897" t="s">
        <v>3325</v>
      </c>
      <c r="C25" s="460">
        <f>IF(B25="容积率修正",IF(G3&lt;10,D26,J26),C27)</f>
        <v>0</v>
      </c>
      <c r="D25" s="1898"/>
      <c r="E25" s="1898"/>
      <c r="F25" s="1898"/>
      <c r="G25" s="1898"/>
      <c r="H25" s="1898"/>
      <c r="I25" s="1898"/>
      <c r="J25" s="1899"/>
      <c r="K25" s="1051"/>
      <c r="L25" s="2540"/>
      <c r="M25" s="2540"/>
      <c r="N25" s="1900" t="s">
        <v>2010</v>
      </c>
      <c r="O25" s="1083"/>
      <c r="P25" s="1084">
        <f>SUMPRODUCT((地价!A3:A40=YEAR(G23)&amp;"-"&amp;ROUNDUP(MONTH(G23)/3,0))*(地价!AD2:AH2=N25)*(地价!AD3:AH40))</f>
        <v>0</v>
      </c>
      <c r="Q25" s="2540"/>
      <c r="R25" s="1050"/>
      <c r="S25" s="1050"/>
      <c r="T25" s="1047"/>
      <c r="U25" s="1047"/>
      <c r="V25" s="1047"/>
      <c r="W25" s="1046"/>
      <c r="X25" s="1046"/>
      <c r="Y25" s="1046"/>
      <c r="Z25" s="1051"/>
      <c r="AA25" s="1051"/>
      <c r="AB25" s="1051"/>
      <c r="AC25" s="1051"/>
      <c r="AD25" s="1051"/>
      <c r="AE25" s="1047"/>
      <c r="AF25" s="1047"/>
      <c r="AG25" s="1969"/>
      <c r="AH25" s="1969"/>
      <c r="AI25" s="1969"/>
      <c r="AJ25" s="1969"/>
    </row>
    <row r="26" spans="1:37" ht="14.25">
      <c r="A26" s="1795" t="s">
        <v>2011</v>
      </c>
      <c r="B26" s="1901" t="s">
        <v>2012</v>
      </c>
      <c r="C26" s="1901" t="s">
        <v>3247</v>
      </c>
      <c r="D26" s="1252">
        <f>IF(E26=G26,F26,IF(G3&lt;10,ROUND(F26+(H26-F26)*(G3-E26)/(G26-E26),4),"——"))</f>
        <v>0</v>
      </c>
      <c r="E26" s="702">
        <f>ROUNDDOWN(G3,1)</f>
        <v>0</v>
      </c>
      <c r="F26" s="1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1" t="s">
        <v>3248</v>
      </c>
      <c r="J26" s="373" t="str">
        <f>IF(G3&gt;=10,D115,"——")</f>
        <v>——</v>
      </c>
      <c r="K26" s="1051"/>
      <c r="L26" s="2540"/>
      <c r="M26" s="2540"/>
      <c r="N26" s="1900" t="s">
        <v>2013</v>
      </c>
      <c r="O26" s="1083"/>
      <c r="P26" s="1084">
        <f>SUMPRODUCT((地价!A3:A40=YEAR(G23)&amp;"-"&amp;ROUNDUP(MONTH(G23)/3,0))*(地价!AD2:AH2=N26)*(地价!AD3:AH40))</f>
        <v>0</v>
      </c>
      <c r="Q26" s="1833"/>
      <c r="R26" s="1050"/>
      <c r="S26" s="1050"/>
      <c r="T26" s="1047"/>
      <c r="U26" s="1047"/>
      <c r="V26" s="1047"/>
      <c r="W26" s="1046"/>
      <c r="X26" s="1046"/>
      <c r="Y26" s="1046"/>
      <c r="Z26" s="1051"/>
      <c r="AA26" s="1051"/>
      <c r="AB26" s="1051"/>
      <c r="AC26" s="1051"/>
      <c r="AD26" s="1051"/>
      <c r="AE26" s="1047"/>
      <c r="AF26" s="1047"/>
      <c r="AG26" s="1969"/>
      <c r="AH26" s="1969"/>
      <c r="AI26" s="1969"/>
      <c r="AJ26" s="1969"/>
    </row>
    <row r="27" spans="1:37" ht="15.75" thickBot="1">
      <c r="A27" s="1795" t="s">
        <v>2014</v>
      </c>
      <c r="B27" s="1902" t="s">
        <v>2015</v>
      </c>
      <c r="C27" s="785">
        <f>ROUND(IF(I3&lt;6,SUMPRODUCT((B106:B110=I3)*(C105:N105=G2)*(C106:N110)),SUMIF(C105:N105,G2,C112:N112)),4)</f>
        <v>0</v>
      </c>
      <c r="D27" s="1831"/>
      <c r="E27" s="1831"/>
      <c r="F27" s="1903"/>
      <c r="G27" s="1904"/>
      <c r="H27" s="1905"/>
      <c r="I27" s="1906"/>
      <c r="J27" s="1907"/>
      <c r="K27" s="1046"/>
      <c r="L27" s="1833"/>
      <c r="M27" s="1833"/>
      <c r="N27" s="1900" t="s">
        <v>2016</v>
      </c>
      <c r="O27" s="1083"/>
      <c r="P27" s="1084">
        <f>SUMPRODUCT((地价!A3:A40=YEAR(G23)&amp;"-"&amp;ROUNDUP(MONTH(G23)/3,0))*(地价!AD2:AH2=N27)*(地价!AD3:AH40))</f>
        <v>0</v>
      </c>
      <c r="Q27" s="1833"/>
      <c r="R27" s="1050"/>
      <c r="S27" s="1050"/>
      <c r="T27" s="1047"/>
      <c r="U27" s="1047"/>
      <c r="V27" s="1047"/>
      <c r="W27" s="1046"/>
      <c r="X27" s="1046"/>
      <c r="Y27" s="1046"/>
      <c r="Z27" s="1051"/>
      <c r="AA27" s="1051"/>
      <c r="AB27" s="1051"/>
      <c r="AC27" s="1051"/>
      <c r="AD27" s="1051"/>
      <c r="AE27" s="1047"/>
      <c r="AF27" s="1047"/>
      <c r="AG27" s="1969"/>
      <c r="AH27" s="1969"/>
      <c r="AI27" s="1969"/>
      <c r="AJ27" s="1969"/>
    </row>
    <row r="28" spans="1:37" ht="15.75" thickBot="1">
      <c r="A28" s="1889" t="s">
        <v>367</v>
      </c>
      <c r="B28" s="1882" t="s">
        <v>2017</v>
      </c>
      <c r="C28" s="710">
        <f>SUMIF(A47:A101,E2,B47:B101)</f>
        <v>0</v>
      </c>
      <c r="D28" s="1883"/>
      <c r="E28" s="1908"/>
      <c r="F28" s="1908"/>
      <c r="G28" s="1908"/>
      <c r="H28" s="1908"/>
      <c r="I28" s="1908"/>
      <c r="J28" s="1909"/>
      <c r="K28" s="1051"/>
      <c r="L28" s="2540"/>
      <c r="M28" s="2540"/>
      <c r="N28" s="1910" t="s">
        <v>2018</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9"/>
      <c r="AH28" s="1969"/>
      <c r="AI28" s="1969"/>
      <c r="AJ28" s="1969"/>
    </row>
    <row r="29" spans="1:37" ht="15.75" thickBot="1">
      <c r="A29" s="1889" t="s">
        <v>368</v>
      </c>
      <c r="B29" s="1911" t="s">
        <v>2019</v>
      </c>
      <c r="C29" s="715"/>
      <c r="D29" s="1857"/>
      <c r="E29" s="1857"/>
      <c r="F29" s="1912"/>
      <c r="G29" s="1857"/>
      <c r="H29" s="1857"/>
      <c r="I29" s="1857"/>
      <c r="J29" s="1858"/>
      <c r="K29" s="1046"/>
      <c r="L29" s="1833"/>
      <c r="M29" s="1833"/>
      <c r="N29" s="2537" t="s">
        <v>2020</v>
      </c>
      <c r="O29" s="2538"/>
      <c r="P29" s="2539">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33"/>
      <c r="AH29" s="1833"/>
      <c r="AI29" s="1833"/>
      <c r="AJ29" s="1833"/>
    </row>
    <row r="30" spans="1:37" ht="15">
      <c r="A30" s="1913"/>
      <c r="B30" s="1901" t="s">
        <v>2021</v>
      </c>
      <c r="C30" s="2134" t="e">
        <f>IF(B25="容积率修正",E33+SUM(E37:E42),SUM(V2:V16)+SUM(E37:E42))</f>
        <v>#DIV/0!</v>
      </c>
      <c r="D30" s="1914"/>
      <c r="E30" s="1831"/>
      <c r="F30" s="1915"/>
      <c r="G30" s="1831"/>
      <c r="H30" s="1831"/>
      <c r="I30" s="1831"/>
      <c r="J30" s="1916"/>
      <c r="K30" s="1046"/>
      <c r="L30" s="3043" t="s">
        <v>1933</v>
      </c>
      <c r="M30" s="3044" t="s">
        <v>1987</v>
      </c>
      <c r="N30" s="3044" t="s">
        <v>1988</v>
      </c>
      <c r="O30" s="3044" t="s">
        <v>1989</v>
      </c>
      <c r="P30" s="3044" t="s">
        <v>1990</v>
      </c>
      <c r="Q30" s="3047" t="s">
        <v>3252</v>
      </c>
      <c r="R30" s="1050"/>
      <c r="S30" s="1050"/>
      <c r="T30" s="1047"/>
      <c r="U30" s="1047"/>
      <c r="V30" s="1047"/>
      <c r="W30" s="1046"/>
      <c r="X30" s="1046"/>
      <c r="Y30" s="1046"/>
      <c r="Z30" s="1051"/>
      <c r="AA30" s="1051"/>
      <c r="AB30" s="1051"/>
      <c r="AC30" s="1051"/>
      <c r="AD30" s="1051"/>
      <c r="AE30" s="1046"/>
      <c r="AF30" s="1046"/>
      <c r="AG30" s="1833"/>
      <c r="AH30" s="1833"/>
      <c r="AI30" s="1833"/>
      <c r="AJ30" s="1833"/>
    </row>
    <row r="31" spans="1:37" ht="15.75" thickBot="1">
      <c r="A31" s="1913"/>
      <c r="B31" s="1917" t="s">
        <v>2022</v>
      </c>
      <c r="C31" s="716" t="e">
        <f>E34+SUM(I37:I42)</f>
        <v>#DIV/0!</v>
      </c>
      <c r="D31" s="1918"/>
      <c r="E31" s="1919"/>
      <c r="F31" s="1920"/>
      <c r="G31" s="1919"/>
      <c r="H31" s="1919"/>
      <c r="I31" s="1919"/>
      <c r="J31" s="1921"/>
      <c r="K31" s="1046"/>
      <c r="L31" s="3045" t="s">
        <v>1993</v>
      </c>
      <c r="M31" s="161">
        <v>0.25</v>
      </c>
      <c r="N31" s="161">
        <v>0.2</v>
      </c>
      <c r="O31" s="161">
        <v>0.15</v>
      </c>
      <c r="P31" s="161">
        <v>0.1</v>
      </c>
      <c r="Q31" s="3040">
        <v>0.15</v>
      </c>
      <c r="R31" s="1050"/>
      <c r="S31" s="1050"/>
      <c r="T31" s="1047"/>
      <c r="U31" s="1047"/>
      <c r="V31" s="1047"/>
      <c r="W31" s="1046"/>
      <c r="X31" s="1046"/>
      <c r="Y31" s="1046"/>
      <c r="Z31" s="1051"/>
      <c r="AA31" s="1051"/>
      <c r="AB31" s="1051"/>
      <c r="AC31" s="1051"/>
      <c r="AD31" s="1051"/>
      <c r="AE31" s="1046"/>
      <c r="AF31" s="1046"/>
      <c r="AG31" s="1833"/>
      <c r="AH31" s="1833"/>
      <c r="AI31" s="1833"/>
      <c r="AJ31" s="1833"/>
    </row>
    <row r="32" spans="1:37" ht="15.75" thickBot="1">
      <c r="A32" s="1922"/>
      <c r="B32" s="1923" t="s">
        <v>2023</v>
      </c>
      <c r="C32" s="1924" t="s">
        <v>2024</v>
      </c>
      <c r="D32" s="1924" t="s">
        <v>2025</v>
      </c>
      <c r="E32" s="1925" t="s">
        <v>2026</v>
      </c>
      <c r="F32" s="1926"/>
      <c r="G32" s="1870"/>
      <c r="H32" s="1870"/>
      <c r="I32" s="1870"/>
      <c r="J32" s="1871"/>
      <c r="K32" s="1046"/>
      <c r="L32" s="3046" t="s">
        <v>1996</v>
      </c>
      <c r="M32" s="2343">
        <f>ROUND($E$24*(1+M31),3)</f>
        <v>5.3999999999999999E-2</v>
      </c>
      <c r="N32" s="2343">
        <f>ROUND($E$24*(1+N31),3)</f>
        <v>5.1999999999999998E-2</v>
      </c>
      <c r="O32" s="2343">
        <f>ROUND($E$24*(1+O31),3)</f>
        <v>0.05</v>
      </c>
      <c r="P32" s="2343">
        <f>ROUND($E$24*(1+P31),3)</f>
        <v>4.8000000000000001E-2</v>
      </c>
      <c r="Q32" s="3048">
        <f>ROUND($E$24*(1+Q31),3)</f>
        <v>0.05</v>
      </c>
      <c r="R32" s="1050"/>
      <c r="S32" s="1050"/>
      <c r="T32" s="1047"/>
      <c r="U32" s="1047"/>
      <c r="V32" s="1047"/>
      <c r="W32" s="1046"/>
      <c r="X32" s="1046"/>
      <c r="Y32" s="1046"/>
      <c r="Z32" s="1051"/>
      <c r="AA32" s="1051"/>
      <c r="AB32" s="1051"/>
      <c r="AC32" s="1051"/>
      <c r="AD32" s="1051"/>
      <c r="AE32" s="1046"/>
      <c r="AF32" s="1046"/>
      <c r="AG32" s="1833"/>
      <c r="AH32" s="1833"/>
      <c r="AI32" s="1833"/>
      <c r="AJ32" s="1833"/>
    </row>
    <row r="33" spans="1:37" ht="14.25">
      <c r="A33" s="1927"/>
      <c r="B33" s="1928" t="s">
        <v>2027</v>
      </c>
      <c r="C33" s="166" t="e">
        <f>ROUND(C5*C22*C23*C24*C25*C28,0)</f>
        <v>#DIV/0!</v>
      </c>
      <c r="D33" s="1929"/>
      <c r="E33" s="721" t="e">
        <f>ROUND(C33*D33/10000,0)</f>
        <v>#DIV/0!</v>
      </c>
      <c r="F33" s="3038" t="s">
        <v>3250</v>
      </c>
      <c r="G33" s="1930"/>
      <c r="H33" s="1930"/>
      <c r="I33" s="1930"/>
      <c r="J33" s="1931"/>
      <c r="K33" s="1046"/>
      <c r="L33" s="3041" t="s">
        <v>3253</v>
      </c>
      <c r="M33" s="3042">
        <v>5.5E-2</v>
      </c>
      <c r="N33" s="3042">
        <v>5.5E-2</v>
      </c>
      <c r="O33" s="3042">
        <v>0.05</v>
      </c>
      <c r="P33" s="3042">
        <v>0.05</v>
      </c>
      <c r="Q33" s="3042">
        <v>0.05</v>
      </c>
      <c r="R33" s="1050"/>
      <c r="S33" s="1050"/>
      <c r="T33" s="1047"/>
      <c r="U33" s="1047"/>
      <c r="V33" s="1047"/>
      <c r="W33" s="1046"/>
      <c r="X33" s="1046"/>
      <c r="Y33" s="1046"/>
      <c r="Z33" s="1051"/>
      <c r="AA33" s="1051"/>
      <c r="AB33" s="1051"/>
      <c r="AC33" s="1051"/>
      <c r="AD33" s="1051"/>
      <c r="AE33" s="1047"/>
      <c r="AF33" s="1047"/>
      <c r="AG33" s="1969"/>
      <c r="AH33" s="1969"/>
      <c r="AI33" s="1969"/>
      <c r="AJ33" s="1969"/>
    </row>
    <row r="34" spans="1:37" ht="25.5" thickBot="1">
      <c r="A34" s="1932"/>
      <c r="B34" s="1933" t="s">
        <v>2028</v>
      </c>
      <c r="C34" s="178" t="e">
        <f>ROUND(IF(E2="工业",C33*M42,IF(B25="楼层修正",SUM(V2:V16)*M41*10000/D34,C33*M41)),0)</f>
        <v>#DIV/0!</v>
      </c>
      <c r="D34" s="1934"/>
      <c r="E34" s="721" t="e">
        <f>ROUND(IF(B25="楼层修正",SUM(V2:V16)*M40,C34*D34/10000),0)</f>
        <v>#DIV/0!</v>
      </c>
      <c r="F34" s="1935" t="s">
        <v>2029</v>
      </c>
      <c r="G34" s="1936"/>
      <c r="H34" s="1936"/>
      <c r="I34" s="1936"/>
      <c r="J34" s="1937"/>
      <c r="K34" s="1046"/>
      <c r="L34" s="3041" t="s">
        <v>3254</v>
      </c>
      <c r="M34" s="3042">
        <v>6.5000000000000002E-2</v>
      </c>
      <c r="N34" s="3042">
        <v>6.5000000000000002E-2</v>
      </c>
      <c r="O34" s="3042">
        <v>0.06</v>
      </c>
      <c r="P34" s="3042">
        <v>0.06</v>
      </c>
      <c r="Q34" s="3042">
        <v>0.06</v>
      </c>
      <c r="R34" s="1050"/>
      <c r="S34" s="1050"/>
      <c r="T34" s="1047"/>
      <c r="U34" s="1047"/>
      <c r="V34" s="1047"/>
      <c r="W34" s="1046"/>
      <c r="X34" s="1046"/>
      <c r="Y34" s="1046"/>
      <c r="Z34" s="1051"/>
      <c r="AA34" s="1051"/>
      <c r="AB34" s="1051"/>
      <c r="AC34" s="1051"/>
      <c r="AD34" s="1051"/>
      <c r="AE34" s="1047"/>
      <c r="AF34" s="1047"/>
      <c r="AG34" s="1969"/>
      <c r="AH34" s="1969"/>
      <c r="AI34" s="1969"/>
      <c r="AJ34" s="1969"/>
    </row>
    <row r="35" spans="1:37">
      <c r="A35" s="1938"/>
      <c r="B35" s="1939" t="s">
        <v>2030</v>
      </c>
      <c r="C35" s="3039" t="s">
        <v>3251</v>
      </c>
      <c r="D35" s="1870"/>
      <c r="E35" s="1940"/>
      <c r="F35" s="1940"/>
      <c r="G35" s="1868" t="s">
        <v>2031</v>
      </c>
      <c r="H35" s="1870"/>
      <c r="I35" s="1941"/>
      <c r="J35" s="1871"/>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9"/>
      <c r="AH35" s="1969"/>
      <c r="AI35" s="1969"/>
      <c r="AJ35" s="1969"/>
    </row>
    <row r="36" spans="1:37" ht="24.75" thickBot="1">
      <c r="A36" s="1927"/>
      <c r="B36" s="1942"/>
      <c r="C36" s="435" t="s">
        <v>2024</v>
      </c>
      <c r="D36" s="432" t="s">
        <v>2025</v>
      </c>
      <c r="E36" s="432" t="s">
        <v>2026</v>
      </c>
      <c r="F36" s="332" t="s">
        <v>2032</v>
      </c>
      <c r="G36" s="1943" t="s">
        <v>2024</v>
      </c>
      <c r="H36" s="1943" t="s">
        <v>2025</v>
      </c>
      <c r="I36" s="1943" t="s">
        <v>2026</v>
      </c>
      <c r="J36" s="234"/>
      <c r="K36" s="1953" t="s">
        <v>3255</v>
      </c>
      <c r="L36" s="3129">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46"/>
      <c r="S36" s="1046"/>
      <c r="T36" s="1046"/>
      <c r="U36" s="1046"/>
      <c r="V36" s="1046"/>
      <c r="W36" s="1046"/>
      <c r="X36" s="1046"/>
      <c r="Y36" s="1046"/>
      <c r="Z36" s="1047"/>
      <c r="AA36" s="1047"/>
      <c r="AB36" s="1047"/>
      <c r="AC36" s="1047"/>
      <c r="AD36" s="1047"/>
      <c r="AE36" s="1047"/>
      <c r="AF36" s="1047"/>
      <c r="AG36" s="1969"/>
      <c r="AH36" s="1969"/>
      <c r="AI36" s="1969"/>
      <c r="AJ36" s="1969"/>
    </row>
    <row r="37" spans="1:37" ht="24.75" thickBot="1">
      <c r="A37" s="3505"/>
      <c r="B37" s="1944" t="s">
        <v>2033</v>
      </c>
      <c r="C37" s="166" t="e">
        <f>ROUND(D5*C22*C23*C24*C28*F37,0)</f>
        <v>#DIV/0!</v>
      </c>
      <c r="D37" s="1929"/>
      <c r="E37" s="162" t="e">
        <f>ROUND(C37*D37/10000,0)</f>
        <v>#DIV/0!</v>
      </c>
      <c r="F37" s="162">
        <f>SUMIF(修正!A57:A68,G2,修正!B57:B68)</f>
        <v>0</v>
      </c>
      <c r="G37" s="162" t="e">
        <f>ROUND(IF(E2="工业",C37*$M$42,C37*$M$41),0)</f>
        <v>#DIV/0!</v>
      </c>
      <c r="H37" s="162">
        <f>D37</f>
        <v>0</v>
      </c>
      <c r="I37" s="162" t="e">
        <f>ROUND(G37*H37/10000,0)</f>
        <v>#DIV/0!</v>
      </c>
      <c r="J37" s="2742"/>
      <c r="K37" s="3049" t="s">
        <v>3256</v>
      </c>
      <c r="L37" s="1953">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46"/>
      <c r="S37" s="1046"/>
      <c r="T37" s="1046"/>
      <c r="U37" s="1046"/>
      <c r="V37" s="1046"/>
      <c r="W37" s="1046"/>
      <c r="X37" s="1046"/>
      <c r="Y37" s="1046"/>
      <c r="Z37" s="1047"/>
      <c r="AA37" s="1047"/>
      <c r="AB37" s="1047"/>
      <c r="AC37" s="1047"/>
      <c r="AD37" s="1047"/>
      <c r="AE37" s="1047"/>
      <c r="AF37" s="1047"/>
      <c r="AG37" s="1969"/>
      <c r="AH37" s="1969"/>
      <c r="AI37" s="1969"/>
      <c r="AJ37" s="1969"/>
    </row>
    <row r="38" spans="1:37">
      <c r="A38" s="3506"/>
      <c r="B38" s="1873" t="s">
        <v>2034</v>
      </c>
      <c r="C38" s="166" t="e">
        <f>ROUND(D5*C22*C23*C24*C28*F38,0)</f>
        <v>#DIV/0!</v>
      </c>
      <c r="D38" s="192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1"/>
      <c r="K38" s="1953">
        <v>5.0000000000000001E-3</v>
      </c>
      <c r="L38" s="1953"/>
      <c r="M38" s="1953"/>
      <c r="N38" s="1953"/>
      <c r="O38" s="1953"/>
      <c r="P38" s="1953"/>
      <c r="Q38" s="1953"/>
      <c r="R38" s="1046"/>
      <c r="S38" s="1046"/>
      <c r="T38" s="1046"/>
      <c r="U38" s="1046"/>
      <c r="V38" s="1046"/>
      <c r="W38" s="1046"/>
      <c r="X38" s="1046"/>
      <c r="Y38" s="1046"/>
      <c r="Z38" s="1047"/>
      <c r="AA38" s="1047"/>
      <c r="AB38" s="1047"/>
      <c r="AC38" s="1047"/>
      <c r="AD38" s="1047"/>
    </row>
    <row r="39" spans="1:37" ht="13.5" thickBot="1">
      <c r="A39" s="3506"/>
      <c r="B39" s="1873" t="s">
        <v>3249</v>
      </c>
      <c r="C39" s="166" t="e">
        <f>ROUND(D5*C22*C23*C24*C28*F39,0)</f>
        <v>#DIV/0!</v>
      </c>
      <c r="D39" s="1929"/>
      <c r="E39" s="162" t="e">
        <f t="shared" si="4"/>
        <v>#DIV/0!</v>
      </c>
      <c r="F39" s="162">
        <f>SUMIF(修正!A57:A68,G2,修正!D57:D68)</f>
        <v>0</v>
      </c>
      <c r="G39" s="162" t="e">
        <f>ROUND(IF(E2="工业",C39*$M$42,C39*$M$41),0)</f>
        <v>#DIV/0!</v>
      </c>
      <c r="H39" s="162">
        <f t="shared" si="5"/>
        <v>0</v>
      </c>
      <c r="I39" s="162" t="e">
        <f t="shared" si="6"/>
        <v>#DIV/0!</v>
      </c>
      <c r="J39" s="2741"/>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5"/>
      <c r="B40" s="1873" t="s">
        <v>2035</v>
      </c>
      <c r="C40" s="162" t="e">
        <f>ROUND(D5*C22*C23*C24*C28*F40,0)</f>
        <v>#DIV/0!</v>
      </c>
      <c r="D40" s="1929"/>
      <c r="E40" s="162" t="e">
        <f t="shared" si="4"/>
        <v>#DIV/0!</v>
      </c>
      <c r="F40" s="166">
        <f>SUMIF(修正!A57:A68,G2,修正!E57:E68)</f>
        <v>0</v>
      </c>
      <c r="G40" s="162" t="e">
        <f>ROUND(IF(E2="工业",C40*$M$42,C40*$M$41),0)</f>
        <v>#DIV/0!</v>
      </c>
      <c r="H40" s="162">
        <f t="shared" si="5"/>
        <v>0</v>
      </c>
      <c r="I40" s="162" t="e">
        <f t="shared" si="6"/>
        <v>#DIV/0!</v>
      </c>
      <c r="J40" s="932"/>
      <c r="L40" s="1946" t="s">
        <v>2036</v>
      </c>
      <c r="M40" s="1947"/>
      <c r="Z40" s="1047"/>
      <c r="AA40" s="1047"/>
      <c r="AB40" s="1047"/>
      <c r="AC40" s="1047"/>
      <c r="AD40" s="1047"/>
      <c r="AE40" s="1047"/>
      <c r="AF40" s="1047"/>
      <c r="AG40" s="1047"/>
      <c r="AH40" s="1047"/>
      <c r="AI40" s="1047"/>
      <c r="AJ40" s="1047"/>
    </row>
    <row r="41" spans="1:37" s="1046" customFormat="1">
      <c r="A41" s="1945"/>
      <c r="B41" s="1873" t="s">
        <v>2037</v>
      </c>
      <c r="C41" s="162" t="e">
        <f>ROUND(D5*C22*C23*C44*C28*F41,0)</f>
        <v>#DIV/0!</v>
      </c>
      <c r="D41" s="1929"/>
      <c r="E41" s="162" t="e">
        <f t="shared" si="4"/>
        <v>#DIV/0!</v>
      </c>
      <c r="F41" s="166">
        <f>SUMIF(修正!A57:A68,G2,修正!F57:F68)</f>
        <v>0</v>
      </c>
      <c r="G41" s="162" t="e">
        <f>ROUND(IF(E2="工业",C41*$M$42,C41*$M$41),0)</f>
        <v>#DIV/0!</v>
      </c>
      <c r="H41" s="162">
        <f t="shared" si="5"/>
        <v>0</v>
      </c>
      <c r="I41" s="162" t="e">
        <f t="shared" si="6"/>
        <v>#DIV/0!</v>
      </c>
      <c r="J41" s="932"/>
      <c r="L41" s="3050" t="s">
        <v>3257</v>
      </c>
      <c r="M41" s="1948">
        <v>0.25</v>
      </c>
      <c r="Z41" s="1047"/>
      <c r="AA41" s="1047"/>
      <c r="AB41" s="1047"/>
      <c r="AC41" s="1047"/>
      <c r="AD41" s="1047"/>
      <c r="AE41" s="1047"/>
      <c r="AF41" s="1047"/>
      <c r="AG41" s="1047"/>
      <c r="AH41" s="1047"/>
      <c r="AI41" s="1047"/>
      <c r="AJ41" s="1047"/>
    </row>
    <row r="42" spans="1:37" s="1046" customFormat="1" ht="13.5" thickBot="1">
      <c r="A42" s="1932"/>
      <c r="B42" s="1949" t="s">
        <v>2038</v>
      </c>
      <c r="C42" s="178" t="e">
        <f>ROUND(D5*C22*C23*C44*C28*F42,0)</f>
        <v>#DIV/0!</v>
      </c>
      <c r="D42" s="1934"/>
      <c r="E42" s="178" t="e">
        <f t="shared" si="4"/>
        <v>#DIV/0!</v>
      </c>
      <c r="F42" s="717">
        <f>SUMIF(修正!A57:A68,G2,修正!G57:G68)</f>
        <v>0</v>
      </c>
      <c r="G42" s="178" t="e">
        <f>ROUND(IF(E2="工业",C42*$M$42,C42*$M$41),0)</f>
        <v>#DIV/0!</v>
      </c>
      <c r="H42" s="178">
        <f t="shared" si="5"/>
        <v>0</v>
      </c>
      <c r="I42" s="178" t="e">
        <f t="shared" si="6"/>
        <v>#DIV/0!</v>
      </c>
      <c r="J42" s="1950"/>
      <c r="L42" s="1951" t="s">
        <v>1990</v>
      </c>
      <c r="M42" s="1952">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81" t="s">
        <v>2114</v>
      </c>
      <c r="C44" s="332" t="e">
        <f>ROUND(POWER(1+E44,H44-G44)*(POWER(1+E44,G44)-1)/(POWER(1+E44,H44)-1),4)</f>
        <v>#DIV/0!</v>
      </c>
      <c r="D44" s="162" t="s">
        <v>1996</v>
      </c>
      <c r="E44" s="1980">
        <f>G24</f>
        <v>0</v>
      </c>
      <c r="F44" s="162" t="s">
        <v>2005</v>
      </c>
      <c r="G44" s="174"/>
      <c r="H44" s="162">
        <v>50</v>
      </c>
      <c r="Z44" s="1047"/>
      <c r="AA44" s="1047"/>
      <c r="AB44" s="1047"/>
      <c r="AC44" s="1047"/>
      <c r="AD44" s="1047"/>
      <c r="AE44" s="1047"/>
      <c r="AF44" s="1047"/>
      <c r="AG44" s="1047"/>
      <c r="AH44" s="1047"/>
      <c r="AI44" s="1047"/>
      <c r="AJ44" s="1047"/>
    </row>
    <row r="45" spans="1:37" s="1046" customFormat="1">
      <c r="A45" s="1047"/>
      <c r="B45" s="1953"/>
      <c r="Z45" s="1047"/>
      <c r="AA45" s="1047"/>
      <c r="AB45" s="1047"/>
      <c r="AC45" s="1047"/>
      <c r="AD45" s="1047"/>
      <c r="AE45" s="1047"/>
      <c r="AF45" s="1047"/>
      <c r="AG45" s="1047"/>
      <c r="AH45" s="1047"/>
      <c r="AI45" s="1047"/>
      <c r="AJ45" s="1047"/>
    </row>
    <row r="46" spans="1:37" s="1046" customFormat="1">
      <c r="A46" s="1047"/>
      <c r="B46" s="1953"/>
      <c r="AA46" s="1047"/>
      <c r="AB46" s="1047"/>
      <c r="AC46" s="1047"/>
      <c r="AD46" s="1047"/>
      <c r="AE46" s="1047"/>
      <c r="AF46" s="1047"/>
      <c r="AG46" s="1047"/>
      <c r="AH46" s="1047"/>
      <c r="AI46" s="1047"/>
      <c r="AJ46" s="1047"/>
      <c r="AK46" s="1047"/>
    </row>
    <row r="47" spans="1:37" s="1046" customFormat="1" ht="15.75" thickBot="1">
      <c r="A47" s="1954" t="s">
        <v>2039</v>
      </c>
      <c r="B47" s="1955"/>
      <c r="C47" s="4"/>
      <c r="D47" s="4"/>
      <c r="E47" s="4"/>
      <c r="F47" s="3"/>
      <c r="G47" s="3"/>
      <c r="H47" s="3"/>
      <c r="I47" s="1670"/>
      <c r="J47" s="1670"/>
      <c r="K47" s="1670"/>
      <c r="L47" s="1670"/>
      <c r="M47" s="1670"/>
      <c r="AA47" s="1047"/>
      <c r="AB47" s="1047"/>
      <c r="AC47" s="1047"/>
      <c r="AD47" s="1047"/>
      <c r="AE47" s="1047"/>
      <c r="AF47" s="1047"/>
      <c r="AG47" s="1047"/>
      <c r="AH47" s="1047"/>
      <c r="AI47" s="1047"/>
      <c r="AJ47" s="1047"/>
      <c r="AK47" s="1047"/>
    </row>
    <row r="48" spans="1:37" s="1046" customFormat="1" ht="15">
      <c r="A48" s="1956" t="s">
        <v>2040</v>
      </c>
      <c r="B48" s="1957">
        <f>1+E50</f>
        <v>1</v>
      </c>
      <c r="C48" s="1715"/>
      <c r="D48" s="693"/>
      <c r="E48" s="694"/>
      <c r="F48" s="1958"/>
      <c r="G48" s="3"/>
      <c r="H48" s="4"/>
      <c r="I48" s="1670"/>
      <c r="J48" s="1670"/>
      <c r="K48" s="1670"/>
      <c r="L48" s="1670"/>
      <c r="M48" s="1670"/>
      <c r="AA48" s="1047"/>
      <c r="AB48" s="1047"/>
      <c r="AC48" s="1047"/>
      <c r="AD48" s="1047"/>
      <c r="AE48" s="1047"/>
      <c r="AF48" s="1047"/>
      <c r="AG48" s="1047"/>
      <c r="AH48" s="1047"/>
      <c r="AI48" s="1047"/>
      <c r="AJ48" s="1047"/>
      <c r="AK48" s="1047"/>
    </row>
    <row r="49" spans="1:37" s="1046" customFormat="1" ht="24.75">
      <c r="A49" s="1959" t="s">
        <v>2041</v>
      </c>
      <c r="B49" s="1251" t="s">
        <v>2042</v>
      </c>
      <c r="C49" s="1251" t="s">
        <v>2043</v>
      </c>
      <c r="D49" s="1251" t="s">
        <v>2044</v>
      </c>
      <c r="E49" s="695" t="s">
        <v>2045</v>
      </c>
      <c r="F49" s="1960" t="s">
        <v>2046</v>
      </c>
      <c r="G49" s="1251" t="s">
        <v>310</v>
      </c>
      <c r="H49" s="1961" t="s">
        <v>2047</v>
      </c>
      <c r="I49" s="1251" t="s">
        <v>2048</v>
      </c>
      <c r="J49" s="529" t="s">
        <v>1718</v>
      </c>
      <c r="K49" s="529" t="s">
        <v>1719</v>
      </c>
      <c r="L49" s="529" t="s">
        <v>1720</v>
      </c>
      <c r="M49" s="529" t="s">
        <v>1721</v>
      </c>
      <c r="N49" s="529" t="s">
        <v>1722</v>
      </c>
      <c r="AA49" s="1047"/>
      <c r="AB49" s="1047"/>
      <c r="AC49" s="1047"/>
      <c r="AD49" s="1047"/>
      <c r="AE49" s="1047"/>
      <c r="AF49" s="1047"/>
      <c r="AG49" s="1047"/>
      <c r="AH49" s="1047"/>
      <c r="AI49" s="1047"/>
      <c r="AJ49" s="1047"/>
      <c r="AK49" s="1047"/>
    </row>
    <row r="50" spans="1:37" s="1046" customFormat="1" ht="24.75">
      <c r="A50" s="1959" t="s">
        <v>2049</v>
      </c>
      <c r="B50" s="1962" t="str">
        <f>估价对象房地状况!C4</f>
        <v>一般</v>
      </c>
      <c r="C50" s="1876"/>
      <c r="D50" s="992">
        <f t="shared" ref="D50:D58" si="7">SUMIF($J$49:$N$49,C50,J50:N50)</f>
        <v>0</v>
      </c>
      <c r="E50" s="696">
        <f>ROUND(SUM(D50:D58),4)</f>
        <v>0</v>
      </c>
      <c r="F50" s="1664" t="str">
        <f>IF(E2="商业",SUMIF(L1:L12,G2,N1:N12),"——")</f>
        <v>——</v>
      </c>
      <c r="G50" s="990"/>
      <c r="H50" s="993" t="str">
        <f t="shared" ref="H50:H58" si="8">IFERROR(ROUNDDOWN($F$50*I50/2,4),"——")</f>
        <v>——</v>
      </c>
      <c r="I50" s="3056">
        <v>0.3</v>
      </c>
      <c r="J50" s="991">
        <f t="shared" ref="J50:J58" si="9">K50+$G50</f>
        <v>0</v>
      </c>
      <c r="K50" s="991">
        <f t="shared" ref="K50:K58" si="10">$L50+$G50</f>
        <v>0</v>
      </c>
      <c r="L50" s="991">
        <v>0</v>
      </c>
      <c r="M50" s="991">
        <f t="shared" ref="M50:N58" si="11">L50-$G50</f>
        <v>0</v>
      </c>
      <c r="N50" s="991">
        <f t="shared" si="11"/>
        <v>0</v>
      </c>
      <c r="AA50" s="1047"/>
      <c r="AB50" s="1047"/>
      <c r="AC50" s="1047"/>
      <c r="AD50" s="1047"/>
      <c r="AE50" s="1047"/>
      <c r="AF50" s="1047"/>
      <c r="AG50" s="1047"/>
      <c r="AH50" s="1047"/>
      <c r="AI50" s="1047"/>
      <c r="AJ50" s="1047"/>
      <c r="AK50" s="1047"/>
    </row>
    <row r="51" spans="1:37" s="1046" customFormat="1" ht="14.25">
      <c r="A51" s="1959" t="s">
        <v>2050</v>
      </c>
      <c r="B51" s="1251" t="str">
        <f>估价对象房地状况!C18</f>
        <v>一般</v>
      </c>
      <c r="C51" s="1876"/>
      <c r="D51" s="992">
        <f t="shared" si="7"/>
        <v>0</v>
      </c>
      <c r="E51" s="697"/>
      <c r="F51" s="1664"/>
      <c r="G51" s="990"/>
      <c r="H51" s="993" t="str">
        <f t="shared" si="8"/>
        <v>——</v>
      </c>
      <c r="I51" s="3056">
        <v>0.22</v>
      </c>
      <c r="J51" s="991">
        <f t="shared" si="9"/>
        <v>0</v>
      </c>
      <c r="K51" s="991">
        <f t="shared" si="10"/>
        <v>0</v>
      </c>
      <c r="L51" s="991">
        <v>0</v>
      </c>
      <c r="M51" s="991">
        <f t="shared" si="11"/>
        <v>0</v>
      </c>
      <c r="N51" s="991">
        <f t="shared" si="11"/>
        <v>0</v>
      </c>
      <c r="AA51" s="1047"/>
      <c r="AB51" s="1047"/>
      <c r="AC51" s="1047"/>
      <c r="AD51" s="1047"/>
      <c r="AE51" s="1047"/>
      <c r="AF51" s="1047"/>
      <c r="AG51" s="1047"/>
      <c r="AH51" s="1047"/>
      <c r="AI51" s="1047"/>
      <c r="AJ51" s="1047"/>
      <c r="AK51" s="1047"/>
    </row>
    <row r="52" spans="1:37" s="1046" customFormat="1" ht="36">
      <c r="A52" s="3058" t="s">
        <v>3259</v>
      </c>
      <c r="B52" s="1251">
        <f>估价对象房地状况!C19</f>
        <v>0</v>
      </c>
      <c r="C52" s="1876"/>
      <c r="D52" s="992">
        <f t="shared" si="7"/>
        <v>0</v>
      </c>
      <c r="E52" s="697"/>
      <c r="F52" s="1664"/>
      <c r="G52" s="990"/>
      <c r="H52" s="993" t="str">
        <f t="shared" si="8"/>
        <v>——</v>
      </c>
      <c r="I52" s="3056">
        <v>0.12</v>
      </c>
      <c r="J52" s="991">
        <f t="shared" si="9"/>
        <v>0</v>
      </c>
      <c r="K52" s="991">
        <f t="shared" si="10"/>
        <v>0</v>
      </c>
      <c r="L52" s="991">
        <v>0</v>
      </c>
      <c r="M52" s="991">
        <f t="shared" si="11"/>
        <v>0</v>
      </c>
      <c r="N52" s="991">
        <f t="shared" si="11"/>
        <v>0</v>
      </c>
      <c r="AA52" s="1047"/>
      <c r="AB52" s="1047"/>
      <c r="AC52" s="1047"/>
      <c r="AD52" s="1047"/>
      <c r="AE52" s="1047"/>
      <c r="AF52" s="1047"/>
      <c r="AG52" s="1047"/>
      <c r="AH52" s="1047"/>
      <c r="AI52" s="1047"/>
      <c r="AJ52" s="1047"/>
      <c r="AK52" s="1047"/>
    </row>
    <row r="53" spans="1:37" s="1046" customFormat="1" ht="36.75">
      <c r="A53" s="1959" t="s">
        <v>2051</v>
      </c>
      <c r="B53" s="1963" t="s">
        <v>2052</v>
      </c>
      <c r="C53" s="1876"/>
      <c r="D53" s="992">
        <f t="shared" si="7"/>
        <v>0</v>
      </c>
      <c r="E53" s="697"/>
      <c r="F53" s="1664"/>
      <c r="G53" s="990"/>
      <c r="H53" s="993" t="str">
        <f t="shared" si="8"/>
        <v>——</v>
      </c>
      <c r="I53" s="3056">
        <v>0.05</v>
      </c>
      <c r="J53" s="991">
        <f t="shared" si="9"/>
        <v>0</v>
      </c>
      <c r="K53" s="991">
        <f t="shared" si="10"/>
        <v>0</v>
      </c>
      <c r="L53" s="991">
        <v>0</v>
      </c>
      <c r="M53" s="991">
        <f t="shared" si="11"/>
        <v>0</v>
      </c>
      <c r="N53" s="991">
        <f t="shared" si="11"/>
        <v>0</v>
      </c>
      <c r="AA53" s="1047"/>
      <c r="AB53" s="1047"/>
      <c r="AC53" s="1047"/>
      <c r="AD53" s="1047"/>
      <c r="AE53" s="1047"/>
      <c r="AF53" s="1047"/>
      <c r="AG53" s="1047"/>
      <c r="AH53" s="1047"/>
      <c r="AI53" s="1047"/>
      <c r="AJ53" s="1047"/>
      <c r="AK53" s="1047"/>
    </row>
    <row r="54" spans="1:37" s="1046" customFormat="1" ht="24">
      <c r="A54" s="1959" t="s">
        <v>2053</v>
      </c>
      <c r="B54" s="1251" t="str">
        <f>估价对象房地状况!C24</f>
        <v>次干道-凉水河路</v>
      </c>
      <c r="C54" s="1876"/>
      <c r="D54" s="992">
        <f t="shared" si="7"/>
        <v>0</v>
      </c>
      <c r="E54" s="697"/>
      <c r="F54" s="1664"/>
      <c r="G54" s="990"/>
      <c r="H54" s="993" t="str">
        <f t="shared" si="8"/>
        <v>——</v>
      </c>
      <c r="I54" s="3056">
        <v>0.08</v>
      </c>
      <c r="J54" s="991">
        <f t="shared" si="9"/>
        <v>0</v>
      </c>
      <c r="K54" s="991">
        <f t="shared" si="10"/>
        <v>0</v>
      </c>
      <c r="L54" s="991">
        <v>0</v>
      </c>
      <c r="M54" s="991">
        <f t="shared" si="11"/>
        <v>0</v>
      </c>
      <c r="N54" s="991">
        <f t="shared" si="11"/>
        <v>0</v>
      </c>
      <c r="AA54" s="1047"/>
      <c r="AB54" s="1047"/>
      <c r="AC54" s="1047"/>
      <c r="AD54" s="1047"/>
      <c r="AE54" s="1047"/>
      <c r="AF54" s="1047"/>
      <c r="AG54" s="1047"/>
      <c r="AH54" s="1047"/>
      <c r="AI54" s="1047"/>
      <c r="AJ54" s="1047"/>
      <c r="AK54" s="1047"/>
    </row>
    <row r="55" spans="1:37" s="1046" customFormat="1" ht="24">
      <c r="A55" s="1959" t="s">
        <v>2054</v>
      </c>
      <c r="B55" s="1964" t="s">
        <v>2055</v>
      </c>
      <c r="C55" s="1876"/>
      <c r="D55" s="992">
        <f t="shared" si="7"/>
        <v>0</v>
      </c>
      <c r="E55" s="697"/>
      <c r="F55" s="1664"/>
      <c r="G55" s="990"/>
      <c r="H55" s="993" t="str">
        <f t="shared" si="8"/>
        <v>——</v>
      </c>
      <c r="I55" s="3056">
        <v>0.05</v>
      </c>
      <c r="J55" s="991">
        <f t="shared" si="9"/>
        <v>0</v>
      </c>
      <c r="K55" s="991">
        <f t="shared" si="10"/>
        <v>0</v>
      </c>
      <c r="L55" s="991">
        <v>0</v>
      </c>
      <c r="M55" s="991">
        <f t="shared" si="11"/>
        <v>0</v>
      </c>
      <c r="N55" s="991">
        <f t="shared" si="11"/>
        <v>0</v>
      </c>
      <c r="AA55" s="1047"/>
      <c r="AB55" s="1047"/>
      <c r="AC55" s="1047"/>
      <c r="AD55" s="1047"/>
      <c r="AE55" s="1047"/>
      <c r="AF55" s="1047"/>
      <c r="AG55" s="1047"/>
      <c r="AH55" s="1047"/>
      <c r="AI55" s="1047"/>
      <c r="AJ55" s="1047"/>
      <c r="AK55" s="1047"/>
    </row>
    <row r="56" spans="1:37" s="1046" customFormat="1" ht="24">
      <c r="A56" s="1965" t="s">
        <v>2056</v>
      </c>
      <c r="B56" s="1230" t="str">
        <f>估价对象房地状况!C21</f>
        <v>较好</v>
      </c>
      <c r="C56" s="1876"/>
      <c r="D56" s="992">
        <f t="shared" si="7"/>
        <v>0</v>
      </c>
      <c r="E56" s="697"/>
      <c r="F56" s="1664"/>
      <c r="G56" s="990"/>
      <c r="H56" s="993" t="str">
        <f t="shared" si="8"/>
        <v>——</v>
      </c>
      <c r="I56" s="3056">
        <v>0.05</v>
      </c>
      <c r="J56" s="991">
        <f t="shared" si="9"/>
        <v>0</v>
      </c>
      <c r="K56" s="991">
        <f t="shared" si="10"/>
        <v>0</v>
      </c>
      <c r="L56" s="991">
        <v>0</v>
      </c>
      <c r="M56" s="991">
        <f t="shared" si="11"/>
        <v>0</v>
      </c>
      <c r="N56" s="991">
        <f t="shared" si="11"/>
        <v>0</v>
      </c>
      <c r="AA56" s="1047"/>
      <c r="AB56" s="1047"/>
      <c r="AC56" s="1047"/>
      <c r="AD56" s="1047"/>
      <c r="AE56" s="1047"/>
      <c r="AF56" s="1047"/>
      <c r="AG56" s="1047"/>
      <c r="AH56" s="1047"/>
      <c r="AI56" s="1047"/>
      <c r="AJ56" s="1047"/>
      <c r="AK56" s="1047"/>
    </row>
    <row r="57" spans="1:37" s="1046" customFormat="1" ht="24">
      <c r="A57" s="1965" t="s">
        <v>2057</v>
      </c>
      <c r="B57" s="1251" t="str">
        <f>估价对象房地状况!C22</f>
        <v>七通</v>
      </c>
      <c r="C57" s="1876"/>
      <c r="D57" s="992">
        <f t="shared" si="7"/>
        <v>0</v>
      </c>
      <c r="E57" s="697"/>
      <c r="F57" s="1664"/>
      <c r="G57" s="990"/>
      <c r="H57" s="993" t="str">
        <f t="shared" si="8"/>
        <v>——</v>
      </c>
      <c r="I57" s="3056">
        <v>0.08</v>
      </c>
      <c r="J57" s="991">
        <f t="shared" si="9"/>
        <v>0</v>
      </c>
      <c r="K57" s="991">
        <f t="shared" si="10"/>
        <v>0</v>
      </c>
      <c r="L57" s="991">
        <v>0</v>
      </c>
      <c r="M57" s="991">
        <f t="shared" si="11"/>
        <v>0</v>
      </c>
      <c r="N57" s="991">
        <f t="shared" si="11"/>
        <v>0</v>
      </c>
      <c r="AA57" s="1047"/>
      <c r="AB57" s="1047"/>
      <c r="AC57" s="1047"/>
      <c r="AD57" s="1047"/>
      <c r="AE57" s="1047"/>
      <c r="AF57" s="1047"/>
      <c r="AG57" s="1047"/>
      <c r="AH57" s="1047"/>
      <c r="AI57" s="1047"/>
      <c r="AJ57" s="1047"/>
      <c r="AK57" s="1047"/>
    </row>
    <row r="58" spans="1:37" s="1046" customFormat="1" ht="24.75" thickBot="1">
      <c r="A58" s="1966" t="s">
        <v>2058</v>
      </c>
      <c r="B58" s="1967" t="str">
        <f>估价对象房地状况!C20</f>
        <v>一般</v>
      </c>
      <c r="C58" s="1876"/>
      <c r="D58" s="992">
        <f t="shared" si="7"/>
        <v>0</v>
      </c>
      <c r="E58" s="698"/>
      <c r="F58" s="1664"/>
      <c r="G58" s="990"/>
      <c r="H58" s="993" t="str">
        <f t="shared" si="8"/>
        <v>——</v>
      </c>
      <c r="I58" s="3057">
        <v>0.05</v>
      </c>
      <c r="J58" s="991">
        <f t="shared" si="9"/>
        <v>0</v>
      </c>
      <c r="K58" s="991">
        <f t="shared" si="10"/>
        <v>0</v>
      </c>
      <c r="L58" s="991">
        <v>0</v>
      </c>
      <c r="M58" s="991">
        <f t="shared" si="11"/>
        <v>0</v>
      </c>
      <c r="N58" s="991">
        <f t="shared" si="11"/>
        <v>0</v>
      </c>
      <c r="AA58" s="1047"/>
      <c r="AB58" s="1047"/>
      <c r="AC58" s="1047"/>
      <c r="AD58" s="1047"/>
      <c r="AE58" s="1047"/>
      <c r="AF58" s="1047"/>
      <c r="AG58" s="1047"/>
      <c r="AH58" s="1047"/>
      <c r="AI58" s="1047"/>
      <c r="AJ58" s="1047"/>
      <c r="AK58" s="1047"/>
    </row>
    <row r="59" spans="1:37" s="1046" customFormat="1" ht="15">
      <c r="A59" s="1956" t="s">
        <v>2059</v>
      </c>
      <c r="B59" s="1957">
        <f>1+E61</f>
        <v>1</v>
      </c>
      <c r="C59" s="693"/>
      <c r="D59" s="693"/>
      <c r="E59" s="694"/>
      <c r="F59" s="1958"/>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9" t="s">
        <v>2041</v>
      </c>
      <c r="B60" s="1251"/>
      <c r="C60" s="1251" t="s">
        <v>2043</v>
      </c>
      <c r="D60" s="1251" t="s">
        <v>2044</v>
      </c>
      <c r="E60" s="695" t="s">
        <v>2045</v>
      </c>
      <c r="F60" s="1960" t="s">
        <v>2060</v>
      </c>
      <c r="G60" s="1251" t="s">
        <v>310</v>
      </c>
      <c r="H60" s="1961" t="s">
        <v>2047</v>
      </c>
      <c r="I60" s="1251" t="s">
        <v>2048</v>
      </c>
      <c r="J60" s="529" t="s">
        <v>1718</v>
      </c>
      <c r="K60" s="529" t="s">
        <v>1719</v>
      </c>
      <c r="L60" s="529" t="s">
        <v>1720</v>
      </c>
      <c r="M60" s="529" t="s">
        <v>1721</v>
      </c>
      <c r="N60" s="529" t="s">
        <v>1722</v>
      </c>
      <c r="AA60" s="1047"/>
      <c r="AB60" s="1047"/>
      <c r="AC60" s="1047"/>
      <c r="AD60" s="1047"/>
      <c r="AE60" s="1047"/>
      <c r="AF60" s="1047"/>
      <c r="AG60" s="1047"/>
      <c r="AH60" s="1047"/>
      <c r="AI60" s="1047"/>
      <c r="AJ60" s="1047"/>
      <c r="AK60" s="1047"/>
    </row>
    <row r="61" spans="1:37" s="1046" customFormat="1" ht="24">
      <c r="A61" s="1959" t="s">
        <v>2061</v>
      </c>
      <c r="B61" s="1962" t="str">
        <f>估价对象房地状况!C17</f>
        <v>一般</v>
      </c>
      <c r="C61" s="1876"/>
      <c r="D61" s="992">
        <f t="shared" ref="D61:D69" si="12">SUMIF($J$60:$N$60,C61,J61:N61)</f>
        <v>0</v>
      </c>
      <c r="E61" s="696">
        <f>ROUND(SUM(D61:D69),4)</f>
        <v>0</v>
      </c>
      <c r="F61" s="1664" t="str">
        <f>IF(E2="办公",SUMIF(L1:L12,G2,N1:N12),"——")</f>
        <v>——</v>
      </c>
      <c r="G61" s="990"/>
      <c r="H61" s="993" t="str">
        <f t="shared" ref="H61:H69" si="13">IFERROR(ROUNDDOWN($F$61*I61/2,4),"——")</f>
        <v>——</v>
      </c>
      <c r="I61" s="3056">
        <v>0.25</v>
      </c>
      <c r="J61" s="991">
        <f t="shared" ref="J61:J69" si="14">K61+$G61</f>
        <v>0</v>
      </c>
      <c r="K61" s="991">
        <f t="shared" ref="K61:K69" si="15">$L61+$G61</f>
        <v>0</v>
      </c>
      <c r="L61" s="991">
        <v>0</v>
      </c>
      <c r="M61" s="991">
        <f t="shared" ref="M61:N69" si="16">L61-$G61</f>
        <v>0</v>
      </c>
      <c r="N61" s="991">
        <f t="shared" si="16"/>
        <v>0</v>
      </c>
      <c r="AA61" s="1047"/>
      <c r="AB61" s="1047"/>
      <c r="AC61" s="1047"/>
      <c r="AD61" s="1047"/>
      <c r="AE61" s="1047"/>
      <c r="AF61" s="1047"/>
      <c r="AG61" s="1047"/>
      <c r="AH61" s="1047"/>
      <c r="AI61" s="1047"/>
      <c r="AJ61" s="1047"/>
      <c r="AK61" s="1047"/>
    </row>
    <row r="62" spans="1:37" s="1046" customFormat="1" ht="14.25">
      <c r="A62" s="1959" t="s">
        <v>2050</v>
      </c>
      <c r="B62" s="1251" t="str">
        <f>估价对象房地状况!C18</f>
        <v>一般</v>
      </c>
      <c r="C62" s="1876"/>
      <c r="D62" s="992">
        <f t="shared" si="12"/>
        <v>0</v>
      </c>
      <c r="E62" s="697"/>
      <c r="F62" s="1664"/>
      <c r="G62" s="990"/>
      <c r="H62" s="993" t="str">
        <f t="shared" si="13"/>
        <v>——</v>
      </c>
      <c r="I62" s="3056">
        <v>0.26</v>
      </c>
      <c r="J62" s="991">
        <f t="shared" si="14"/>
        <v>0</v>
      </c>
      <c r="K62" s="991">
        <f t="shared" si="15"/>
        <v>0</v>
      </c>
      <c r="L62" s="991">
        <v>0</v>
      </c>
      <c r="M62" s="991">
        <f t="shared" si="16"/>
        <v>0</v>
      </c>
      <c r="N62" s="991">
        <f t="shared" si="16"/>
        <v>0</v>
      </c>
      <c r="AA62" s="1047"/>
      <c r="AB62" s="1047"/>
      <c r="AC62" s="1047"/>
      <c r="AD62" s="1047"/>
      <c r="AE62" s="1047"/>
      <c r="AF62" s="1047"/>
      <c r="AG62" s="1047"/>
      <c r="AH62" s="1047"/>
      <c r="AI62" s="1047"/>
      <c r="AJ62" s="1047"/>
      <c r="AK62" s="1047"/>
    </row>
    <row r="63" spans="1:37" s="1046" customFormat="1" ht="36">
      <c r="A63" s="3058" t="s">
        <v>3259</v>
      </c>
      <c r="B63" s="1251">
        <f>估价对象房地状况!C19</f>
        <v>0</v>
      </c>
      <c r="C63" s="1876"/>
      <c r="D63" s="992">
        <f t="shared" si="12"/>
        <v>0</v>
      </c>
      <c r="E63" s="697"/>
      <c r="F63" s="1664"/>
      <c r="G63" s="990"/>
      <c r="H63" s="993" t="str">
        <f t="shared" si="13"/>
        <v>——</v>
      </c>
      <c r="I63" s="3056">
        <v>0.11</v>
      </c>
      <c r="J63" s="991">
        <f t="shared" si="14"/>
        <v>0</v>
      </c>
      <c r="K63" s="991">
        <f t="shared" si="15"/>
        <v>0</v>
      </c>
      <c r="L63" s="991">
        <v>0</v>
      </c>
      <c r="M63" s="991">
        <f t="shared" si="16"/>
        <v>0</v>
      </c>
      <c r="N63" s="991">
        <f t="shared" si="16"/>
        <v>0</v>
      </c>
      <c r="AA63" s="1047"/>
      <c r="AB63" s="1047"/>
      <c r="AC63" s="1047"/>
      <c r="AD63" s="1047"/>
      <c r="AE63" s="1047"/>
      <c r="AF63" s="1047"/>
      <c r="AG63" s="1047"/>
      <c r="AH63" s="1047"/>
      <c r="AI63" s="1047"/>
      <c r="AJ63" s="1047"/>
      <c r="AK63" s="1047"/>
    </row>
    <row r="64" spans="1:37" s="1046" customFormat="1" ht="36.75">
      <c r="A64" s="1959" t="s">
        <v>2051</v>
      </c>
      <c r="B64" s="1963" t="s">
        <v>2052</v>
      </c>
      <c r="C64" s="1876"/>
      <c r="D64" s="992">
        <f t="shared" si="12"/>
        <v>0</v>
      </c>
      <c r="E64" s="697"/>
      <c r="F64" s="1664"/>
      <c r="G64" s="990"/>
      <c r="H64" s="993" t="str">
        <f t="shared" si="13"/>
        <v>——</v>
      </c>
      <c r="I64" s="3056">
        <v>0.05</v>
      </c>
      <c r="J64" s="991">
        <f t="shared" si="14"/>
        <v>0</v>
      </c>
      <c r="K64" s="991">
        <f t="shared" si="15"/>
        <v>0</v>
      </c>
      <c r="L64" s="991">
        <v>0</v>
      </c>
      <c r="M64" s="991">
        <f t="shared" si="16"/>
        <v>0</v>
      </c>
      <c r="N64" s="991">
        <f t="shared" si="16"/>
        <v>0</v>
      </c>
      <c r="AA64" s="1047"/>
      <c r="AB64" s="1047"/>
      <c r="AC64" s="1047"/>
      <c r="AD64" s="1047"/>
      <c r="AE64" s="1047"/>
      <c r="AF64" s="1047"/>
      <c r="AG64" s="1047"/>
      <c r="AH64" s="1047"/>
      <c r="AI64" s="1047"/>
      <c r="AJ64" s="1047"/>
      <c r="AK64" s="1047"/>
    </row>
    <row r="65" spans="1:37" s="1046" customFormat="1" ht="24">
      <c r="A65" s="1959" t="s">
        <v>2053</v>
      </c>
      <c r="B65" s="1251" t="str">
        <f>估价对象房地状况!C24</f>
        <v>次干道-凉水河路</v>
      </c>
      <c r="C65" s="1876"/>
      <c r="D65" s="992">
        <f t="shared" si="12"/>
        <v>0</v>
      </c>
      <c r="E65" s="697"/>
      <c r="F65" s="1664"/>
      <c r="G65" s="990"/>
      <c r="H65" s="993" t="str">
        <f t="shared" si="13"/>
        <v>——</v>
      </c>
      <c r="I65" s="3056">
        <v>0.05</v>
      </c>
      <c r="J65" s="991">
        <f t="shared" si="14"/>
        <v>0</v>
      </c>
      <c r="K65" s="991">
        <f t="shared" si="15"/>
        <v>0</v>
      </c>
      <c r="L65" s="991">
        <v>0</v>
      </c>
      <c r="M65" s="991">
        <f t="shared" si="16"/>
        <v>0</v>
      </c>
      <c r="N65" s="991">
        <f t="shared" si="16"/>
        <v>0</v>
      </c>
      <c r="AA65" s="1047"/>
      <c r="AB65" s="1047"/>
      <c r="AC65" s="1047"/>
      <c r="AD65" s="1047"/>
      <c r="AE65" s="1047"/>
      <c r="AF65" s="1047"/>
      <c r="AG65" s="1047"/>
      <c r="AH65" s="1047"/>
      <c r="AI65" s="1047"/>
      <c r="AJ65" s="1047"/>
      <c r="AK65" s="1047"/>
    </row>
    <row r="66" spans="1:37" s="1046" customFormat="1" ht="24">
      <c r="A66" s="1959" t="s">
        <v>2054</v>
      </c>
      <c r="B66" s="1964" t="s">
        <v>2055</v>
      </c>
      <c r="C66" s="1876"/>
      <c r="D66" s="992">
        <f t="shared" si="12"/>
        <v>0</v>
      </c>
      <c r="E66" s="697"/>
      <c r="F66" s="1664"/>
      <c r="G66" s="990"/>
      <c r="H66" s="993" t="str">
        <f t="shared" si="13"/>
        <v>——</v>
      </c>
      <c r="I66" s="3056">
        <v>0.06</v>
      </c>
      <c r="J66" s="991">
        <f t="shared" si="14"/>
        <v>0</v>
      </c>
      <c r="K66" s="991">
        <f t="shared" si="15"/>
        <v>0</v>
      </c>
      <c r="L66" s="991">
        <v>0</v>
      </c>
      <c r="M66" s="991">
        <f t="shared" si="16"/>
        <v>0</v>
      </c>
      <c r="N66" s="991">
        <f t="shared" si="16"/>
        <v>0</v>
      </c>
      <c r="AA66" s="1047"/>
      <c r="AB66" s="1047"/>
      <c r="AC66" s="1047"/>
      <c r="AD66" s="1047"/>
      <c r="AE66" s="1047"/>
      <c r="AF66" s="1047"/>
      <c r="AG66" s="1047"/>
      <c r="AH66" s="1047"/>
      <c r="AI66" s="1047"/>
      <c r="AJ66" s="1047"/>
      <c r="AK66" s="1047"/>
    </row>
    <row r="67" spans="1:37" s="1046" customFormat="1" ht="24">
      <c r="A67" s="1959" t="s">
        <v>2056</v>
      </c>
      <c r="B67" s="1230" t="str">
        <f>估价对象房地状况!C21</f>
        <v>较好</v>
      </c>
      <c r="C67" s="1876"/>
      <c r="D67" s="992">
        <f t="shared" si="12"/>
        <v>0</v>
      </c>
      <c r="E67" s="697"/>
      <c r="F67" s="1664"/>
      <c r="G67" s="990"/>
      <c r="H67" s="993" t="str">
        <f t="shared" si="13"/>
        <v>——</v>
      </c>
      <c r="I67" s="3056">
        <v>0.06</v>
      </c>
      <c r="J67" s="991">
        <f t="shared" si="14"/>
        <v>0</v>
      </c>
      <c r="K67" s="991">
        <f t="shared" si="15"/>
        <v>0</v>
      </c>
      <c r="L67" s="991">
        <v>0</v>
      </c>
      <c r="M67" s="991">
        <f t="shared" si="16"/>
        <v>0</v>
      </c>
      <c r="N67" s="991">
        <f t="shared" si="16"/>
        <v>0</v>
      </c>
      <c r="AA67" s="1047"/>
      <c r="AB67" s="1047"/>
      <c r="AC67" s="1047"/>
      <c r="AD67" s="1047"/>
      <c r="AE67" s="1047"/>
      <c r="AF67" s="1047"/>
      <c r="AG67" s="1047"/>
      <c r="AH67" s="1047"/>
      <c r="AI67" s="1047"/>
      <c r="AJ67" s="1047"/>
      <c r="AK67" s="1047"/>
    </row>
    <row r="68" spans="1:37" s="1046" customFormat="1" ht="24">
      <c r="A68" s="1959" t="s">
        <v>2057</v>
      </c>
      <c r="B68" s="1230" t="str">
        <f>估价对象房地状况!C22</f>
        <v>七通</v>
      </c>
      <c r="C68" s="1876"/>
      <c r="D68" s="992">
        <f t="shared" si="12"/>
        <v>0</v>
      </c>
      <c r="E68" s="697"/>
      <c r="F68" s="1664"/>
      <c r="G68" s="990"/>
      <c r="H68" s="993" t="str">
        <f t="shared" si="13"/>
        <v>——</v>
      </c>
      <c r="I68" s="3056">
        <v>0.09</v>
      </c>
      <c r="J68" s="991">
        <f t="shared" si="14"/>
        <v>0</v>
      </c>
      <c r="K68" s="991">
        <f t="shared" si="15"/>
        <v>0</v>
      </c>
      <c r="L68" s="991">
        <v>0</v>
      </c>
      <c r="M68" s="991">
        <f t="shared" si="16"/>
        <v>0</v>
      </c>
      <c r="N68" s="991">
        <f t="shared" si="16"/>
        <v>0</v>
      </c>
      <c r="AA68" s="1047"/>
      <c r="AB68" s="1047"/>
      <c r="AC68" s="1047"/>
      <c r="AD68" s="1047"/>
      <c r="AE68" s="1047"/>
      <c r="AF68" s="1047"/>
      <c r="AG68" s="1047"/>
      <c r="AH68" s="1047"/>
      <c r="AI68" s="1047"/>
      <c r="AJ68" s="1047"/>
      <c r="AK68" s="1047"/>
    </row>
    <row r="69" spans="1:37" s="1046" customFormat="1" ht="24.75" thickBot="1">
      <c r="A69" s="1966" t="s">
        <v>2058</v>
      </c>
      <c r="B69" s="1968" t="str">
        <f>估价对象房地状况!C20</f>
        <v>一般</v>
      </c>
      <c r="C69" s="1876"/>
      <c r="D69" s="992">
        <f t="shared" si="12"/>
        <v>0</v>
      </c>
      <c r="E69" s="698"/>
      <c r="F69" s="1664"/>
      <c r="G69" s="990"/>
      <c r="H69" s="993" t="str">
        <f t="shared" si="13"/>
        <v>——</v>
      </c>
      <c r="I69" s="3057">
        <v>7.0000000000000007E-2</v>
      </c>
      <c r="J69" s="991">
        <f t="shared" si="14"/>
        <v>0</v>
      </c>
      <c r="K69" s="991">
        <f t="shared" si="15"/>
        <v>0</v>
      </c>
      <c r="L69" s="991">
        <v>0</v>
      </c>
      <c r="M69" s="991">
        <f t="shared" si="16"/>
        <v>0</v>
      </c>
      <c r="N69" s="991">
        <f t="shared" si="16"/>
        <v>0</v>
      </c>
      <c r="AA69" s="1047"/>
      <c r="AB69" s="1047"/>
      <c r="AC69" s="1047"/>
      <c r="AD69" s="1047"/>
      <c r="AE69" s="1047"/>
      <c r="AF69" s="1047"/>
      <c r="AG69" s="1047"/>
      <c r="AH69" s="1047"/>
      <c r="AI69" s="1047"/>
      <c r="AJ69" s="1047"/>
      <c r="AK69" s="1047"/>
    </row>
    <row r="70" spans="1:37" s="1046" customFormat="1" ht="15">
      <c r="A70" s="1956" t="s">
        <v>2062</v>
      </c>
      <c r="B70" s="1957">
        <f>1+E72</f>
        <v>1</v>
      </c>
      <c r="C70" s="693"/>
      <c r="D70" s="693"/>
      <c r="E70" s="694"/>
      <c r="F70" s="1958"/>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9" t="s">
        <v>2041</v>
      </c>
      <c r="B71" s="1251"/>
      <c r="C71" s="1251" t="s">
        <v>2043</v>
      </c>
      <c r="D71" s="1251" t="s">
        <v>2044</v>
      </c>
      <c r="E71" s="695" t="s">
        <v>2045</v>
      </c>
      <c r="F71" s="1960" t="s">
        <v>2060</v>
      </c>
      <c r="G71" s="1251" t="s">
        <v>310</v>
      </c>
      <c r="H71" s="1961" t="s">
        <v>2047</v>
      </c>
      <c r="I71" s="1251" t="s">
        <v>2048</v>
      </c>
      <c r="J71" s="529" t="s">
        <v>1718</v>
      </c>
      <c r="K71" s="529" t="s">
        <v>1719</v>
      </c>
      <c r="L71" s="529" t="s">
        <v>1720</v>
      </c>
      <c r="M71" s="529" t="s">
        <v>1721</v>
      </c>
      <c r="N71" s="529" t="s">
        <v>1722</v>
      </c>
      <c r="AA71" s="1047"/>
      <c r="AB71" s="1047"/>
      <c r="AC71" s="1047"/>
      <c r="AD71" s="1047"/>
      <c r="AE71" s="1047"/>
      <c r="AF71" s="1047"/>
      <c r="AG71" s="1047"/>
      <c r="AH71" s="1047"/>
      <c r="AI71" s="1047"/>
      <c r="AJ71" s="1047"/>
      <c r="AK71" s="1047"/>
    </row>
    <row r="72" spans="1:37" s="1046" customFormat="1" ht="24">
      <c r="A72" s="1959" t="s">
        <v>2063</v>
      </c>
      <c r="B72" s="1962">
        <f>估价对象房地状况!C15</f>
        <v>0</v>
      </c>
      <c r="C72" s="1876"/>
      <c r="D72" s="992">
        <f t="shared" ref="D72:D80" si="17">SUMIF($J$71:$N$71,C72,J72:N72)</f>
        <v>0</v>
      </c>
      <c r="E72" s="696">
        <f>ROUND(SUM(D72:D80),4)</f>
        <v>0</v>
      </c>
      <c r="F72" s="1664" t="str">
        <f>IF(E2="住宅",SUMIF(L1:L12,G2,N1:N12),"——")</f>
        <v>——</v>
      </c>
      <c r="G72" s="990"/>
      <c r="H72" s="993" t="str">
        <f t="shared" ref="H72:H80" si="18">IFERROR(ROUNDDOWN($F$72*I72/2,4),"——")</f>
        <v>——</v>
      </c>
      <c r="I72" s="3056">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14.25">
      <c r="A73" s="1959" t="s">
        <v>2050</v>
      </c>
      <c r="B73" s="1251" t="str">
        <f>估价对象房地状况!C18</f>
        <v>一般</v>
      </c>
      <c r="C73" s="1876"/>
      <c r="D73" s="992">
        <f t="shared" si="17"/>
        <v>0</v>
      </c>
      <c r="E73" s="699"/>
      <c r="F73" s="1664"/>
      <c r="G73" s="990"/>
      <c r="H73" s="993" t="str">
        <f t="shared" si="18"/>
        <v>——</v>
      </c>
      <c r="I73" s="3056">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33" customFormat="1" ht="36">
      <c r="A74" s="3058" t="s">
        <v>3259</v>
      </c>
      <c r="B74" s="1251">
        <f>估价对象房地状况!C19</f>
        <v>0</v>
      </c>
      <c r="C74" s="1876"/>
      <c r="D74" s="992">
        <f t="shared" si="17"/>
        <v>0</v>
      </c>
      <c r="E74" s="699"/>
      <c r="F74" s="1664"/>
      <c r="G74" s="990"/>
      <c r="H74" s="993" t="str">
        <f t="shared" si="18"/>
        <v>——</v>
      </c>
      <c r="I74" s="3056">
        <v>0.1</v>
      </c>
      <c r="J74" s="991">
        <f t="shared" si="19"/>
        <v>0</v>
      </c>
      <c r="K74" s="991">
        <f t="shared" si="20"/>
        <v>0</v>
      </c>
      <c r="L74" s="991">
        <v>0</v>
      </c>
      <c r="M74" s="991">
        <f t="shared" si="21"/>
        <v>0</v>
      </c>
      <c r="N74" s="991">
        <f t="shared" si="21"/>
        <v>0</v>
      </c>
      <c r="O74" s="1046"/>
      <c r="P74" s="1046"/>
      <c r="Q74" s="1046"/>
      <c r="AA74" s="1969"/>
      <c r="AB74" s="1047"/>
      <c r="AC74" s="1047"/>
      <c r="AD74" s="1047"/>
      <c r="AE74" s="1047"/>
      <c r="AF74" s="1047"/>
      <c r="AG74" s="1047"/>
      <c r="AH74" s="1969"/>
      <c r="AI74" s="1969"/>
      <c r="AJ74" s="1969"/>
      <c r="AK74" s="1969"/>
    </row>
    <row r="75" spans="1:37" ht="14.25">
      <c r="A75" s="1959" t="s">
        <v>2064</v>
      </c>
      <c r="B75" s="1251" t="str">
        <f>估价对象房地状况!C24</f>
        <v>次干道-凉水河路</v>
      </c>
      <c r="C75" s="1876"/>
      <c r="D75" s="992">
        <f t="shared" si="17"/>
        <v>0</v>
      </c>
      <c r="E75" s="699"/>
      <c r="F75" s="1664"/>
      <c r="G75" s="990"/>
      <c r="H75" s="993" t="str">
        <f t="shared" si="18"/>
        <v>——</v>
      </c>
      <c r="I75" s="3056">
        <v>0.05</v>
      </c>
      <c r="J75" s="991">
        <f t="shared" si="19"/>
        <v>0</v>
      </c>
      <c r="K75" s="991">
        <f t="shared" si="20"/>
        <v>0</v>
      </c>
      <c r="L75" s="991">
        <v>0</v>
      </c>
      <c r="M75" s="991">
        <f t="shared" si="21"/>
        <v>0</v>
      </c>
      <c r="N75" s="991">
        <f t="shared" si="21"/>
        <v>0</v>
      </c>
      <c r="O75" s="1046"/>
      <c r="P75" s="1046"/>
      <c r="Q75" s="1833"/>
      <c r="Z75" s="1834"/>
      <c r="AA75" s="1884"/>
      <c r="AG75" s="1048"/>
      <c r="AK75" s="1884"/>
    </row>
    <row r="76" spans="1:37" ht="24">
      <c r="A76" s="1959" t="s">
        <v>2056</v>
      </c>
      <c r="B76" s="1230" t="str">
        <f>估价对象房地状况!C21</f>
        <v>较好</v>
      </c>
      <c r="C76" s="1876"/>
      <c r="D76" s="992">
        <f t="shared" si="17"/>
        <v>0</v>
      </c>
      <c r="E76" s="699"/>
      <c r="F76" s="1664"/>
      <c r="G76" s="990"/>
      <c r="H76" s="993" t="str">
        <f t="shared" si="18"/>
        <v>——</v>
      </c>
      <c r="I76" s="3056">
        <v>0.08</v>
      </c>
      <c r="J76" s="991">
        <f t="shared" si="19"/>
        <v>0</v>
      </c>
      <c r="K76" s="991">
        <f t="shared" si="20"/>
        <v>0</v>
      </c>
      <c r="L76" s="991">
        <v>0</v>
      </c>
      <c r="M76" s="991">
        <f t="shared" si="21"/>
        <v>0</v>
      </c>
      <c r="N76" s="991">
        <f t="shared" si="21"/>
        <v>0</v>
      </c>
      <c r="O76" s="1046"/>
      <c r="P76" s="1046"/>
      <c r="Z76" s="1834"/>
      <c r="AA76" s="1884"/>
      <c r="AG76" s="1048"/>
      <c r="AK76" s="1884"/>
    </row>
    <row r="77" spans="1:37" ht="24">
      <c r="A77" s="1959" t="s">
        <v>2057</v>
      </c>
      <c r="B77" s="1230" t="str">
        <f>估价对象房地状况!C22</f>
        <v>七通</v>
      </c>
      <c r="C77" s="1876"/>
      <c r="D77" s="992">
        <f t="shared" si="17"/>
        <v>0</v>
      </c>
      <c r="E77" s="699"/>
      <c r="F77" s="1664"/>
      <c r="G77" s="990"/>
      <c r="H77" s="993" t="str">
        <f t="shared" si="18"/>
        <v>——</v>
      </c>
      <c r="I77" s="3056">
        <v>0.09</v>
      </c>
      <c r="J77" s="991">
        <f t="shared" si="19"/>
        <v>0</v>
      </c>
      <c r="K77" s="991">
        <f t="shared" si="20"/>
        <v>0</v>
      </c>
      <c r="L77" s="991">
        <v>0</v>
      </c>
      <c r="M77" s="991">
        <f t="shared" si="21"/>
        <v>0</v>
      </c>
      <c r="N77" s="991">
        <f t="shared" si="21"/>
        <v>0</v>
      </c>
      <c r="O77" s="1046"/>
      <c r="P77" s="1046"/>
      <c r="Z77" s="1834"/>
      <c r="AA77" s="1884"/>
      <c r="AG77" s="1048"/>
      <c r="AK77" s="1884"/>
    </row>
    <row r="78" spans="1:37" ht="24">
      <c r="A78" s="1959" t="s">
        <v>2054</v>
      </c>
      <c r="B78" s="1964" t="s">
        <v>2055</v>
      </c>
      <c r="C78" s="1876"/>
      <c r="D78" s="992">
        <f t="shared" si="17"/>
        <v>0</v>
      </c>
      <c r="E78" s="699"/>
      <c r="F78" s="1664"/>
      <c r="G78" s="990"/>
      <c r="H78" s="993" t="str">
        <f t="shared" si="18"/>
        <v>——</v>
      </c>
      <c r="I78" s="3056">
        <v>0.05</v>
      </c>
      <c r="J78" s="991">
        <f t="shared" si="19"/>
        <v>0</v>
      </c>
      <c r="K78" s="991">
        <f t="shared" si="20"/>
        <v>0</v>
      </c>
      <c r="L78" s="991">
        <v>0</v>
      </c>
      <c r="M78" s="991">
        <f t="shared" si="21"/>
        <v>0</v>
      </c>
      <c r="N78" s="991">
        <f t="shared" si="21"/>
        <v>0</v>
      </c>
      <c r="O78" s="1833"/>
      <c r="P78" s="1833"/>
      <c r="Z78" s="1834"/>
      <c r="AA78" s="1884"/>
      <c r="AG78" s="1048"/>
      <c r="AK78" s="1884"/>
    </row>
    <row r="79" spans="1:37" ht="24">
      <c r="A79" s="1959" t="s">
        <v>2058</v>
      </c>
      <c r="B79" s="1962" t="str">
        <f>估价对象房地状况!C20</f>
        <v>一般</v>
      </c>
      <c r="C79" s="1876"/>
      <c r="D79" s="992">
        <f t="shared" si="17"/>
        <v>0</v>
      </c>
      <c r="E79" s="699"/>
      <c r="F79" s="1664"/>
      <c r="G79" s="990"/>
      <c r="H79" s="993" t="str">
        <f t="shared" si="18"/>
        <v>——</v>
      </c>
      <c r="I79" s="3056">
        <v>0.12</v>
      </c>
      <c r="J79" s="991">
        <f t="shared" si="19"/>
        <v>0</v>
      </c>
      <c r="K79" s="991">
        <f t="shared" si="20"/>
        <v>0</v>
      </c>
      <c r="L79" s="991">
        <v>0</v>
      </c>
      <c r="M79" s="991">
        <f t="shared" si="21"/>
        <v>0</v>
      </c>
      <c r="N79" s="991">
        <f t="shared" si="21"/>
        <v>0</v>
      </c>
      <c r="Z79" s="1834"/>
      <c r="AA79" s="1884"/>
      <c r="AG79" s="1048"/>
      <c r="AK79" s="1884"/>
    </row>
    <row r="80" spans="1:37" ht="24.75" thickBot="1">
      <c r="A80" s="1966" t="s">
        <v>2065</v>
      </c>
      <c r="B80" s="1970"/>
      <c r="C80" s="1876"/>
      <c r="D80" s="992">
        <f t="shared" si="17"/>
        <v>0</v>
      </c>
      <c r="E80" s="700"/>
      <c r="F80" s="1664"/>
      <c r="G80" s="990"/>
      <c r="H80" s="993" t="str">
        <f t="shared" si="18"/>
        <v>——</v>
      </c>
      <c r="I80" s="3057">
        <v>0.05</v>
      </c>
      <c r="J80" s="991">
        <f t="shared" si="19"/>
        <v>0</v>
      </c>
      <c r="K80" s="991">
        <f t="shared" si="20"/>
        <v>0</v>
      </c>
      <c r="L80" s="991">
        <v>0</v>
      </c>
      <c r="M80" s="991">
        <f t="shared" si="21"/>
        <v>0</v>
      </c>
      <c r="N80" s="991">
        <f t="shared" si="21"/>
        <v>0</v>
      </c>
      <c r="Z80" s="1834"/>
      <c r="AA80" s="1884"/>
      <c r="AG80" s="1048"/>
      <c r="AK80" s="1884"/>
    </row>
    <row r="81" spans="1:37" ht="15">
      <c r="A81" s="1956" t="s">
        <v>2066</v>
      </c>
      <c r="B81" s="1957">
        <f>1+E83</f>
        <v>1</v>
      </c>
      <c r="C81" s="693"/>
      <c r="D81" s="693"/>
      <c r="E81" s="694"/>
      <c r="F81" s="1958"/>
      <c r="G81" s="3"/>
      <c r="H81" s="3"/>
      <c r="I81" s="3"/>
      <c r="J81" s="4"/>
      <c r="K81" s="4"/>
      <c r="L81" s="4"/>
      <c r="M81" s="4"/>
      <c r="N81" s="4"/>
      <c r="Z81" s="1834"/>
      <c r="AA81" s="1884"/>
      <c r="AG81" s="1048"/>
      <c r="AK81" s="1884"/>
    </row>
    <row r="82" spans="1:37" ht="24.75">
      <c r="A82" s="1959" t="s">
        <v>2041</v>
      </c>
      <c r="B82" s="1251"/>
      <c r="C82" s="1251" t="s">
        <v>2043</v>
      </c>
      <c r="D82" s="1251" t="s">
        <v>2044</v>
      </c>
      <c r="E82" s="695" t="s">
        <v>2045</v>
      </c>
      <c r="F82" s="1960" t="s">
        <v>2060</v>
      </c>
      <c r="G82" s="1251" t="s">
        <v>310</v>
      </c>
      <c r="H82" s="1961" t="s">
        <v>2047</v>
      </c>
      <c r="I82" s="1251" t="s">
        <v>2048</v>
      </c>
      <c r="J82" s="529" t="s">
        <v>1718</v>
      </c>
      <c r="K82" s="529" t="s">
        <v>1719</v>
      </c>
      <c r="L82" s="529" t="s">
        <v>1720</v>
      </c>
      <c r="M82" s="529" t="s">
        <v>1721</v>
      </c>
      <c r="N82" s="529" t="s">
        <v>1722</v>
      </c>
      <c r="Z82" s="1834"/>
      <c r="AA82" s="1884"/>
      <c r="AG82" s="1048"/>
      <c r="AK82" s="1884"/>
    </row>
    <row r="83" spans="1:37" ht="38.25">
      <c r="A83" s="1959" t="s">
        <v>2067</v>
      </c>
      <c r="B83" s="1251" t="str">
        <f>估价对象房地状况!G15</f>
        <v>估价对象位于XX开发区，园区建设成熟度XX，产业集聚程度XX</v>
      </c>
      <c r="C83" s="1876"/>
      <c r="D83" s="992">
        <f t="shared" ref="D83:D90" si="22">SUMIF($J$82:$N$82,C83,J83:N83)</f>
        <v>0</v>
      </c>
      <c r="E83" s="696">
        <f>ROUND(SUM(D83:D90),4)</f>
        <v>0</v>
      </c>
      <c r="F83" s="1664" t="str">
        <f>IF(E2="工业",SUMIF(L1:L12,G2,N1:N12),"——")</f>
        <v>——</v>
      </c>
      <c r="G83" s="990"/>
      <c r="H83" s="993" t="str">
        <f t="shared" ref="H83:H90" si="23">IFERROR(ROUNDDOWN($F$83*I83/2,4),"——")</f>
        <v>——</v>
      </c>
      <c r="I83" s="3056">
        <v>0.26</v>
      </c>
      <c r="J83" s="991">
        <f t="shared" ref="J83:J90" si="24">K83+$G83</f>
        <v>0</v>
      </c>
      <c r="K83" s="991">
        <f t="shared" ref="K83:K90" si="25">$L83+$G83</f>
        <v>0</v>
      </c>
      <c r="L83" s="991">
        <v>0</v>
      </c>
      <c r="M83" s="991">
        <f t="shared" ref="M83:N90" si="26">L83-$G83</f>
        <v>0</v>
      </c>
      <c r="N83" s="991">
        <f t="shared" si="26"/>
        <v>0</v>
      </c>
      <c r="Z83" s="1834"/>
      <c r="AA83" s="1884"/>
      <c r="AG83" s="1048"/>
      <c r="AK83" s="1884"/>
    </row>
    <row r="84" spans="1:37" ht="38.25">
      <c r="A84" s="1959" t="s">
        <v>2050</v>
      </c>
      <c r="B84" s="1251" t="str">
        <f>估价对象房地状况!G16</f>
        <v>估价对象周边道路状况、公共交通通达情况、停车便捷程度，综合评价交通便捷度较好</v>
      </c>
      <c r="C84" s="1876"/>
      <c r="D84" s="992">
        <f t="shared" si="22"/>
        <v>0</v>
      </c>
      <c r="E84" s="699"/>
      <c r="F84" s="1664"/>
      <c r="G84" s="990"/>
      <c r="H84" s="993" t="str">
        <f t="shared" si="23"/>
        <v>——</v>
      </c>
      <c r="I84" s="3056">
        <v>0.3</v>
      </c>
      <c r="J84" s="991">
        <f t="shared" si="24"/>
        <v>0</v>
      </c>
      <c r="K84" s="991">
        <f t="shared" si="25"/>
        <v>0</v>
      </c>
      <c r="L84" s="991">
        <v>0</v>
      </c>
      <c r="M84" s="991">
        <f t="shared" si="26"/>
        <v>0</v>
      </c>
      <c r="N84" s="991">
        <f t="shared" si="26"/>
        <v>0</v>
      </c>
      <c r="Z84" s="1834"/>
      <c r="AA84" s="1884"/>
      <c r="AG84" s="1048"/>
      <c r="AK84" s="1884"/>
    </row>
    <row r="85" spans="1:37" ht="36">
      <c r="A85" s="3058" t="s">
        <v>3260</v>
      </c>
      <c r="B85" s="1251">
        <f>估价对象房地状况!G17</f>
        <v>0</v>
      </c>
      <c r="C85" s="1876"/>
      <c r="D85" s="992">
        <f t="shared" si="22"/>
        <v>0</v>
      </c>
      <c r="E85" s="699"/>
      <c r="F85" s="1664"/>
      <c r="G85" s="990"/>
      <c r="H85" s="993" t="str">
        <f t="shared" si="23"/>
        <v>——</v>
      </c>
      <c r="I85" s="3056">
        <v>0.1</v>
      </c>
      <c r="J85" s="991">
        <f t="shared" si="24"/>
        <v>0</v>
      </c>
      <c r="K85" s="991">
        <f t="shared" si="25"/>
        <v>0</v>
      </c>
      <c r="L85" s="991">
        <v>0</v>
      </c>
      <c r="M85" s="991">
        <f t="shared" si="26"/>
        <v>0</v>
      </c>
      <c r="N85" s="991">
        <f t="shared" si="26"/>
        <v>0</v>
      </c>
      <c r="Z85" s="1834"/>
      <c r="AA85" s="1884"/>
      <c r="AG85" s="1048"/>
      <c r="AK85" s="1884"/>
    </row>
    <row r="86" spans="1:37" ht="14.25">
      <c r="A86" s="1959" t="s">
        <v>2064</v>
      </c>
      <c r="B86" s="1251">
        <f>估价对象房地状况!G22</f>
        <v>0</v>
      </c>
      <c r="C86" s="1876"/>
      <c r="D86" s="992">
        <f t="shared" si="22"/>
        <v>0</v>
      </c>
      <c r="E86" s="699"/>
      <c r="F86" s="1664"/>
      <c r="G86" s="990"/>
      <c r="H86" s="993" t="str">
        <f t="shared" si="23"/>
        <v>——</v>
      </c>
      <c r="I86" s="3056">
        <v>0.05</v>
      </c>
      <c r="J86" s="991">
        <f t="shared" si="24"/>
        <v>0</v>
      </c>
      <c r="K86" s="991">
        <f t="shared" si="25"/>
        <v>0</v>
      </c>
      <c r="L86" s="991">
        <v>0</v>
      </c>
      <c r="M86" s="991">
        <f t="shared" si="26"/>
        <v>0</v>
      </c>
      <c r="N86" s="991">
        <f t="shared" si="26"/>
        <v>0</v>
      </c>
      <c r="Z86" s="1834"/>
      <c r="AA86" s="1884"/>
      <c r="AG86" s="1048"/>
      <c r="AK86" s="1884"/>
    </row>
    <row r="87" spans="1:37" ht="25.5">
      <c r="A87" s="1959" t="s">
        <v>2056</v>
      </c>
      <c r="B87" s="1230" t="str">
        <f>估价对象房地状况!G19</f>
        <v>估价对象所在区域公共配套设施齐备情况</v>
      </c>
      <c r="C87" s="1876"/>
      <c r="D87" s="992">
        <f t="shared" si="22"/>
        <v>0</v>
      </c>
      <c r="E87" s="699"/>
      <c r="F87" s="1664"/>
      <c r="G87" s="990"/>
      <c r="H87" s="993" t="str">
        <f t="shared" si="23"/>
        <v>——</v>
      </c>
      <c r="I87" s="3056">
        <v>0.06</v>
      </c>
      <c r="J87" s="991">
        <f t="shared" si="24"/>
        <v>0</v>
      </c>
      <c r="K87" s="991">
        <f t="shared" si="25"/>
        <v>0</v>
      </c>
      <c r="L87" s="991">
        <v>0</v>
      </c>
      <c r="M87" s="991">
        <f t="shared" si="26"/>
        <v>0</v>
      </c>
      <c r="N87" s="991">
        <f t="shared" si="26"/>
        <v>0</v>
      </c>
    </row>
    <row r="88" spans="1:37" ht="25.5">
      <c r="A88" s="1959" t="s">
        <v>2057</v>
      </c>
      <c r="B88" s="1230" t="str">
        <f>估价对象房地状况!G20</f>
        <v>估价对象所在区域基础设施水平</v>
      </c>
      <c r="C88" s="1876"/>
      <c r="D88" s="992">
        <f t="shared" si="22"/>
        <v>0</v>
      </c>
      <c r="E88" s="699"/>
      <c r="F88" s="1664"/>
      <c r="G88" s="990"/>
      <c r="H88" s="993" t="str">
        <f t="shared" si="23"/>
        <v>——</v>
      </c>
      <c r="I88" s="3056">
        <v>0.12</v>
      </c>
      <c r="J88" s="991">
        <f t="shared" si="24"/>
        <v>0</v>
      </c>
      <c r="K88" s="991">
        <f t="shared" si="25"/>
        <v>0</v>
      </c>
      <c r="L88" s="991">
        <v>0</v>
      </c>
      <c r="M88" s="991">
        <f t="shared" si="26"/>
        <v>0</v>
      </c>
      <c r="N88" s="991">
        <f t="shared" si="26"/>
        <v>0</v>
      </c>
    </row>
    <row r="89" spans="1:37" ht="24">
      <c r="A89" s="1959" t="s">
        <v>2054</v>
      </c>
      <c r="B89" s="1964" t="s">
        <v>2068</v>
      </c>
      <c r="C89" s="1876"/>
      <c r="D89" s="992">
        <f t="shared" si="22"/>
        <v>0</v>
      </c>
      <c r="E89" s="699"/>
      <c r="F89" s="1664"/>
      <c r="G89" s="990"/>
      <c r="H89" s="993" t="str">
        <f t="shared" si="23"/>
        <v>——</v>
      </c>
      <c r="I89" s="3056">
        <v>0.06</v>
      </c>
      <c r="J89" s="991">
        <f t="shared" si="24"/>
        <v>0</v>
      </c>
      <c r="K89" s="991">
        <f t="shared" si="25"/>
        <v>0</v>
      </c>
      <c r="L89" s="991">
        <v>0</v>
      </c>
      <c r="M89" s="991">
        <f t="shared" si="26"/>
        <v>0</v>
      </c>
      <c r="N89" s="991">
        <f t="shared" si="26"/>
        <v>0</v>
      </c>
    </row>
    <row r="90" spans="1:37" ht="39" thickBot="1">
      <c r="A90" s="1966" t="s">
        <v>2069</v>
      </c>
      <c r="B90" s="1971" t="str">
        <f>估价对象房地状况!G18</f>
        <v>该园区内是否有污染型企业，绿化情况，卫生条件，整体环境状况判断</v>
      </c>
      <c r="C90" s="1876"/>
      <c r="D90" s="992">
        <f t="shared" si="22"/>
        <v>0</v>
      </c>
      <c r="E90" s="700"/>
      <c r="F90" s="1664"/>
      <c r="G90" s="990"/>
      <c r="H90" s="993" t="str">
        <f t="shared" si="23"/>
        <v>——</v>
      </c>
      <c r="I90" s="3057">
        <v>0.05</v>
      </c>
      <c r="J90" s="991">
        <f t="shared" si="24"/>
        <v>0</v>
      </c>
      <c r="K90" s="991">
        <f t="shared" si="25"/>
        <v>0</v>
      </c>
      <c r="L90" s="991">
        <v>0</v>
      </c>
      <c r="M90" s="991">
        <f t="shared" si="26"/>
        <v>0</v>
      </c>
      <c r="N90" s="991">
        <f t="shared" si="26"/>
        <v>0</v>
      </c>
    </row>
    <row r="91" spans="1:37" ht="15">
      <c r="A91" s="3066" t="s">
        <v>2602</v>
      </c>
      <c r="B91" s="3067">
        <f>1+E93</f>
        <v>1</v>
      </c>
      <c r="C91" s="3060"/>
      <c r="D91" s="3061"/>
      <c r="E91" s="1664"/>
      <c r="F91" s="1664"/>
      <c r="G91" s="3062"/>
      <c r="H91" s="3063"/>
      <c r="I91" s="3064"/>
      <c r="J91" s="3065"/>
      <c r="K91" s="3065"/>
      <c r="L91" s="3065"/>
      <c r="M91" s="3065"/>
      <c r="N91" s="3065"/>
    </row>
    <row r="92" spans="1:37" ht="24.75">
      <c r="A92" s="3068" t="s">
        <v>3261</v>
      </c>
      <c r="B92" s="2297"/>
      <c r="C92" s="2297" t="s">
        <v>3270</v>
      </c>
      <c r="D92" s="2297" t="s">
        <v>3271</v>
      </c>
      <c r="E92" s="3040" t="s">
        <v>3272</v>
      </c>
      <c r="F92" s="3070" t="s">
        <v>3273</v>
      </c>
      <c r="G92" s="2297" t="s">
        <v>3274</v>
      </c>
      <c r="H92" s="3077" t="s">
        <v>3277</v>
      </c>
      <c r="I92" s="2297" t="s">
        <v>3278</v>
      </c>
      <c r="J92" s="2139" t="s">
        <v>3279</v>
      </c>
      <c r="K92" s="2139" t="s">
        <v>3280</v>
      </c>
      <c r="L92" s="2139" t="s">
        <v>3281</v>
      </c>
      <c r="M92" s="2139" t="s">
        <v>3282</v>
      </c>
      <c r="N92" s="2139" t="s">
        <v>3283</v>
      </c>
    </row>
    <row r="93" spans="1:37" ht="24">
      <c r="A93" s="3058" t="s">
        <v>3262</v>
      </c>
      <c r="B93" s="1211"/>
      <c r="C93" s="1876"/>
      <c r="D93" s="2297">
        <f>SUMIF($J$92:$N$92,C93,J93:N93)</f>
        <v>0</v>
      </c>
      <c r="E93" s="3071">
        <f>ROUND(SUM(D93:D101),4)</f>
        <v>0</v>
      </c>
      <c r="F93" s="1664" t="str">
        <f>IF(E2="公共服务",SUMIF(L1:L12,G2,N1:N12),"——")</f>
        <v>——</v>
      </c>
      <c r="G93" s="3062"/>
      <c r="H93" s="3107" t="str">
        <f>IFERROR(ROUNDDOWN($F$93*I93/2,4),"——")</f>
        <v>——</v>
      </c>
      <c r="I93" s="3056">
        <v>0.25</v>
      </c>
      <c r="J93" s="1901">
        <f t="shared" ref="J93:J101" si="27">K93+$G93</f>
        <v>0</v>
      </c>
      <c r="K93" s="1901">
        <f t="shared" ref="K93:K101" si="28">$L93+$G93</f>
        <v>0</v>
      </c>
      <c r="L93" s="1901">
        <v>0</v>
      </c>
      <c r="M93" s="1901">
        <f t="shared" ref="M93:N101" si="29">L93-$G93</f>
        <v>0</v>
      </c>
      <c r="N93" s="1901">
        <f t="shared" si="29"/>
        <v>0</v>
      </c>
    </row>
    <row r="94" spans="1:37" ht="14.25">
      <c r="A94" s="3068" t="s">
        <v>3263</v>
      </c>
      <c r="B94" s="3059" t="str">
        <f>估价对象房地状况!C18</f>
        <v>一般</v>
      </c>
      <c r="C94" s="1876"/>
      <c r="D94" s="2297">
        <f t="shared" ref="D94:D101" si="30">SUMIF($J$60:$N$60,C94,J94:N94)</f>
        <v>0</v>
      </c>
      <c r="E94" s="3072"/>
      <c r="F94" s="1664"/>
      <c r="G94" s="3062"/>
      <c r="H94" s="3107" t="str">
        <f>IFERROR(ROUNDDOWN($F$93*I94/2,4),"——")</f>
        <v>——</v>
      </c>
      <c r="I94" s="3056">
        <v>0.26</v>
      </c>
      <c r="J94" s="1901">
        <f t="shared" si="27"/>
        <v>0</v>
      </c>
      <c r="K94" s="1901">
        <f t="shared" si="28"/>
        <v>0</v>
      </c>
      <c r="L94" s="1901">
        <v>0</v>
      </c>
      <c r="M94" s="1901">
        <f t="shared" si="29"/>
        <v>0</v>
      </c>
      <c r="N94" s="1901">
        <f t="shared" si="29"/>
        <v>0</v>
      </c>
    </row>
    <row r="95" spans="1:37" ht="36">
      <c r="A95" s="3058" t="s">
        <v>3259</v>
      </c>
      <c r="B95" s="3059">
        <f>估价对象房地状况!C19</f>
        <v>0</v>
      </c>
      <c r="C95" s="1876"/>
      <c r="D95" s="2297">
        <f t="shared" si="30"/>
        <v>0</v>
      </c>
      <c r="E95" s="3072"/>
      <c r="F95" s="1664"/>
      <c r="G95" s="3062"/>
      <c r="H95" s="3107" t="str">
        <f t="shared" ref="H95:H101" si="31">IFERROR(ROUNDDOWN($F$93*I95/2,4),"——")</f>
        <v>——</v>
      </c>
      <c r="I95" s="3056">
        <v>0.11</v>
      </c>
      <c r="J95" s="1901">
        <f t="shared" si="27"/>
        <v>0</v>
      </c>
      <c r="K95" s="1901">
        <f t="shared" si="28"/>
        <v>0</v>
      </c>
      <c r="L95" s="1901">
        <v>0</v>
      </c>
      <c r="M95" s="1901">
        <f t="shared" si="29"/>
        <v>0</v>
      </c>
      <c r="N95" s="1901">
        <f t="shared" si="29"/>
        <v>0</v>
      </c>
    </row>
    <row r="96" spans="1:37" ht="36.75">
      <c r="A96" s="3068" t="s">
        <v>3264</v>
      </c>
      <c r="B96" s="3074" t="s">
        <v>3275</v>
      </c>
      <c r="C96" s="1876"/>
      <c r="D96" s="2297">
        <f t="shared" si="30"/>
        <v>0</v>
      </c>
      <c r="E96" s="3072"/>
      <c r="F96" s="1664"/>
      <c r="G96" s="3062"/>
      <c r="H96" s="3107" t="str">
        <f t="shared" si="31"/>
        <v>——</v>
      </c>
      <c r="I96" s="3056">
        <v>0.05</v>
      </c>
      <c r="J96" s="1901">
        <f t="shared" si="27"/>
        <v>0</v>
      </c>
      <c r="K96" s="1901">
        <f t="shared" si="28"/>
        <v>0</v>
      </c>
      <c r="L96" s="1901">
        <v>0</v>
      </c>
      <c r="M96" s="1901">
        <f t="shared" si="29"/>
        <v>0</v>
      </c>
      <c r="N96" s="1901">
        <f t="shared" si="29"/>
        <v>0</v>
      </c>
    </row>
    <row r="97" spans="1:14" ht="24">
      <c r="A97" s="3068" t="s">
        <v>3265</v>
      </c>
      <c r="B97" s="3059" t="str">
        <f>估价对象房地状况!C24</f>
        <v>次干道-凉水河路</v>
      </c>
      <c r="C97" s="1876"/>
      <c r="D97" s="2297">
        <f t="shared" si="30"/>
        <v>0</v>
      </c>
      <c r="E97" s="3072"/>
      <c r="F97" s="1664"/>
      <c r="G97" s="3062"/>
      <c r="H97" s="3107" t="str">
        <f t="shared" si="31"/>
        <v>——</v>
      </c>
      <c r="I97" s="3056">
        <v>0.05</v>
      </c>
      <c r="J97" s="1901">
        <f t="shared" si="27"/>
        <v>0</v>
      </c>
      <c r="K97" s="1901">
        <f t="shared" si="28"/>
        <v>0</v>
      </c>
      <c r="L97" s="1901">
        <v>0</v>
      </c>
      <c r="M97" s="1901">
        <f t="shared" si="29"/>
        <v>0</v>
      </c>
      <c r="N97" s="1901">
        <f t="shared" si="29"/>
        <v>0</v>
      </c>
    </row>
    <row r="98" spans="1:14" ht="24">
      <c r="A98" s="3068" t="s">
        <v>3266</v>
      </c>
      <c r="B98" s="3075" t="s">
        <v>3276</v>
      </c>
      <c r="C98" s="1876"/>
      <c r="D98" s="2297">
        <f t="shared" si="30"/>
        <v>0</v>
      </c>
      <c r="E98" s="3072"/>
      <c r="F98" s="1664"/>
      <c r="G98" s="3062"/>
      <c r="H98" s="3107" t="str">
        <f t="shared" si="31"/>
        <v>——</v>
      </c>
      <c r="I98" s="3056">
        <v>0.06</v>
      </c>
      <c r="J98" s="1901">
        <f t="shared" si="27"/>
        <v>0</v>
      </c>
      <c r="K98" s="1901">
        <f t="shared" si="28"/>
        <v>0</v>
      </c>
      <c r="L98" s="1901">
        <v>0</v>
      </c>
      <c r="M98" s="1901">
        <f t="shared" si="29"/>
        <v>0</v>
      </c>
      <c r="N98" s="1901">
        <f t="shared" si="29"/>
        <v>0</v>
      </c>
    </row>
    <row r="99" spans="1:14" ht="24">
      <c r="A99" s="3068" t="s">
        <v>3267</v>
      </c>
      <c r="B99" s="3059" t="str">
        <f>估价对象房地状况!C21</f>
        <v>较好</v>
      </c>
      <c r="C99" s="1876"/>
      <c r="D99" s="2297">
        <f t="shared" si="30"/>
        <v>0</v>
      </c>
      <c r="E99" s="3072"/>
      <c r="F99" s="1664"/>
      <c r="G99" s="3062"/>
      <c r="H99" s="3107" t="str">
        <f t="shared" si="31"/>
        <v>——</v>
      </c>
      <c r="I99" s="3056">
        <v>0.06</v>
      </c>
      <c r="J99" s="1901">
        <f t="shared" si="27"/>
        <v>0</v>
      </c>
      <c r="K99" s="1901">
        <f t="shared" si="28"/>
        <v>0</v>
      </c>
      <c r="L99" s="1901">
        <v>0</v>
      </c>
      <c r="M99" s="1901">
        <f t="shared" si="29"/>
        <v>0</v>
      </c>
      <c r="N99" s="1901">
        <f t="shared" si="29"/>
        <v>0</v>
      </c>
    </row>
    <row r="100" spans="1:14" ht="24">
      <c r="A100" s="3068" t="s">
        <v>3268</v>
      </c>
      <c r="B100" s="3059" t="str">
        <f>估价对象房地状况!C22</f>
        <v>七通</v>
      </c>
      <c r="C100" s="1876"/>
      <c r="D100" s="2297">
        <f t="shared" si="30"/>
        <v>0</v>
      </c>
      <c r="E100" s="3072"/>
      <c r="F100" s="1664"/>
      <c r="G100" s="3062"/>
      <c r="H100" s="3107" t="str">
        <f t="shared" si="31"/>
        <v>——</v>
      </c>
      <c r="I100" s="3056">
        <v>0.09</v>
      </c>
      <c r="J100" s="1901">
        <f t="shared" si="27"/>
        <v>0</v>
      </c>
      <c r="K100" s="1901">
        <f t="shared" si="28"/>
        <v>0</v>
      </c>
      <c r="L100" s="1901">
        <v>0</v>
      </c>
      <c r="M100" s="1901">
        <f t="shared" si="29"/>
        <v>0</v>
      </c>
      <c r="N100" s="1901">
        <f t="shared" si="29"/>
        <v>0</v>
      </c>
    </row>
    <row r="101" spans="1:14" ht="24.75" thickBot="1">
      <c r="A101" s="3069" t="s">
        <v>3269</v>
      </c>
      <c r="B101" s="3076" t="str">
        <f>估价对象房地状况!C20</f>
        <v>一般</v>
      </c>
      <c r="C101" s="1876"/>
      <c r="D101" s="2297">
        <f t="shared" si="30"/>
        <v>0</v>
      </c>
      <c r="E101" s="3073"/>
      <c r="F101" s="1664"/>
      <c r="G101" s="3062"/>
      <c r="H101" s="3107" t="str">
        <f t="shared" si="31"/>
        <v>——</v>
      </c>
      <c r="I101" s="3057">
        <v>7.0000000000000007E-2</v>
      </c>
      <c r="J101" s="1901">
        <f t="shared" si="27"/>
        <v>0</v>
      </c>
      <c r="K101" s="1901">
        <f t="shared" si="28"/>
        <v>0</v>
      </c>
      <c r="L101" s="1901">
        <v>0</v>
      </c>
      <c r="M101" s="1901">
        <f t="shared" si="29"/>
        <v>0</v>
      </c>
      <c r="N101" s="1901">
        <f t="shared" si="29"/>
        <v>0</v>
      </c>
    </row>
    <row r="103" spans="1:14">
      <c r="A103" s="3503" t="s">
        <v>3284</v>
      </c>
      <c r="B103" s="3503"/>
      <c r="C103" s="3503"/>
      <c r="D103" s="3503"/>
      <c r="E103" s="3503"/>
      <c r="F103" s="3503"/>
      <c r="G103" s="3503"/>
      <c r="H103" s="3503"/>
      <c r="I103" s="3503"/>
      <c r="J103" s="3503"/>
      <c r="K103" s="1656"/>
      <c r="L103" s="1656"/>
      <c r="M103" s="1656"/>
      <c r="N103" s="1656"/>
    </row>
    <row r="104" spans="1:14">
      <c r="A104" s="3504" t="s">
        <v>3285</v>
      </c>
      <c r="B104" s="3504" t="s">
        <v>3286</v>
      </c>
      <c r="C104" s="3078" t="s">
        <v>3287</v>
      </c>
      <c r="D104" s="3079"/>
      <c r="E104" s="3079"/>
      <c r="F104" s="3079"/>
      <c r="G104" s="3079"/>
      <c r="H104" s="3079"/>
      <c r="I104" s="3079"/>
      <c r="J104" s="3080"/>
      <c r="K104" s="3081"/>
      <c r="L104" s="3081"/>
      <c r="M104" s="3081"/>
      <c r="N104" s="3081"/>
    </row>
    <row r="105" spans="1:14">
      <c r="A105" s="3504"/>
      <c r="B105" s="3504"/>
      <c r="C105" s="3082" t="s">
        <v>3288</v>
      </c>
      <c r="D105" s="3082" t="s">
        <v>3289</v>
      </c>
      <c r="E105" s="3082" t="s">
        <v>3290</v>
      </c>
      <c r="F105" s="3082" t="s">
        <v>3291</v>
      </c>
      <c r="G105" s="3082" t="s">
        <v>3292</v>
      </c>
      <c r="H105" s="3082" t="s">
        <v>3293</v>
      </c>
      <c r="I105" s="3082" t="s">
        <v>3294</v>
      </c>
      <c r="J105" s="3082" t="s">
        <v>3295</v>
      </c>
      <c r="K105" s="3082" t="s">
        <v>3296</v>
      </c>
      <c r="L105" s="3082" t="s">
        <v>3297</v>
      </c>
      <c r="M105" s="3082" t="s">
        <v>3298</v>
      </c>
      <c r="N105" s="3082" t="s">
        <v>3299</v>
      </c>
    </row>
    <row r="106" spans="1:14">
      <c r="A106" s="3490" t="s">
        <v>3300</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91"/>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91"/>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91"/>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91"/>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91"/>
      <c r="B111" s="3082" t="s">
        <v>3258</v>
      </c>
      <c r="C111" s="3083">
        <f>$I$3</f>
        <v>0</v>
      </c>
      <c r="D111" s="3083">
        <f t="shared" ref="D111:M111" si="32">$I$3</f>
        <v>0</v>
      </c>
      <c r="E111" s="3083">
        <f t="shared" si="32"/>
        <v>0</v>
      </c>
      <c r="F111" s="3083">
        <f t="shared" si="32"/>
        <v>0</v>
      </c>
      <c r="G111" s="3083">
        <f t="shared" si="32"/>
        <v>0</v>
      </c>
      <c r="H111" s="3083">
        <f t="shared" si="32"/>
        <v>0</v>
      </c>
      <c r="I111" s="3083">
        <f t="shared" si="32"/>
        <v>0</v>
      </c>
      <c r="J111" s="3083">
        <f t="shared" si="32"/>
        <v>0</v>
      </c>
      <c r="K111" s="3083">
        <f t="shared" si="32"/>
        <v>0</v>
      </c>
      <c r="L111" s="3083">
        <f t="shared" si="32"/>
        <v>0</v>
      </c>
      <c r="M111" s="3083">
        <f t="shared" si="32"/>
        <v>0</v>
      </c>
      <c r="N111" s="3083">
        <f>$I$3</f>
        <v>0</v>
      </c>
    </row>
    <row r="112" spans="1:14">
      <c r="A112" s="3492"/>
      <c r="B112" s="3082">
        <v>6</v>
      </c>
      <c r="C112" s="3077">
        <f>(-0.5556*(C111^2)-0.2719*C111+8944)*(10^(-4))</f>
        <v>0.89440000000000008</v>
      </c>
      <c r="D112" s="3077">
        <f>(-0.5556*(D111^2)-0.2719*D111+8944)*(10^(-4))</f>
        <v>0.89440000000000008</v>
      </c>
      <c r="E112" s="3077">
        <f>(-0.7912*(E111^2)-11.3794*E111+8482)*(10^(-4))</f>
        <v>0.84820000000000007</v>
      </c>
      <c r="F112" s="3077">
        <f t="shared" ref="F112:I112" si="33">(-0.7912*(F111^2)-11.3794*F111+8482)*(10^(-4))</f>
        <v>0.84820000000000007</v>
      </c>
      <c r="G112" s="3077">
        <f t="shared" si="33"/>
        <v>0.84820000000000007</v>
      </c>
      <c r="H112" s="3077">
        <f t="shared" si="33"/>
        <v>0.84820000000000007</v>
      </c>
      <c r="I112" s="3077">
        <f t="shared" si="33"/>
        <v>0.84820000000000007</v>
      </c>
      <c r="J112" s="3077">
        <f>(-0.989*(J111^2)-63.78*J111+7771)*(10^(-4))</f>
        <v>0.77710000000000001</v>
      </c>
      <c r="K112" s="3077">
        <f t="shared" ref="K112:N112" si="34">(-0.989*(K111^2)-63.78*K111+7771)*(10^(-4))</f>
        <v>0.77710000000000001</v>
      </c>
      <c r="L112" s="3077">
        <f t="shared" si="34"/>
        <v>0.77710000000000001</v>
      </c>
      <c r="M112" s="3077">
        <f t="shared" si="34"/>
        <v>0.77710000000000001</v>
      </c>
      <c r="N112" s="3077">
        <f t="shared" si="34"/>
        <v>0.77710000000000001</v>
      </c>
    </row>
    <row r="113" spans="1:14">
      <c r="A113" s="3493" t="s">
        <v>3301</v>
      </c>
      <c r="B113" s="3493"/>
      <c r="C113" s="3493"/>
      <c r="D113" s="3493"/>
      <c r="E113" s="3493"/>
      <c r="F113" s="3493"/>
      <c r="G113" s="3493"/>
      <c r="H113" s="3493"/>
      <c r="I113" s="3493"/>
      <c r="J113" s="3493"/>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3302</v>
      </c>
      <c r="B116" s="3102">
        <f>G3</f>
        <v>0</v>
      </c>
      <c r="C116" s="3087" t="s">
        <v>3303</v>
      </c>
      <c r="D116" s="3088">
        <f>SUMPRODUCT((A118:A122=F116)*(B117:M117=H116)*B118:M122)</f>
        <v>0</v>
      </c>
      <c r="E116" s="161" t="s">
        <v>3304</v>
      </c>
      <c r="F116" s="3089">
        <f>E2</f>
        <v>0</v>
      </c>
      <c r="G116" s="161" t="s">
        <v>3305</v>
      </c>
      <c r="H116" s="3089">
        <f>G2</f>
        <v>0</v>
      </c>
      <c r="I116" s="161"/>
      <c r="J116" s="3090"/>
      <c r="K116" s="3090"/>
      <c r="L116" s="3090"/>
      <c r="M116" s="3090"/>
      <c r="N116" s="3085"/>
    </row>
    <row r="117" spans="1:14">
      <c r="A117" s="3091"/>
      <c r="B117" s="3092" t="s">
        <v>3306</v>
      </c>
      <c r="C117" s="3092" t="s">
        <v>3307</v>
      </c>
      <c r="D117" s="3092" t="s">
        <v>3308</v>
      </c>
      <c r="E117" s="3093" t="s">
        <v>3309</v>
      </c>
      <c r="F117" s="3093" t="s">
        <v>3310</v>
      </c>
      <c r="G117" s="3093" t="s">
        <v>3311</v>
      </c>
      <c r="H117" s="3094" t="s">
        <v>3312</v>
      </c>
      <c r="I117" s="3094" t="s">
        <v>3313</v>
      </c>
      <c r="J117" s="3095" t="s">
        <v>3314</v>
      </c>
      <c r="K117" s="3095" t="s">
        <v>3315</v>
      </c>
      <c r="L117" s="3095" t="s">
        <v>3316</v>
      </c>
      <c r="M117" s="3096" t="s">
        <v>3317</v>
      </c>
      <c r="N117" s="3085"/>
    </row>
    <row r="118" spans="1:14">
      <c r="A118" s="3045" t="s">
        <v>3318</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5">I118</f>
        <v>0.84860000000000002</v>
      </c>
      <c r="K118" s="3077">
        <f t="shared" si="35"/>
        <v>0.84860000000000002</v>
      </c>
      <c r="L118" s="3077">
        <f t="shared" si="35"/>
        <v>0.84860000000000002</v>
      </c>
      <c r="M118" s="3097">
        <f t="shared" si="35"/>
        <v>0.84860000000000002</v>
      </c>
      <c r="N118" s="3085"/>
    </row>
    <row r="119" spans="1:14">
      <c r="A119" s="3045" t="s">
        <v>3319</v>
      </c>
      <c r="B119" s="3077">
        <f>ROUND(0.993-0.0112*B116,4)</f>
        <v>0.99299999999999999</v>
      </c>
      <c r="C119" s="3077">
        <f>B119</f>
        <v>0.99299999999999999</v>
      </c>
      <c r="D119" s="3077">
        <f>ROUND(0.9415-0.0142*B116,4)</f>
        <v>0.9415</v>
      </c>
      <c r="E119" s="3077">
        <f t="shared" ref="E119:H120" si="36">D119</f>
        <v>0.9415</v>
      </c>
      <c r="F119" s="3077">
        <f t="shared" si="36"/>
        <v>0.9415</v>
      </c>
      <c r="G119" s="3077">
        <f t="shared" si="36"/>
        <v>0.9415</v>
      </c>
      <c r="H119" s="3077">
        <f t="shared" si="36"/>
        <v>0.9415</v>
      </c>
      <c r="I119" s="3077">
        <f>ROUND(0.838-0.0182*B116,4)</f>
        <v>0.83799999999999997</v>
      </c>
      <c r="J119" s="3077">
        <f t="shared" si="35"/>
        <v>0.83799999999999997</v>
      </c>
      <c r="K119" s="3077">
        <f t="shared" si="35"/>
        <v>0.83799999999999997</v>
      </c>
      <c r="L119" s="3077">
        <f t="shared" si="35"/>
        <v>0.83799999999999997</v>
      </c>
      <c r="M119" s="3097">
        <f t="shared" si="35"/>
        <v>0.83799999999999997</v>
      </c>
      <c r="N119" s="3085"/>
    </row>
    <row r="120" spans="1:14">
      <c r="A120" s="3045" t="s">
        <v>3320</v>
      </c>
      <c r="B120" s="3077">
        <f>ROUND(0.9448-0.0115*B116,4)</f>
        <v>0.94479999999999997</v>
      </c>
      <c r="C120" s="3077">
        <f>B120</f>
        <v>0.94479999999999997</v>
      </c>
      <c r="D120" s="3077">
        <f>ROUND(0.937-0.0145*B116,4)</f>
        <v>0.93700000000000006</v>
      </c>
      <c r="E120" s="3077">
        <f t="shared" si="36"/>
        <v>0.93700000000000006</v>
      </c>
      <c r="F120" s="3077">
        <f t="shared" si="36"/>
        <v>0.93700000000000006</v>
      </c>
      <c r="G120" s="3077">
        <f t="shared" si="36"/>
        <v>0.93700000000000006</v>
      </c>
      <c r="H120" s="3077">
        <f t="shared" si="36"/>
        <v>0.93700000000000006</v>
      </c>
      <c r="I120" s="3077">
        <f>ROUND(0.7965-0.0185*B116,4)</f>
        <v>0.79649999999999999</v>
      </c>
      <c r="J120" s="3077">
        <f t="shared" si="35"/>
        <v>0.79649999999999999</v>
      </c>
      <c r="K120" s="3077">
        <f t="shared" si="35"/>
        <v>0.79649999999999999</v>
      </c>
      <c r="L120" s="3077">
        <f t="shared" si="35"/>
        <v>0.79649999999999999</v>
      </c>
      <c r="M120" s="3097">
        <f t="shared" si="35"/>
        <v>0.79649999999999999</v>
      </c>
      <c r="N120" s="3085"/>
    </row>
    <row r="121" spans="1:14" ht="13.5" thickBot="1">
      <c r="A121" s="3098" t="s">
        <v>3321</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5"/>
        <v>0.59050000000000002</v>
      </c>
      <c r="K121" s="3099">
        <f t="shared" si="35"/>
        <v>0.59050000000000002</v>
      </c>
      <c r="L121" s="3099">
        <f t="shared" si="35"/>
        <v>0.59050000000000002</v>
      </c>
      <c r="M121" s="3100">
        <f t="shared" si="35"/>
        <v>0.59050000000000002</v>
      </c>
      <c r="N121" s="3085"/>
    </row>
    <row r="122" spans="1:14">
      <c r="A122" s="3101" t="s">
        <v>2602</v>
      </c>
      <c r="B122" s="3077">
        <f>ROUND(0.9404-0.0106*B116,4)</f>
        <v>0.94040000000000001</v>
      </c>
      <c r="C122" s="3077">
        <f>B122</f>
        <v>0.94040000000000001</v>
      </c>
      <c r="D122" s="3077">
        <f>ROUND(0.8955-0.0135*B116,4)</f>
        <v>0.89549999999999996</v>
      </c>
      <c r="E122" s="3077">
        <f t="shared" ref="E122:H122" si="37">D122</f>
        <v>0.89549999999999996</v>
      </c>
      <c r="F122" s="3077">
        <f t="shared" si="37"/>
        <v>0.89549999999999996</v>
      </c>
      <c r="G122" s="3077">
        <f t="shared" si="37"/>
        <v>0.89549999999999996</v>
      </c>
      <c r="H122" s="3077">
        <f t="shared" si="37"/>
        <v>0.89549999999999996</v>
      </c>
      <c r="I122" s="3077">
        <f>ROUND(0.7632-0.0166*B116,4)</f>
        <v>0.76319999999999999</v>
      </c>
      <c r="J122" s="3077">
        <f t="shared" si="35"/>
        <v>0.76319999999999999</v>
      </c>
      <c r="K122" s="3077">
        <f t="shared" si="35"/>
        <v>0.76319999999999999</v>
      </c>
      <c r="L122" s="3077">
        <f t="shared" si="35"/>
        <v>0.76319999999999999</v>
      </c>
      <c r="M122" s="3097">
        <f t="shared" si="35"/>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2584</v>
      </c>
      <c r="B1" s="2799" t="s">
        <v>2585</v>
      </c>
      <c r="C1" s="2799" t="s">
        <v>2586</v>
      </c>
      <c r="D1" s="2799" t="s">
        <v>2587</v>
      </c>
      <c r="E1" s="2799" t="s">
        <v>2588</v>
      </c>
      <c r="F1" s="2799" t="s">
        <v>2589</v>
      </c>
      <c r="G1" s="2799" t="s">
        <v>2590</v>
      </c>
      <c r="H1" s="2799" t="s">
        <v>2591</v>
      </c>
      <c r="I1" s="2799" t="s">
        <v>2592</v>
      </c>
      <c r="J1" s="2799" t="s">
        <v>2593</v>
      </c>
      <c r="K1" s="2799" t="s">
        <v>2594</v>
      </c>
      <c r="L1" s="2799" t="s">
        <v>2595</v>
      </c>
      <c r="M1" s="2800" t="s">
        <v>2596</v>
      </c>
    </row>
    <row r="2" spans="1:13" ht="19.5" customHeight="1">
      <c r="A2" s="2802" t="s">
        <v>2597</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2598</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2599</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2600</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2601</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2602</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2603</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2604</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2605</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2606</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2607</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2608</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2609</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2610</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2611</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2612</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2613</v>
      </c>
      <c r="B18" s="2824"/>
      <c r="C18" s="2825"/>
      <c r="D18" s="2825"/>
      <c r="E18" s="2824"/>
      <c r="F18" s="2825"/>
      <c r="G18" s="2825"/>
    </row>
    <row r="19" spans="1:13" ht="19.5" customHeight="1" thickBot="1">
      <c r="A19" s="2822" t="s">
        <v>2614</v>
      </c>
      <c r="B19" s="2827" t="s">
        <v>2615</v>
      </c>
      <c r="C19" s="2827" t="s">
        <v>2616</v>
      </c>
      <c r="D19" s="2828"/>
      <c r="E19" s="2822" t="s">
        <v>2617</v>
      </c>
      <c r="F19" s="2829"/>
      <c r="G19" s="2829"/>
    </row>
    <row r="20" spans="1:13" ht="19.5" customHeight="1">
      <c r="A20" s="3516" t="s">
        <v>2597</v>
      </c>
      <c r="B20" s="3509" t="s">
        <v>2618</v>
      </c>
      <c r="C20" s="2830" t="s">
        <v>2429</v>
      </c>
      <c r="D20" s="2831"/>
      <c r="E20" s="2832">
        <v>1</v>
      </c>
      <c r="F20" s="2833" t="s">
        <v>2430</v>
      </c>
      <c r="G20" s="2833"/>
    </row>
    <row r="21" spans="1:13" ht="19.5" customHeight="1">
      <c r="A21" s="3517"/>
      <c r="B21" s="3510"/>
      <c r="C21" s="2834" t="s">
        <v>2431</v>
      </c>
      <c r="D21" s="2835"/>
      <c r="E21" s="2836">
        <v>1</v>
      </c>
      <c r="F21" s="2833" t="s">
        <v>2432</v>
      </c>
      <c r="G21" s="2833"/>
    </row>
    <row r="22" spans="1:13" ht="19.5" customHeight="1">
      <c r="A22" s="3517"/>
      <c r="B22" s="3510"/>
      <c r="C22" s="2834" t="s">
        <v>2433</v>
      </c>
      <c r="D22" s="2835"/>
      <c r="E22" s="2836">
        <v>0.9</v>
      </c>
      <c r="F22" s="2833" t="s">
        <v>2434</v>
      </c>
      <c r="G22" s="2833"/>
    </row>
    <row r="23" spans="1:13" ht="19.5" customHeight="1">
      <c r="A23" s="3517"/>
      <c r="B23" s="3510"/>
      <c r="C23" s="2834" t="s">
        <v>2435</v>
      </c>
      <c r="D23" s="2835"/>
      <c r="E23" s="2836">
        <v>0.9</v>
      </c>
      <c r="F23" s="2833" t="s">
        <v>2436</v>
      </c>
      <c r="G23" s="2833"/>
    </row>
    <row r="24" spans="1:13" ht="19.5" customHeight="1">
      <c r="A24" s="3517"/>
      <c r="B24" s="3510"/>
      <c r="C24" s="2834" t="s">
        <v>2437</v>
      </c>
      <c r="D24" s="2835"/>
      <c r="E24" s="2836">
        <v>0.8</v>
      </c>
      <c r="F24" s="2833" t="s">
        <v>2438</v>
      </c>
      <c r="G24" s="2833"/>
    </row>
    <row r="25" spans="1:13" ht="19.5" customHeight="1" thickBot="1">
      <c r="A25" s="3518"/>
      <c r="B25" s="3511"/>
      <c r="C25" s="2837" t="s">
        <v>2439</v>
      </c>
      <c r="D25" s="2838"/>
      <c r="E25" s="2839">
        <v>0.8</v>
      </c>
      <c r="F25" s="2833" t="s">
        <v>2440</v>
      </c>
      <c r="G25" s="2833"/>
    </row>
    <row r="26" spans="1:13" ht="19.5" customHeight="1" thickBot="1">
      <c r="A26" s="2840" t="s">
        <v>2619</v>
      </c>
      <c r="B26" s="2841" t="s">
        <v>2618</v>
      </c>
      <c r="C26" s="2842" t="s">
        <v>2620</v>
      </c>
      <c r="D26" s="2843"/>
      <c r="E26" s="2844">
        <v>1</v>
      </c>
      <c r="F26" s="2833" t="s">
        <v>2441</v>
      </c>
      <c r="G26" s="2833"/>
    </row>
    <row r="27" spans="1:13" ht="19.5" customHeight="1">
      <c r="A27" s="3512" t="s">
        <v>2621</v>
      </c>
      <c r="B27" s="3509" t="s">
        <v>2602</v>
      </c>
      <c r="C27" s="2830" t="s">
        <v>2442</v>
      </c>
      <c r="D27" s="2831"/>
      <c r="E27" s="2832">
        <v>1</v>
      </c>
      <c r="F27" s="2833" t="s">
        <v>2443</v>
      </c>
      <c r="G27" s="2833"/>
    </row>
    <row r="28" spans="1:13" ht="19.5" customHeight="1">
      <c r="A28" s="3513"/>
      <c r="B28" s="3510"/>
      <c r="C28" s="2834" t="s">
        <v>2444</v>
      </c>
      <c r="D28" s="2835"/>
      <c r="E28" s="2836">
        <v>1</v>
      </c>
      <c r="F28" s="2833" t="s">
        <v>2445</v>
      </c>
      <c r="G28" s="2833"/>
    </row>
    <row r="29" spans="1:13" ht="19.5" customHeight="1">
      <c r="A29" s="3513"/>
      <c r="B29" s="3510"/>
      <c r="C29" s="2834" t="s">
        <v>2446</v>
      </c>
      <c r="D29" s="2835"/>
      <c r="E29" s="2836">
        <v>0.8</v>
      </c>
      <c r="F29" s="2833" t="s">
        <v>2447</v>
      </c>
      <c r="G29" s="2833"/>
    </row>
    <row r="30" spans="1:13" ht="19.5" customHeight="1">
      <c r="A30" s="3513"/>
      <c r="B30" s="3510"/>
      <c r="C30" s="2834" t="s">
        <v>2448</v>
      </c>
      <c r="D30" s="2835"/>
      <c r="E30" s="2836">
        <v>0.8</v>
      </c>
      <c r="F30" s="2833" t="s">
        <v>2449</v>
      </c>
      <c r="G30" s="2833"/>
    </row>
    <row r="31" spans="1:13" ht="19.5" customHeight="1">
      <c r="A31" s="3513"/>
      <c r="B31" s="3510"/>
      <c r="C31" s="2834" t="s">
        <v>2450</v>
      </c>
      <c r="D31" s="2835"/>
      <c r="E31" s="2836">
        <v>0.8</v>
      </c>
      <c r="F31" s="2833" t="s">
        <v>2451</v>
      </c>
      <c r="G31" s="2833"/>
    </row>
    <row r="32" spans="1:13" ht="19.5" customHeight="1">
      <c r="A32" s="3513"/>
      <c r="B32" s="3510"/>
      <c r="C32" s="2834" t="s">
        <v>2452</v>
      </c>
      <c r="D32" s="2835"/>
      <c r="E32" s="2836">
        <v>0.7</v>
      </c>
      <c r="F32" s="2833" t="s">
        <v>2453</v>
      </c>
      <c r="G32" s="2833"/>
    </row>
    <row r="33" spans="1:7" ht="19.5" customHeight="1">
      <c r="A33" s="3513"/>
      <c r="B33" s="3510"/>
      <c r="C33" s="2834" t="s">
        <v>2454</v>
      </c>
      <c r="D33" s="2835"/>
      <c r="E33" s="2836">
        <v>0.8</v>
      </c>
      <c r="F33" s="2833" t="s">
        <v>2455</v>
      </c>
      <c r="G33" s="2833"/>
    </row>
    <row r="34" spans="1:7" ht="19.5" customHeight="1">
      <c r="A34" s="3513"/>
      <c r="B34" s="3510"/>
      <c r="C34" s="2834" t="s">
        <v>2456</v>
      </c>
      <c r="D34" s="2835"/>
      <c r="E34" s="2836">
        <v>0.6</v>
      </c>
      <c r="F34" s="2833" t="s">
        <v>2457</v>
      </c>
      <c r="G34" s="2833"/>
    </row>
    <row r="35" spans="1:7" ht="19.5" customHeight="1">
      <c r="A35" s="3513"/>
      <c r="B35" s="3510"/>
      <c r="C35" s="2834" t="s">
        <v>2458</v>
      </c>
      <c r="D35" s="2835"/>
      <c r="E35" s="2836">
        <v>0.2</v>
      </c>
      <c r="F35" s="2833" t="s">
        <v>2459</v>
      </c>
      <c r="G35" s="2833"/>
    </row>
    <row r="36" spans="1:7" ht="19.5" customHeight="1">
      <c r="A36" s="3513"/>
      <c r="B36" s="3510"/>
      <c r="C36" s="2834" t="s">
        <v>2460</v>
      </c>
      <c r="D36" s="2835"/>
      <c r="E36" s="2836">
        <v>0.2</v>
      </c>
      <c r="F36" s="2833" t="s">
        <v>2461</v>
      </c>
      <c r="G36" s="2833"/>
    </row>
    <row r="37" spans="1:7" ht="19.5" customHeight="1">
      <c r="A37" s="3513"/>
      <c r="B37" s="3515" t="s">
        <v>2622</v>
      </c>
      <c r="C37" s="2834" t="s">
        <v>2462</v>
      </c>
      <c r="D37" s="2835"/>
      <c r="E37" s="2836">
        <v>0.6</v>
      </c>
      <c r="F37" s="2833" t="s">
        <v>2463</v>
      </c>
      <c r="G37" s="2833"/>
    </row>
    <row r="38" spans="1:7" ht="19.5" customHeight="1">
      <c r="A38" s="3513"/>
      <c r="B38" s="3510"/>
      <c r="C38" s="2834" t="s">
        <v>2464</v>
      </c>
      <c r="D38" s="2835"/>
      <c r="E38" s="2836">
        <v>0.6</v>
      </c>
      <c r="F38" s="2833" t="s">
        <v>2465</v>
      </c>
      <c r="G38" s="2833"/>
    </row>
    <row r="39" spans="1:7" ht="19.5" customHeight="1" thickBot="1">
      <c r="A39" s="3514"/>
      <c r="B39" s="3511"/>
      <c r="C39" s="2837" t="s">
        <v>2466</v>
      </c>
      <c r="D39" s="2838"/>
      <c r="E39" s="2839">
        <v>0.6</v>
      </c>
      <c r="F39" s="2833" t="s">
        <v>2467</v>
      </c>
      <c r="G39" s="2833"/>
    </row>
    <row r="40" spans="1:7" ht="19.5" customHeight="1" thickBot="1">
      <c r="A40" s="2840" t="s">
        <v>2599</v>
      </c>
      <c r="B40" s="2841" t="s">
        <v>2599</v>
      </c>
      <c r="C40" s="2842" t="s">
        <v>2623</v>
      </c>
      <c r="D40" s="2843"/>
      <c r="E40" s="2844">
        <v>1</v>
      </c>
      <c r="F40" s="2833" t="s">
        <v>2468</v>
      </c>
      <c r="G40" s="2833"/>
    </row>
    <row r="41" spans="1:7" ht="19.5" customHeight="1">
      <c r="A41" s="3516" t="s">
        <v>2600</v>
      </c>
      <c r="B41" s="3509" t="s">
        <v>2624</v>
      </c>
      <c r="C41" s="2830" t="s">
        <v>2469</v>
      </c>
      <c r="D41" s="2831"/>
      <c r="E41" s="2832">
        <v>1</v>
      </c>
      <c r="F41" s="2833" t="s">
        <v>2470</v>
      </c>
      <c r="G41" s="2833"/>
    </row>
    <row r="42" spans="1:7" ht="19.5" customHeight="1">
      <c r="A42" s="3517"/>
      <c r="B42" s="3510"/>
      <c r="C42" s="2834" t="s">
        <v>2471</v>
      </c>
      <c r="D42" s="2835"/>
      <c r="E42" s="2836">
        <v>1</v>
      </c>
      <c r="F42" s="2833" t="s">
        <v>2472</v>
      </c>
      <c r="G42" s="2833"/>
    </row>
    <row r="43" spans="1:7" ht="19.5" customHeight="1">
      <c r="A43" s="3517"/>
      <c r="B43" s="3519"/>
      <c r="C43" s="2834" t="s">
        <v>2473</v>
      </c>
      <c r="D43" s="2835"/>
      <c r="E43" s="2836">
        <v>1.5</v>
      </c>
      <c r="F43" s="2833" t="s">
        <v>2474</v>
      </c>
      <c r="G43" s="2833"/>
    </row>
    <row r="44" spans="1:7" ht="19.5" customHeight="1">
      <c r="A44" s="3517"/>
      <c r="B44" s="2845" t="s">
        <v>2625</v>
      </c>
      <c r="C44" s="2834" t="s">
        <v>2626</v>
      </c>
      <c r="D44" s="2835"/>
      <c r="E44" s="2836">
        <v>2</v>
      </c>
      <c r="F44" s="2833" t="s">
        <v>2475</v>
      </c>
      <c r="G44" s="2833"/>
    </row>
    <row r="45" spans="1:7" ht="19.5" customHeight="1">
      <c r="A45" s="3517"/>
      <c r="B45" s="3515" t="s">
        <v>2627</v>
      </c>
      <c r="C45" s="2834" t="s">
        <v>2476</v>
      </c>
      <c r="D45" s="2835"/>
      <c r="E45" s="2836">
        <v>1</v>
      </c>
      <c r="F45" s="2833" t="s">
        <v>2477</v>
      </c>
      <c r="G45" s="2833"/>
    </row>
    <row r="46" spans="1:7" ht="19.5" customHeight="1">
      <c r="A46" s="3517"/>
      <c r="B46" s="3510"/>
      <c r="C46" s="2834" t="s">
        <v>2478</v>
      </c>
      <c r="D46" s="2835"/>
      <c r="E46" s="2836">
        <v>1</v>
      </c>
      <c r="F46" s="2833" t="s">
        <v>2479</v>
      </c>
      <c r="G46" s="2833"/>
    </row>
    <row r="47" spans="1:7" ht="19.5" customHeight="1">
      <c r="A47" s="3517"/>
      <c r="B47" s="3510"/>
      <c r="C47" s="2834" t="s">
        <v>2480</v>
      </c>
      <c r="D47" s="2835"/>
      <c r="E47" s="2836">
        <v>1</v>
      </c>
      <c r="F47" s="2833" t="s">
        <v>2481</v>
      </c>
      <c r="G47" s="2833"/>
    </row>
    <row r="48" spans="1:7" ht="19.5" customHeight="1">
      <c r="A48" s="3517"/>
      <c r="B48" s="3510"/>
      <c r="C48" s="2834" t="s">
        <v>2482</v>
      </c>
      <c r="D48" s="2835"/>
      <c r="E48" s="2836">
        <v>1</v>
      </c>
      <c r="F48" s="2833" t="s">
        <v>2483</v>
      </c>
      <c r="G48" s="2833"/>
    </row>
    <row r="49" spans="1:7" ht="19.5" customHeight="1">
      <c r="A49" s="3517"/>
      <c r="B49" s="3510"/>
      <c r="C49" s="2834" t="s">
        <v>2484</v>
      </c>
      <c r="D49" s="2835"/>
      <c r="E49" s="2836">
        <v>1</v>
      </c>
      <c r="F49" s="2833" t="s">
        <v>2485</v>
      </c>
      <c r="G49" s="2833"/>
    </row>
    <row r="50" spans="1:7" ht="19.5" customHeight="1">
      <c r="A50" s="3517"/>
      <c r="B50" s="3510"/>
      <c r="C50" s="2834" t="s">
        <v>2486</v>
      </c>
      <c r="D50" s="2835"/>
      <c r="E50" s="2836">
        <v>1</v>
      </c>
      <c r="F50" s="2833" t="s">
        <v>2487</v>
      </c>
      <c r="G50" s="2833"/>
    </row>
    <row r="51" spans="1:7" ht="19.5" customHeight="1" thickBot="1">
      <c r="A51" s="3518"/>
      <c r="B51" s="3511"/>
      <c r="C51" s="2837" t="s">
        <v>2488</v>
      </c>
      <c r="D51" s="2838"/>
      <c r="E51" s="2839">
        <v>1</v>
      </c>
      <c r="F51" s="2833" t="s">
        <v>2489</v>
      </c>
      <c r="G51" s="2833"/>
    </row>
    <row r="52" spans="1:7" ht="19.5" customHeight="1">
      <c r="A52" s="2846"/>
      <c r="B52" s="2846"/>
      <c r="C52" s="2846"/>
      <c r="D52" s="2846"/>
      <c r="E52" s="2846"/>
      <c r="F52" s="2846"/>
      <c r="G52" s="2846"/>
    </row>
    <row r="54" spans="1:7" ht="19.5" customHeight="1">
      <c r="A54" s="2847"/>
      <c r="B54" s="2819" t="s">
        <v>2628</v>
      </c>
      <c r="C54" s="2819" t="s">
        <v>2628</v>
      </c>
      <c r="D54" s="2819" t="s">
        <v>2628</v>
      </c>
      <c r="E54" s="2822" t="s">
        <v>2628</v>
      </c>
      <c r="F54" s="2822" t="s">
        <v>2629</v>
      </c>
      <c r="G54" s="2822" t="s">
        <v>2630</v>
      </c>
    </row>
    <row r="55" spans="1:7" ht="19.5" customHeight="1">
      <c r="A55" s="2848"/>
      <c r="B55" s="2822" t="s">
        <v>2597</v>
      </c>
      <c r="C55" s="2822" t="s">
        <v>2597</v>
      </c>
      <c r="D55" s="2822" t="s">
        <v>2597</v>
      </c>
      <c r="E55" s="2819" t="s">
        <v>2598</v>
      </c>
      <c r="F55" s="2819" t="s">
        <v>2600</v>
      </c>
      <c r="G55" s="2819" t="s">
        <v>2631</v>
      </c>
    </row>
    <row r="56" spans="1:7" ht="19.5" customHeight="1">
      <c r="A56" s="2849"/>
      <c r="B56" s="2819">
        <v>1</v>
      </c>
      <c r="C56" s="2819">
        <v>2</v>
      </c>
      <c r="D56" s="2819">
        <v>3</v>
      </c>
      <c r="E56" s="2850" t="s">
        <v>2632</v>
      </c>
      <c r="F56" s="2850" t="s">
        <v>2632</v>
      </c>
      <c r="G56" s="2850" t="s">
        <v>2632</v>
      </c>
    </row>
    <row r="57" spans="1:7" ht="19.5" customHeight="1">
      <c r="A57" s="2851" t="s">
        <v>2585</v>
      </c>
      <c r="B57" s="2819">
        <v>0.7</v>
      </c>
      <c r="C57" s="2819">
        <v>0.4</v>
      </c>
      <c r="D57" s="2819">
        <v>0.3</v>
      </c>
      <c r="E57" s="2850">
        <v>0.3</v>
      </c>
      <c r="F57" s="2819">
        <v>0.3</v>
      </c>
      <c r="G57" s="2819">
        <v>0.2</v>
      </c>
    </row>
    <row r="58" spans="1:7" ht="19.5" customHeight="1">
      <c r="A58" s="2851" t="s">
        <v>2586</v>
      </c>
      <c r="B58" s="2819">
        <v>0.7</v>
      </c>
      <c r="C58" s="2819">
        <v>0.4</v>
      </c>
      <c r="D58" s="2819">
        <v>0.3</v>
      </c>
      <c r="E58" s="2819">
        <v>0.3</v>
      </c>
      <c r="F58" s="2819">
        <v>0.3</v>
      </c>
      <c r="G58" s="2819">
        <v>0.2</v>
      </c>
    </row>
    <row r="59" spans="1:7" ht="19.5" customHeight="1">
      <c r="A59" s="2851" t="s">
        <v>2587</v>
      </c>
      <c r="B59" s="2819">
        <v>0.6</v>
      </c>
      <c r="C59" s="2819">
        <v>0.3</v>
      </c>
      <c r="D59" s="2819">
        <v>0.25</v>
      </c>
      <c r="E59" s="2819">
        <v>0.25</v>
      </c>
      <c r="F59" s="2819">
        <v>0.25</v>
      </c>
      <c r="G59" s="2819">
        <v>0.15</v>
      </c>
    </row>
    <row r="60" spans="1:7" ht="19.5" customHeight="1">
      <c r="A60" s="2851" t="s">
        <v>2588</v>
      </c>
      <c r="B60" s="2819">
        <v>0.6</v>
      </c>
      <c r="C60" s="2819">
        <v>0.3</v>
      </c>
      <c r="D60" s="2819">
        <v>0.25</v>
      </c>
      <c r="E60" s="2819">
        <v>0.25</v>
      </c>
      <c r="F60" s="2819">
        <v>0.25</v>
      </c>
      <c r="G60" s="2819">
        <v>0.15</v>
      </c>
    </row>
    <row r="61" spans="1:7" ht="19.5" customHeight="1">
      <c r="A61" s="2851" t="s">
        <v>2589</v>
      </c>
      <c r="B61" s="2819">
        <v>0.6</v>
      </c>
      <c r="C61" s="2819">
        <v>0.3</v>
      </c>
      <c r="D61" s="2819">
        <v>0.25</v>
      </c>
      <c r="E61" s="2819">
        <v>0.25</v>
      </c>
      <c r="F61" s="2819">
        <v>0.25</v>
      </c>
      <c r="G61" s="2819">
        <v>0.15</v>
      </c>
    </row>
    <row r="62" spans="1:7" ht="19.5" customHeight="1">
      <c r="A62" s="2851" t="s">
        <v>2590</v>
      </c>
      <c r="B62" s="2819">
        <v>0.6</v>
      </c>
      <c r="C62" s="2819">
        <v>0.3</v>
      </c>
      <c r="D62" s="2819">
        <v>0.25</v>
      </c>
      <c r="E62" s="2819">
        <v>0.25</v>
      </c>
      <c r="F62" s="2819">
        <v>0.25</v>
      </c>
      <c r="G62" s="2819">
        <v>0.15</v>
      </c>
    </row>
    <row r="63" spans="1:7" ht="19.5" customHeight="1">
      <c r="A63" s="2851" t="s">
        <v>2591</v>
      </c>
      <c r="B63" s="2819">
        <v>0.6</v>
      </c>
      <c r="C63" s="2819">
        <v>0.3</v>
      </c>
      <c r="D63" s="2819">
        <v>0.25</v>
      </c>
      <c r="E63" s="2819">
        <v>0.25</v>
      </c>
      <c r="F63" s="2819">
        <v>0.25</v>
      </c>
      <c r="G63" s="2819">
        <v>0.15</v>
      </c>
    </row>
    <row r="64" spans="1:7" ht="19.5" customHeight="1">
      <c r="A64" s="2851" t="s">
        <v>2592</v>
      </c>
      <c r="B64" s="2819">
        <v>0.5</v>
      </c>
      <c r="C64" s="2819">
        <v>0.2</v>
      </c>
      <c r="D64" s="2819">
        <v>0.2</v>
      </c>
      <c r="E64" s="2819">
        <v>0.2</v>
      </c>
      <c r="F64" s="2819">
        <v>0.2</v>
      </c>
      <c r="G64" s="2819">
        <v>0.1</v>
      </c>
    </row>
    <row r="65" spans="1:7" ht="19.5" customHeight="1">
      <c r="A65" s="2851" t="s">
        <v>2593</v>
      </c>
      <c r="B65" s="2819">
        <v>0.5</v>
      </c>
      <c r="C65" s="2819">
        <v>0.2</v>
      </c>
      <c r="D65" s="2819">
        <v>0.2</v>
      </c>
      <c r="E65" s="2819">
        <v>0.2</v>
      </c>
      <c r="F65" s="2819">
        <v>0.2</v>
      </c>
      <c r="G65" s="2819">
        <v>0.1</v>
      </c>
    </row>
    <row r="66" spans="1:7" ht="19.5" customHeight="1">
      <c r="A66" s="2851" t="s">
        <v>2594</v>
      </c>
      <c r="B66" s="2819">
        <v>0.5</v>
      </c>
      <c r="C66" s="2819">
        <v>0.2</v>
      </c>
      <c r="D66" s="2819">
        <v>0.2</v>
      </c>
      <c r="E66" s="2819">
        <v>0.2</v>
      </c>
      <c r="F66" s="2819">
        <v>0.2</v>
      </c>
      <c r="G66" s="2819">
        <v>0.1</v>
      </c>
    </row>
    <row r="67" spans="1:7" ht="19.5" customHeight="1">
      <c r="A67" s="2851" t="s">
        <v>2595</v>
      </c>
      <c r="B67" s="2819">
        <v>0.5</v>
      </c>
      <c r="C67" s="2819">
        <v>0.2</v>
      </c>
      <c r="D67" s="2819">
        <v>0.2</v>
      </c>
      <c r="E67" s="2819">
        <v>0.2</v>
      </c>
      <c r="F67" s="2819">
        <v>0.2</v>
      </c>
      <c r="G67" s="2819">
        <v>0.1</v>
      </c>
    </row>
    <row r="68" spans="1:7" ht="19.5" customHeight="1">
      <c r="A68" s="2851" t="s">
        <v>2596</v>
      </c>
      <c r="B68" s="2819">
        <v>0.5</v>
      </c>
      <c r="C68" s="2819">
        <v>0.2</v>
      </c>
      <c r="D68" s="2819">
        <v>0.2</v>
      </c>
      <c r="E68" s="2819">
        <v>0.2</v>
      </c>
      <c r="F68" s="2819">
        <v>0.2</v>
      </c>
      <c r="G68" s="2819">
        <v>0.1</v>
      </c>
    </row>
    <row r="70" spans="1:7" ht="19.5" customHeight="1">
      <c r="A70" s="2833"/>
      <c r="B70" s="2852"/>
      <c r="C70" s="2852"/>
      <c r="D70" s="2852" t="s">
        <v>2633</v>
      </c>
      <c r="E70" s="2852"/>
      <c r="F70" s="2852"/>
    </row>
    <row r="71" spans="1:7" ht="19.5" customHeight="1">
      <c r="A71" s="2845" t="s">
        <v>2634</v>
      </c>
      <c r="B71" s="2845" t="s">
        <v>2635</v>
      </c>
      <c r="C71" s="2845" t="s">
        <v>2636</v>
      </c>
      <c r="D71" s="2845" t="s">
        <v>2637</v>
      </c>
      <c r="E71" s="2845" t="s">
        <v>2638</v>
      </c>
      <c r="F71" s="2845" t="s">
        <v>2639</v>
      </c>
    </row>
    <row r="72" spans="1:7" ht="13.5">
      <c r="A72" s="2845"/>
      <c r="B72" s="2845"/>
      <c r="C72" s="2845" t="s">
        <v>2640</v>
      </c>
      <c r="D72" s="2845"/>
      <c r="E72" s="2845" t="s">
        <v>2611</v>
      </c>
      <c r="F72" s="2845" t="s">
        <v>2611</v>
      </c>
    </row>
    <row r="73" spans="1:7" ht="13.5">
      <c r="A73" s="2845">
        <v>1</v>
      </c>
      <c r="B73" s="3515" t="s">
        <v>2641</v>
      </c>
      <c r="C73" s="2819" t="s">
        <v>2642</v>
      </c>
      <c r="D73" s="2819" t="s">
        <v>2643</v>
      </c>
      <c r="E73" s="2845">
        <v>0.2</v>
      </c>
      <c r="F73" s="2845">
        <v>25</v>
      </c>
    </row>
    <row r="74" spans="1:7" ht="24">
      <c r="A74" s="2845">
        <v>2</v>
      </c>
      <c r="B74" s="3510"/>
      <c r="C74" s="2819" t="s">
        <v>2644</v>
      </c>
      <c r="D74" s="2819" t="s">
        <v>2645</v>
      </c>
      <c r="E74" s="2845">
        <v>0.2</v>
      </c>
      <c r="F74" s="2845">
        <v>25</v>
      </c>
    </row>
    <row r="75" spans="1:7" ht="24">
      <c r="A75" s="2845">
        <v>3</v>
      </c>
      <c r="B75" s="3510"/>
      <c r="C75" s="2819" t="s">
        <v>2646</v>
      </c>
      <c r="D75" s="2819" t="s">
        <v>2647</v>
      </c>
      <c r="E75" s="2845">
        <v>0.2</v>
      </c>
      <c r="F75" s="2845">
        <v>25</v>
      </c>
    </row>
    <row r="76" spans="1:7" ht="13.5">
      <c r="A76" s="2845">
        <v>4</v>
      </c>
      <c r="B76" s="3510"/>
      <c r="C76" s="2819" t="s">
        <v>2648</v>
      </c>
      <c r="D76" s="2819" t="s">
        <v>2649</v>
      </c>
      <c r="E76" s="2845">
        <v>0.15</v>
      </c>
      <c r="F76" s="2845">
        <v>20</v>
      </c>
    </row>
    <row r="77" spans="1:7" ht="24">
      <c r="A77" s="2845">
        <v>5</v>
      </c>
      <c r="B77" s="3510"/>
      <c r="C77" s="2819" t="s">
        <v>2650</v>
      </c>
      <c r="D77" s="2819" t="s">
        <v>2651</v>
      </c>
      <c r="E77" s="2845">
        <v>0.15</v>
      </c>
      <c r="F77" s="2845">
        <v>20</v>
      </c>
    </row>
    <row r="78" spans="1:7" ht="24">
      <c r="A78" s="2845">
        <v>6</v>
      </c>
      <c r="B78" s="3510"/>
      <c r="C78" s="2819" t="s">
        <v>2652</v>
      </c>
      <c r="D78" s="2819" t="s">
        <v>2653</v>
      </c>
      <c r="E78" s="2845">
        <v>0.15</v>
      </c>
      <c r="F78" s="2845">
        <v>20</v>
      </c>
    </row>
    <row r="79" spans="1:7" ht="24">
      <c r="A79" s="2845">
        <v>7</v>
      </c>
      <c r="B79" s="3510"/>
      <c r="C79" s="2819" t="s">
        <v>2654</v>
      </c>
      <c r="D79" s="2819" t="s">
        <v>2655</v>
      </c>
      <c r="E79" s="2845">
        <v>0.15</v>
      </c>
      <c r="F79" s="2845">
        <v>20</v>
      </c>
    </row>
    <row r="80" spans="1:7" ht="24">
      <c r="A80" s="2845">
        <v>8</v>
      </c>
      <c r="B80" s="3510"/>
      <c r="C80" s="2819" t="s">
        <v>2656</v>
      </c>
      <c r="D80" s="2819" t="s">
        <v>2657</v>
      </c>
      <c r="E80" s="2845">
        <v>0.1</v>
      </c>
      <c r="F80" s="2845">
        <v>15</v>
      </c>
    </row>
    <row r="81" spans="1:6" ht="24">
      <c r="A81" s="2845">
        <v>9</v>
      </c>
      <c r="B81" s="3510"/>
      <c r="C81" s="2819" t="s">
        <v>2658</v>
      </c>
      <c r="D81" s="2819" t="s">
        <v>2659</v>
      </c>
      <c r="E81" s="2845">
        <v>0.1</v>
      </c>
      <c r="F81" s="2845">
        <v>15</v>
      </c>
    </row>
    <row r="82" spans="1:6" ht="24">
      <c r="A82" s="2845">
        <v>10</v>
      </c>
      <c r="B82" s="3510"/>
      <c r="C82" s="2819" t="s">
        <v>2660</v>
      </c>
      <c r="D82" s="2819" t="s">
        <v>2661</v>
      </c>
      <c r="E82" s="2845">
        <v>0.1</v>
      </c>
      <c r="F82" s="2845">
        <v>15</v>
      </c>
    </row>
    <row r="83" spans="1:6" ht="24">
      <c r="A83" s="2845">
        <v>11</v>
      </c>
      <c r="B83" s="3510"/>
      <c r="C83" s="2819" t="s">
        <v>2662</v>
      </c>
      <c r="D83" s="2819" t="s">
        <v>2663</v>
      </c>
      <c r="E83" s="2845">
        <v>0.1</v>
      </c>
      <c r="F83" s="2845">
        <v>15</v>
      </c>
    </row>
    <row r="84" spans="1:6" ht="24">
      <c r="A84" s="2845">
        <v>12</v>
      </c>
      <c r="B84" s="3510"/>
      <c r="C84" s="2819" t="s">
        <v>2664</v>
      </c>
      <c r="D84" s="2819" t="s">
        <v>2665</v>
      </c>
      <c r="E84" s="2845">
        <v>0.1</v>
      </c>
      <c r="F84" s="2845">
        <v>15</v>
      </c>
    </row>
    <row r="85" spans="1:6" ht="13.5">
      <c r="A85" s="2845">
        <v>13</v>
      </c>
      <c r="B85" s="3510"/>
      <c r="C85" s="2819" t="s">
        <v>2666</v>
      </c>
      <c r="D85" s="2819" t="s">
        <v>2667</v>
      </c>
      <c r="E85" s="2845">
        <v>0.1</v>
      </c>
      <c r="F85" s="2845">
        <v>15</v>
      </c>
    </row>
    <row r="86" spans="1:6" ht="13.5">
      <c r="A86" s="2845">
        <v>14</v>
      </c>
      <c r="B86" s="3510"/>
      <c r="C86" s="2819" t="s">
        <v>2668</v>
      </c>
      <c r="D86" s="2819" t="s">
        <v>2669</v>
      </c>
      <c r="E86" s="2845">
        <v>0.1</v>
      </c>
      <c r="F86" s="2845">
        <v>15</v>
      </c>
    </row>
    <row r="87" spans="1:6" ht="13.5">
      <c r="A87" s="2845">
        <v>15</v>
      </c>
      <c r="B87" s="3510"/>
      <c r="C87" s="2819" t="s">
        <v>2670</v>
      </c>
      <c r="D87" s="2819" t="s">
        <v>2671</v>
      </c>
      <c r="E87" s="2845">
        <v>0.1</v>
      </c>
      <c r="F87" s="2845">
        <v>15</v>
      </c>
    </row>
    <row r="88" spans="1:6" ht="24">
      <c r="A88" s="2845">
        <v>16</v>
      </c>
      <c r="B88" s="3510"/>
      <c r="C88" s="2819" t="s">
        <v>2672</v>
      </c>
      <c r="D88" s="2819" t="s">
        <v>2673</v>
      </c>
      <c r="E88" s="2845">
        <v>0.1</v>
      </c>
      <c r="F88" s="2845">
        <v>15</v>
      </c>
    </row>
    <row r="89" spans="1:6" ht="24">
      <c r="A89" s="2845">
        <v>17</v>
      </c>
      <c r="B89" s="3519"/>
      <c r="C89" s="2819" t="s">
        <v>2674</v>
      </c>
      <c r="D89" s="2819" t="s">
        <v>2675</v>
      </c>
      <c r="E89" s="2845">
        <v>0.1</v>
      </c>
      <c r="F89" s="2845">
        <v>15</v>
      </c>
    </row>
    <row r="90" spans="1:6" ht="13.5">
      <c r="A90" s="2845">
        <v>18</v>
      </c>
      <c r="B90" s="3515" t="s">
        <v>2676</v>
      </c>
      <c r="C90" s="2819" t="s">
        <v>2677</v>
      </c>
      <c r="D90" s="2819" t="s">
        <v>2678</v>
      </c>
      <c r="E90" s="2845">
        <v>0.2</v>
      </c>
      <c r="F90" s="2845">
        <v>25</v>
      </c>
    </row>
    <row r="91" spans="1:6" ht="24">
      <c r="A91" s="2845">
        <v>19</v>
      </c>
      <c r="B91" s="3510"/>
      <c r="C91" s="2819" t="s">
        <v>2679</v>
      </c>
      <c r="D91" s="2819" t="s">
        <v>2680</v>
      </c>
      <c r="E91" s="2845">
        <v>0.2</v>
      </c>
      <c r="F91" s="2845">
        <v>25</v>
      </c>
    </row>
    <row r="92" spans="1:6" ht="13.5">
      <c r="A92" s="2845">
        <v>20</v>
      </c>
      <c r="B92" s="3510"/>
      <c r="C92" s="2819" t="s">
        <v>2681</v>
      </c>
      <c r="D92" s="2819" t="s">
        <v>2682</v>
      </c>
      <c r="E92" s="2845">
        <v>0.15</v>
      </c>
      <c r="F92" s="2845">
        <v>20</v>
      </c>
    </row>
    <row r="93" spans="1:6" ht="13.5">
      <c r="A93" s="2845">
        <v>21</v>
      </c>
      <c r="B93" s="3510"/>
      <c r="C93" s="2819" t="s">
        <v>2683</v>
      </c>
      <c r="D93" s="2819" t="s">
        <v>2684</v>
      </c>
      <c r="E93" s="2845">
        <v>0.15</v>
      </c>
      <c r="F93" s="2845">
        <v>20</v>
      </c>
    </row>
    <row r="94" spans="1:6" ht="13.5">
      <c r="A94" s="2845">
        <v>22</v>
      </c>
      <c r="B94" s="3510"/>
      <c r="C94" s="2819" t="s">
        <v>2685</v>
      </c>
      <c r="D94" s="2819" t="s">
        <v>2686</v>
      </c>
      <c r="E94" s="2845">
        <v>0.15</v>
      </c>
      <c r="F94" s="2845">
        <v>20</v>
      </c>
    </row>
    <row r="95" spans="1:6" ht="36">
      <c r="A95" s="2845">
        <v>23</v>
      </c>
      <c r="B95" s="3510"/>
      <c r="C95" s="2819" t="s">
        <v>2687</v>
      </c>
      <c r="D95" s="2819" t="s">
        <v>2688</v>
      </c>
      <c r="E95" s="2845">
        <v>0.15</v>
      </c>
      <c r="F95" s="2845">
        <v>20</v>
      </c>
    </row>
    <row r="96" spans="1:6" ht="13.5">
      <c r="A96" s="2845">
        <v>24</v>
      </c>
      <c r="B96" s="3510"/>
      <c r="C96" s="2819" t="s">
        <v>2689</v>
      </c>
      <c r="D96" s="2819" t="s">
        <v>2690</v>
      </c>
      <c r="E96" s="2845">
        <v>0.1</v>
      </c>
      <c r="F96" s="2845">
        <v>15</v>
      </c>
    </row>
    <row r="97" spans="1:6" ht="13.5">
      <c r="A97" s="2845">
        <v>25</v>
      </c>
      <c r="B97" s="3510"/>
      <c r="C97" s="2819" t="s">
        <v>2691</v>
      </c>
      <c r="D97" s="2819" t="s">
        <v>2692</v>
      </c>
      <c r="E97" s="2845">
        <v>0.1</v>
      </c>
      <c r="F97" s="2845">
        <v>15</v>
      </c>
    </row>
    <row r="98" spans="1:6" ht="24">
      <c r="A98" s="2845">
        <v>26</v>
      </c>
      <c r="B98" s="3510"/>
      <c r="C98" s="2819" t="s">
        <v>2693</v>
      </c>
      <c r="D98" s="2819" t="s">
        <v>2694</v>
      </c>
      <c r="E98" s="2845">
        <v>0.1</v>
      </c>
      <c r="F98" s="2845">
        <v>15</v>
      </c>
    </row>
    <row r="99" spans="1:6" ht="24">
      <c r="A99" s="2845">
        <v>27</v>
      </c>
      <c r="B99" s="3510"/>
      <c r="C99" s="2819" t="s">
        <v>2695</v>
      </c>
      <c r="D99" s="2819" t="s">
        <v>2696</v>
      </c>
      <c r="E99" s="2845">
        <v>0.1</v>
      </c>
      <c r="F99" s="2845">
        <v>15</v>
      </c>
    </row>
    <row r="100" spans="1:6" ht="13.5">
      <c r="A100" s="2845">
        <v>28</v>
      </c>
      <c r="B100" s="3510"/>
      <c r="C100" s="2819" t="s">
        <v>2697</v>
      </c>
      <c r="D100" s="2819" t="s">
        <v>2698</v>
      </c>
      <c r="E100" s="2845">
        <v>0.1</v>
      </c>
      <c r="F100" s="2845">
        <v>15</v>
      </c>
    </row>
    <row r="101" spans="1:6" ht="13.5">
      <c r="A101" s="2845">
        <v>29</v>
      </c>
      <c r="B101" s="3510"/>
      <c r="C101" s="2819" t="s">
        <v>2699</v>
      </c>
      <c r="D101" s="2819" t="s">
        <v>2700</v>
      </c>
      <c r="E101" s="2845">
        <v>0.1</v>
      </c>
      <c r="F101" s="2845">
        <v>15</v>
      </c>
    </row>
    <row r="102" spans="1:6" ht="13.5">
      <c r="A102" s="2845">
        <v>30</v>
      </c>
      <c r="B102" s="3510"/>
      <c r="C102" s="2819" t="s">
        <v>2701</v>
      </c>
      <c r="D102" s="2819" t="s">
        <v>2702</v>
      </c>
      <c r="E102" s="2845">
        <v>0.1</v>
      </c>
      <c r="F102" s="2845">
        <v>15</v>
      </c>
    </row>
    <row r="103" spans="1:6" ht="24">
      <c r="A103" s="2845">
        <v>31</v>
      </c>
      <c r="B103" s="3510"/>
      <c r="C103" s="2819" t="s">
        <v>2703</v>
      </c>
      <c r="D103" s="2819" t="s">
        <v>2704</v>
      </c>
      <c r="E103" s="2845">
        <v>0.1</v>
      </c>
      <c r="F103" s="2845">
        <v>15</v>
      </c>
    </row>
    <row r="104" spans="1:6" ht="24">
      <c r="A104" s="2845">
        <v>32</v>
      </c>
      <c r="B104" s="3510"/>
      <c r="C104" s="2819" t="s">
        <v>2705</v>
      </c>
      <c r="D104" s="2819" t="s">
        <v>2706</v>
      </c>
      <c r="E104" s="2845">
        <v>0.1</v>
      </c>
      <c r="F104" s="2845">
        <v>15</v>
      </c>
    </row>
    <row r="105" spans="1:6" ht="24">
      <c r="A105" s="2845">
        <v>33</v>
      </c>
      <c r="B105" s="3510"/>
      <c r="C105" s="2819" t="s">
        <v>2707</v>
      </c>
      <c r="D105" s="2819" t="s">
        <v>2708</v>
      </c>
      <c r="E105" s="2845">
        <v>0.1</v>
      </c>
      <c r="F105" s="2845">
        <v>15</v>
      </c>
    </row>
    <row r="106" spans="1:6" ht="24">
      <c r="A106" s="2845">
        <v>34</v>
      </c>
      <c r="B106" s="3519"/>
      <c r="C106" s="2819" t="s">
        <v>2709</v>
      </c>
      <c r="D106" s="2819" t="s">
        <v>2710</v>
      </c>
      <c r="E106" s="2845">
        <v>0.1</v>
      </c>
      <c r="F106" s="2845">
        <v>15</v>
      </c>
    </row>
    <row r="107" spans="1:6" ht="24">
      <c r="A107" s="2845">
        <v>35</v>
      </c>
      <c r="B107" s="3515" t="s">
        <v>2711</v>
      </c>
      <c r="C107" s="2845" t="s">
        <v>2712</v>
      </c>
      <c r="D107" s="2819" t="s">
        <v>2713</v>
      </c>
      <c r="E107" s="2845">
        <v>0.15</v>
      </c>
      <c r="F107" s="2845">
        <v>20</v>
      </c>
    </row>
    <row r="108" spans="1:6" ht="13.5">
      <c r="A108" s="2845">
        <v>36</v>
      </c>
      <c r="B108" s="3510"/>
      <c r="C108" s="2845" t="s">
        <v>2714</v>
      </c>
      <c r="D108" s="2819" t="s">
        <v>2715</v>
      </c>
      <c r="E108" s="2845">
        <v>0.15</v>
      </c>
      <c r="F108" s="2845">
        <v>20</v>
      </c>
    </row>
    <row r="109" spans="1:6" ht="13.5">
      <c r="A109" s="2845">
        <v>37</v>
      </c>
      <c r="B109" s="3510"/>
      <c r="C109" s="2845" t="s">
        <v>2716</v>
      </c>
      <c r="D109" s="2819" t="s">
        <v>2717</v>
      </c>
      <c r="E109" s="2845">
        <v>0.15</v>
      </c>
      <c r="F109" s="2845">
        <v>20</v>
      </c>
    </row>
    <row r="110" spans="1:6" ht="13.5">
      <c r="A110" s="2845">
        <v>38</v>
      </c>
      <c r="B110" s="3510"/>
      <c r="C110" s="2845" t="s">
        <v>2718</v>
      </c>
      <c r="D110" s="2819" t="s">
        <v>2719</v>
      </c>
      <c r="E110" s="2845">
        <v>0.1</v>
      </c>
      <c r="F110" s="2845">
        <v>15</v>
      </c>
    </row>
    <row r="111" spans="1:6" ht="24">
      <c r="A111" s="2845">
        <v>39</v>
      </c>
      <c r="B111" s="3510"/>
      <c r="C111" s="2845" t="s">
        <v>2720</v>
      </c>
      <c r="D111" s="2819" t="s">
        <v>2721</v>
      </c>
      <c r="E111" s="2845">
        <v>0.1</v>
      </c>
      <c r="F111" s="2845">
        <v>15</v>
      </c>
    </row>
    <row r="112" spans="1:6" ht="24">
      <c r="A112" s="2845">
        <v>40</v>
      </c>
      <c r="B112" s="3519"/>
      <c r="C112" s="2845" t="s">
        <v>2722</v>
      </c>
      <c r="D112" s="2819" t="s">
        <v>2723</v>
      </c>
      <c r="E112" s="2845">
        <v>0.1</v>
      </c>
      <c r="F112" s="2845">
        <v>15</v>
      </c>
    </row>
    <row r="113" spans="1:6" ht="13.5">
      <c r="A113" s="2845">
        <v>41</v>
      </c>
      <c r="B113" s="3520" t="s">
        <v>2724</v>
      </c>
      <c r="C113" s="2845" t="s">
        <v>2725</v>
      </c>
      <c r="D113" s="2819" t="s">
        <v>2726</v>
      </c>
      <c r="E113" s="2845">
        <v>0.1</v>
      </c>
      <c r="F113" s="2845">
        <v>15</v>
      </c>
    </row>
    <row r="114" spans="1:6" ht="13.5">
      <c r="A114" s="2845">
        <v>42</v>
      </c>
      <c r="B114" s="3520"/>
      <c r="C114" s="2845" t="s">
        <v>2727</v>
      </c>
      <c r="D114" s="2819" t="s">
        <v>2728</v>
      </c>
      <c r="E114" s="2845">
        <v>0.1</v>
      </c>
      <c r="F114" s="2845">
        <v>15</v>
      </c>
    </row>
    <row r="115" spans="1:6" ht="24">
      <c r="A115" s="2845">
        <v>43</v>
      </c>
      <c r="B115" s="3520"/>
      <c r="C115" s="2845" t="s">
        <v>2729</v>
      </c>
      <c r="D115" s="2819" t="s">
        <v>2730</v>
      </c>
      <c r="E115" s="2845">
        <v>0.1</v>
      </c>
      <c r="F115" s="2845">
        <v>15</v>
      </c>
    </row>
    <row r="116" spans="1:6" ht="13.5">
      <c r="A116" s="2845">
        <v>44</v>
      </c>
      <c r="B116" s="3515" t="s">
        <v>2731</v>
      </c>
      <c r="C116" s="2845" t="s">
        <v>2732</v>
      </c>
      <c r="D116" s="2819" t="s">
        <v>2733</v>
      </c>
      <c r="E116" s="2845">
        <v>0.1</v>
      </c>
      <c r="F116" s="2845">
        <v>15</v>
      </c>
    </row>
    <row r="117" spans="1:6" ht="24">
      <c r="A117" s="2845">
        <v>45</v>
      </c>
      <c r="B117" s="3519"/>
      <c r="C117" s="2819" t="s">
        <v>2734</v>
      </c>
      <c r="D117" s="2819" t="s">
        <v>2735</v>
      </c>
      <c r="E117" s="2845">
        <v>0.1</v>
      </c>
      <c r="F117" s="2845">
        <v>15</v>
      </c>
    </row>
    <row r="118" spans="1:6" ht="24">
      <c r="A118" s="2845">
        <v>46</v>
      </c>
      <c r="B118" s="3515" t="s">
        <v>2736</v>
      </c>
      <c r="C118" s="2845" t="s">
        <v>2737</v>
      </c>
      <c r="D118" s="2819" t="s">
        <v>2738</v>
      </c>
      <c r="E118" s="2845">
        <v>0.1</v>
      </c>
      <c r="F118" s="2845">
        <v>15</v>
      </c>
    </row>
    <row r="119" spans="1:6" ht="24">
      <c r="A119" s="2845">
        <v>47</v>
      </c>
      <c r="B119" s="3519"/>
      <c r="C119" s="2845" t="s">
        <v>2739</v>
      </c>
      <c r="D119" s="2819" t="s">
        <v>2740</v>
      </c>
      <c r="E119" s="2845">
        <v>0.1</v>
      </c>
      <c r="F119" s="2845">
        <v>15</v>
      </c>
    </row>
    <row r="120" spans="1:6" ht="13.5">
      <c r="A120" s="2845">
        <v>48</v>
      </c>
      <c r="B120" s="3515" t="s">
        <v>2741</v>
      </c>
      <c r="C120" s="2845" t="s">
        <v>2742</v>
      </c>
      <c r="D120" s="2819" t="s">
        <v>2743</v>
      </c>
      <c r="E120" s="2845">
        <v>0.1</v>
      </c>
      <c r="F120" s="2845">
        <v>15</v>
      </c>
    </row>
    <row r="121" spans="1:6" ht="13.5">
      <c r="A121" s="2845">
        <v>49</v>
      </c>
      <c r="B121" s="3519"/>
      <c r="C121" s="2845" t="s">
        <v>2744</v>
      </c>
      <c r="D121" s="2819" t="s">
        <v>2745</v>
      </c>
      <c r="E121" s="2845">
        <v>0.1</v>
      </c>
      <c r="F121" s="2845">
        <v>15</v>
      </c>
    </row>
    <row r="122" spans="1:6" ht="24">
      <c r="A122" s="2845">
        <v>50</v>
      </c>
      <c r="B122" s="3520" t="s">
        <v>2746</v>
      </c>
      <c r="C122" s="2845" t="s">
        <v>2747</v>
      </c>
      <c r="D122" s="2819" t="s">
        <v>2748</v>
      </c>
      <c r="E122" s="2845">
        <v>0.1</v>
      </c>
      <c r="F122" s="2845">
        <v>15</v>
      </c>
    </row>
    <row r="123" spans="1:6" ht="24">
      <c r="A123" s="2845">
        <v>51</v>
      </c>
      <c r="B123" s="3520"/>
      <c r="C123" s="2845" t="s">
        <v>2749</v>
      </c>
      <c r="D123" s="2819" t="s">
        <v>2750</v>
      </c>
      <c r="E123" s="2845">
        <v>0.1</v>
      </c>
      <c r="F123" s="2845">
        <v>15</v>
      </c>
    </row>
    <row r="124" spans="1:6" ht="24">
      <c r="A124" s="2845">
        <v>52</v>
      </c>
      <c r="B124" s="3520" t="s">
        <v>2751</v>
      </c>
      <c r="C124" s="2845" t="s">
        <v>2752</v>
      </c>
      <c r="D124" s="2819" t="s">
        <v>2753</v>
      </c>
      <c r="E124" s="2845">
        <v>0.1</v>
      </c>
      <c r="F124" s="2845">
        <v>15</v>
      </c>
    </row>
    <row r="125" spans="1:6" ht="24">
      <c r="A125" s="2845">
        <v>53</v>
      </c>
      <c r="B125" s="3520"/>
      <c r="C125" s="2845" t="s">
        <v>2754</v>
      </c>
      <c r="D125" s="2819" t="s">
        <v>2755</v>
      </c>
      <c r="E125" s="2845">
        <v>0.1</v>
      </c>
      <c r="F125" s="2845">
        <v>15</v>
      </c>
    </row>
    <row r="126" spans="1:6" ht="13.5">
      <c r="A126" s="2845">
        <v>54</v>
      </c>
      <c r="B126" s="2845" t="s">
        <v>2756</v>
      </c>
      <c r="C126" s="2845" t="s">
        <v>2757</v>
      </c>
      <c r="D126" s="2819" t="s">
        <v>2758</v>
      </c>
      <c r="E126" s="2845">
        <v>0.1</v>
      </c>
      <c r="F126" s="2845">
        <v>15</v>
      </c>
    </row>
    <row r="127" spans="1:6" ht="13.5">
      <c r="A127" s="2845">
        <v>55</v>
      </c>
      <c r="B127" s="3520" t="s">
        <v>2759</v>
      </c>
      <c r="C127" s="2845" t="s">
        <v>2760</v>
      </c>
      <c r="D127" s="2819" t="s">
        <v>2761</v>
      </c>
      <c r="E127" s="2845">
        <v>0.1</v>
      </c>
      <c r="F127" s="2845">
        <v>15</v>
      </c>
    </row>
    <row r="128" spans="1:6" ht="13.5">
      <c r="A128" s="2845">
        <v>56</v>
      </c>
      <c r="B128" s="3520"/>
      <c r="C128" s="2845" t="s">
        <v>2762</v>
      </c>
      <c r="D128" s="2819" t="s">
        <v>2763</v>
      </c>
      <c r="E128" s="2845">
        <v>0.1</v>
      </c>
      <c r="F128" s="2845">
        <v>15</v>
      </c>
    </row>
    <row r="129" spans="1:6" ht="24">
      <c r="A129" s="2845">
        <v>57</v>
      </c>
      <c r="B129" s="3520"/>
      <c r="C129" s="2845" t="s">
        <v>2764</v>
      </c>
      <c r="D129" s="2819" t="s">
        <v>2765</v>
      </c>
      <c r="E129" s="2845">
        <v>0.1</v>
      </c>
      <c r="F129" s="2845">
        <v>15</v>
      </c>
    </row>
    <row r="130" spans="1:6" ht="24">
      <c r="A130" s="2845">
        <v>58</v>
      </c>
      <c r="B130" s="3520" t="s">
        <v>2766</v>
      </c>
      <c r="C130" s="2845" t="s">
        <v>2767</v>
      </c>
      <c r="D130" s="2819" t="s">
        <v>2768</v>
      </c>
      <c r="E130" s="2845">
        <v>0.1</v>
      </c>
      <c r="F130" s="2845">
        <v>15</v>
      </c>
    </row>
    <row r="131" spans="1:6" ht="13.5">
      <c r="A131" s="2845">
        <v>59</v>
      </c>
      <c r="B131" s="3520"/>
      <c r="C131" s="2845" t="s">
        <v>2769</v>
      </c>
      <c r="D131" s="2819" t="s">
        <v>2770</v>
      </c>
      <c r="E131" s="2845">
        <v>0.1</v>
      </c>
      <c r="F131" s="2845">
        <v>15</v>
      </c>
    </row>
    <row r="132" spans="1:6" ht="13.5">
      <c r="A132" s="2845">
        <v>60</v>
      </c>
      <c r="B132" s="3515" t="s">
        <v>2771</v>
      </c>
      <c r="C132" s="2845" t="s">
        <v>2772</v>
      </c>
      <c r="D132" s="2819" t="s">
        <v>2773</v>
      </c>
      <c r="E132" s="2845">
        <v>0.1</v>
      </c>
      <c r="F132" s="2845">
        <v>15</v>
      </c>
    </row>
    <row r="133" spans="1:6" ht="13.5">
      <c r="A133" s="2845">
        <v>61</v>
      </c>
      <c r="B133" s="3519"/>
      <c r="C133" s="2845" t="s">
        <v>2774</v>
      </c>
      <c r="D133" s="2819" t="s">
        <v>2775</v>
      </c>
      <c r="E133" s="2845">
        <v>0.1</v>
      </c>
      <c r="F133" s="2845">
        <v>15</v>
      </c>
    </row>
    <row r="134" spans="1:6" ht="24">
      <c r="A134" s="2845">
        <v>62</v>
      </c>
      <c r="B134" s="2845" t="s">
        <v>2776</v>
      </c>
      <c r="C134" s="2845" t="s">
        <v>2777</v>
      </c>
      <c r="D134" s="2819" t="s">
        <v>2778</v>
      </c>
      <c r="E134" s="2845">
        <v>0.1</v>
      </c>
      <c r="F134" s="2845">
        <v>15</v>
      </c>
    </row>
    <row r="135" spans="1:6" ht="13.5">
      <c r="A135" s="2845">
        <v>63</v>
      </c>
      <c r="B135" s="3520" t="s">
        <v>2779</v>
      </c>
      <c r="C135" s="2845" t="s">
        <v>2780</v>
      </c>
      <c r="D135" s="2819" t="s">
        <v>2781</v>
      </c>
      <c r="E135" s="2845">
        <v>0.1</v>
      </c>
      <c r="F135" s="2845">
        <v>15</v>
      </c>
    </row>
    <row r="136" spans="1:6" ht="13.5">
      <c r="A136" s="2845">
        <v>64</v>
      </c>
      <c r="B136" s="3520"/>
      <c r="C136" s="2845" t="s">
        <v>2782</v>
      </c>
      <c r="D136" s="2819" t="s">
        <v>2783</v>
      </c>
      <c r="E136" s="2845">
        <v>0.1</v>
      </c>
      <c r="F136" s="2845">
        <v>15</v>
      </c>
    </row>
    <row r="137" spans="1:6" ht="13.5">
      <c r="A137" s="2845">
        <v>65</v>
      </c>
      <c r="B137" s="2845" t="s">
        <v>2784</v>
      </c>
      <c r="C137" s="2845" t="s">
        <v>2785</v>
      </c>
      <c r="D137" s="2819" t="s">
        <v>2786</v>
      </c>
      <c r="E137" s="2845">
        <v>0.1</v>
      </c>
      <c r="F137" s="2845">
        <v>15</v>
      </c>
    </row>
    <row r="138" spans="1:6" ht="13.5">
      <c r="A138" s="2845"/>
      <c r="B138" s="2845"/>
      <c r="C138" s="2845"/>
      <c r="D138" s="2845"/>
      <c r="E138" s="2845" t="s">
        <v>2787</v>
      </c>
      <c r="F138" s="2845"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2788</v>
      </c>
      <c r="B1" s="2853"/>
      <c r="C1" s="2853"/>
      <c r="D1" s="2853"/>
      <c r="E1" s="2853"/>
      <c r="F1" s="2853"/>
      <c r="G1" s="2853"/>
      <c r="H1" s="2853"/>
      <c r="I1" s="2853"/>
      <c r="J1" s="2853"/>
      <c r="K1" s="2853"/>
      <c r="L1" s="2853"/>
      <c r="M1" s="2853"/>
      <c r="N1" s="701"/>
    </row>
    <row r="2" spans="1:20">
      <c r="A2" s="2854" t="s">
        <v>2789</v>
      </c>
      <c r="B2" s="2855" t="s">
        <v>2585</v>
      </c>
      <c r="C2" s="2855" t="s">
        <v>2586</v>
      </c>
      <c r="D2" s="2855" t="s">
        <v>2587</v>
      </c>
      <c r="E2" s="2855" t="s">
        <v>2588</v>
      </c>
      <c r="F2" s="2855" t="s">
        <v>2589</v>
      </c>
      <c r="G2" s="2855" t="s">
        <v>2590</v>
      </c>
      <c r="H2" s="2856" t="s">
        <v>2591</v>
      </c>
      <c r="I2" s="2856" t="s">
        <v>2592</v>
      </c>
      <c r="J2" s="2857" t="s">
        <v>2593</v>
      </c>
      <c r="K2" s="2857" t="s">
        <v>2594</v>
      </c>
      <c r="L2" s="2857" t="s">
        <v>2595</v>
      </c>
      <c r="M2" s="2858" t="s">
        <v>2596</v>
      </c>
      <c r="Q2" s="2868" t="s">
        <v>2794</v>
      </c>
      <c r="R2" s="2868" t="s">
        <v>2795</v>
      </c>
      <c r="S2" s="2868" t="s">
        <v>2796</v>
      </c>
      <c r="T2" s="2868" t="s">
        <v>2797</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2790</v>
      </c>
      <c r="B93" s="2853"/>
      <c r="C93" s="2853"/>
      <c r="D93" s="2853"/>
      <c r="E93" s="2853"/>
      <c r="F93" s="2853"/>
      <c r="G93" s="2853"/>
      <c r="H93" s="2853"/>
      <c r="I93" s="2853"/>
      <c r="J93" s="2853"/>
      <c r="K93" s="2853"/>
      <c r="L93" s="2853"/>
      <c r="M93" s="2853"/>
    </row>
    <row r="94" spans="1:20">
      <c r="A94" s="2854" t="s">
        <v>2789</v>
      </c>
      <c r="B94" s="2855" t="s">
        <v>2585</v>
      </c>
      <c r="C94" s="2855" t="s">
        <v>2586</v>
      </c>
      <c r="D94" s="2855" t="s">
        <v>2587</v>
      </c>
      <c r="E94" s="2855" t="s">
        <v>2588</v>
      </c>
      <c r="F94" s="2855" t="s">
        <v>2589</v>
      </c>
      <c r="G94" s="2855" t="s">
        <v>2590</v>
      </c>
      <c r="H94" s="2856" t="s">
        <v>2591</v>
      </c>
      <c r="I94" s="2856" t="s">
        <v>2592</v>
      </c>
      <c r="J94" s="2857" t="s">
        <v>2593</v>
      </c>
      <c r="K94" s="2857" t="s">
        <v>2594</v>
      </c>
      <c r="L94" s="2857" t="s">
        <v>2595</v>
      </c>
      <c r="M94" s="2858" t="s">
        <v>2596</v>
      </c>
      <c r="N94">
        <f>SUMPRODUCT((A95:A184=ROUNDDOWN(基准地价修正!G3,1))*(B94:M94=基准地价修正!G2)*(B95:M184))</f>
        <v>0</v>
      </c>
      <c r="Q94" s="2868" t="s">
        <v>2794</v>
      </c>
      <c r="R94" s="2868" t="s">
        <v>2795</v>
      </c>
      <c r="S94" s="2868" t="s">
        <v>2796</v>
      </c>
      <c r="T94" s="2868" t="s">
        <v>2797</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1"/>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1"/>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2791</v>
      </c>
      <c r="B185" s="2853"/>
      <c r="C185" s="2853"/>
      <c r="D185" s="2853"/>
      <c r="E185" s="2853"/>
      <c r="F185" s="2853"/>
      <c r="G185" s="2853"/>
      <c r="H185" s="2853"/>
      <c r="I185" s="2853"/>
      <c r="J185" s="2853"/>
      <c r="K185" s="2853"/>
      <c r="L185" s="2853"/>
      <c r="M185" s="2853"/>
    </row>
    <row r="186" spans="1:20">
      <c r="A186" s="2854" t="s">
        <v>2789</v>
      </c>
      <c r="B186" s="2855" t="s">
        <v>2585</v>
      </c>
      <c r="C186" s="2855" t="s">
        <v>2586</v>
      </c>
      <c r="D186" s="2855" t="s">
        <v>2587</v>
      </c>
      <c r="E186" s="2855" t="s">
        <v>2588</v>
      </c>
      <c r="F186" s="2855" t="s">
        <v>2589</v>
      </c>
      <c r="G186" s="2855" t="s">
        <v>2590</v>
      </c>
      <c r="H186" s="2856" t="s">
        <v>2591</v>
      </c>
      <c r="I186" s="2856" t="s">
        <v>2592</v>
      </c>
      <c r="J186" s="2857" t="s">
        <v>2593</v>
      </c>
      <c r="K186" s="2857" t="s">
        <v>2594</v>
      </c>
      <c r="L186" s="2857" t="s">
        <v>2595</v>
      </c>
      <c r="M186" s="2858" t="s">
        <v>2596</v>
      </c>
      <c r="Q186" s="2868" t="s">
        <v>2794</v>
      </c>
      <c r="R186" s="2868" t="s">
        <v>2795</v>
      </c>
      <c r="S186" s="2868" t="s">
        <v>2796</v>
      </c>
      <c r="T186" s="2868" t="s">
        <v>2797</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2792</v>
      </c>
      <c r="B277" s="2853"/>
      <c r="C277" s="2853"/>
      <c r="D277" s="2853"/>
      <c r="E277" s="2853"/>
      <c r="F277" s="2853"/>
      <c r="G277" s="2853"/>
      <c r="H277" s="2853"/>
      <c r="I277" s="2853"/>
      <c r="J277" s="2853"/>
      <c r="K277" s="2853"/>
      <c r="L277" s="2853"/>
      <c r="M277" s="2853"/>
    </row>
    <row r="278" spans="1:21">
      <c r="A278" s="2854" t="s">
        <v>2789</v>
      </c>
      <c r="B278" s="2855" t="s">
        <v>2585</v>
      </c>
      <c r="C278" s="2855" t="s">
        <v>2586</v>
      </c>
      <c r="D278" s="2855" t="s">
        <v>2587</v>
      </c>
      <c r="E278" s="2855" t="s">
        <v>2588</v>
      </c>
      <c r="F278" s="2855" t="s">
        <v>2589</v>
      </c>
      <c r="G278" s="2855" t="s">
        <v>2590</v>
      </c>
      <c r="H278" s="2856" t="s">
        <v>2591</v>
      </c>
      <c r="I278" s="2856" t="s">
        <v>2592</v>
      </c>
      <c r="J278" s="2857" t="s">
        <v>2593</v>
      </c>
      <c r="K278" s="2857" t="s">
        <v>2594</v>
      </c>
      <c r="L278" s="2857" t="s">
        <v>2595</v>
      </c>
      <c r="M278" s="2858" t="s">
        <v>2596</v>
      </c>
      <c r="Q278" s="2868" t="s">
        <v>2794</v>
      </c>
      <c r="R278" s="2868" t="s">
        <v>2795</v>
      </c>
      <c r="S278" s="2868" t="s">
        <v>2798</v>
      </c>
      <c r="T278" s="2868" t="s">
        <v>2799</v>
      </c>
      <c r="U278" s="2868" t="s">
        <v>2797</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2793</v>
      </c>
      <c r="B369" s="2866"/>
      <c r="C369" s="2866"/>
      <c r="D369" s="2866"/>
      <c r="E369" s="2866"/>
      <c r="F369" s="2866"/>
      <c r="G369" s="2866"/>
      <c r="H369" s="2866"/>
      <c r="I369" s="2866"/>
      <c r="J369" s="2866"/>
      <c r="K369" s="2866"/>
      <c r="L369" s="2866"/>
      <c r="M369" s="2866"/>
    </row>
    <row r="370" spans="1:20">
      <c r="A370" s="2854" t="s">
        <v>2789</v>
      </c>
      <c r="B370" s="2855" t="s">
        <v>2585</v>
      </c>
      <c r="C370" s="2855" t="s">
        <v>2586</v>
      </c>
      <c r="D370" s="2855" t="s">
        <v>2587</v>
      </c>
      <c r="E370" s="2855" t="s">
        <v>2588</v>
      </c>
      <c r="F370" s="2855" t="s">
        <v>2589</v>
      </c>
      <c r="G370" s="2855" t="s">
        <v>2590</v>
      </c>
      <c r="H370" s="2856" t="s">
        <v>2591</v>
      </c>
      <c r="I370" s="2856" t="s">
        <v>2592</v>
      </c>
      <c r="J370" s="2857" t="s">
        <v>2593</v>
      </c>
      <c r="K370" s="2857" t="s">
        <v>2594</v>
      </c>
      <c r="L370" s="2857" t="s">
        <v>2595</v>
      </c>
      <c r="M370" s="2858" t="s">
        <v>2596</v>
      </c>
      <c r="N370">
        <f>SUMPRODUCT((A371:A460=ROUNDDOWN(基准地价修正!G3,1))*(B370:M370=基准地价修正!G2)*(B371:M460))</f>
        <v>0</v>
      </c>
      <c r="Q370" s="2868" t="s">
        <v>2794</v>
      </c>
      <c r="R370" s="2868" t="s">
        <v>2795</v>
      </c>
      <c r="S370" s="2868" t="s">
        <v>2796</v>
      </c>
      <c r="T370" s="2868" t="s">
        <v>2797</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52134</v>
      </c>
      <c r="C2" s="2" t="s">
        <v>106</v>
      </c>
      <c r="D2" s="190"/>
      <c r="E2" s="190"/>
      <c r="F2" s="190"/>
      <c r="G2" s="190"/>
    </row>
    <row r="3" spans="1:7" s="191" customFormat="1" ht="18" customHeight="1" thickBot="1">
      <c r="A3" s="194" t="s">
        <v>58</v>
      </c>
      <c r="B3" s="195">
        <f ca="1">ROUND(B2*10000/'数据-汇总表'!E3,0)</f>
        <v>10200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0</v>
      </c>
      <c r="D9" s="789">
        <f>'数据-汇总表'!E5</f>
        <v>0</v>
      </c>
      <c r="E9" s="216">
        <f>'数据-取费表'!B27</f>
        <v>150</v>
      </c>
      <c r="F9" s="212"/>
      <c r="G9" s="217"/>
    </row>
    <row r="10" spans="1:7" s="205" customFormat="1" ht="13.5" customHeight="1">
      <c r="A10" s="727" t="s">
        <v>356</v>
      </c>
      <c r="B10" s="215" t="s">
        <v>67</v>
      </c>
      <c r="C10" s="216">
        <f>ROUND(D10*E10/10000,0)</f>
        <v>971</v>
      </c>
      <c r="D10" s="789">
        <f>'数据-汇总表'!E6</f>
        <v>51111.68000000059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1022</v>
      </c>
      <c r="D19" s="203">
        <f>'数据-汇总表'!E3</f>
        <v>51111.68000000059</v>
      </c>
      <c r="E19" s="202">
        <f>'数据-取费表'!B31</f>
        <v>200</v>
      </c>
      <c r="F19" s="222"/>
      <c r="G19" s="1" t="s">
        <v>436</v>
      </c>
    </row>
    <row r="20" spans="1:7" s="205" customFormat="1" ht="13.5" customHeight="1">
      <c r="A20" s="725" t="s">
        <v>419</v>
      </c>
      <c r="B20" s="201" t="s">
        <v>77</v>
      </c>
      <c r="C20" s="223">
        <f>ROUND((C5+C19)*F20,0)</f>
        <v>433</v>
      </c>
      <c r="D20" s="223"/>
      <c r="E20" s="223"/>
      <c r="F20" s="224">
        <f>'数据-取费表'!B37</f>
        <v>0.02</v>
      </c>
      <c r="G20" s="994" t="s">
        <v>430</v>
      </c>
    </row>
    <row r="21" spans="1:7" s="205" customFormat="1" ht="13.5" customHeight="1">
      <c r="A21" s="725" t="s">
        <v>421</v>
      </c>
      <c r="B21" s="201" t="s">
        <v>78</v>
      </c>
      <c r="C21" s="226">
        <f>F21</f>
        <v>0.02</v>
      </c>
      <c r="D21" s="227" t="s">
        <v>99</v>
      </c>
      <c r="E21" s="223"/>
      <c r="F21" s="224">
        <f>'数据-取费表'!B38</f>
        <v>0.02</v>
      </c>
      <c r="G21" s="225" t="s">
        <v>79</v>
      </c>
    </row>
    <row r="22" spans="1:7" s="205" customFormat="1" ht="13.5" customHeight="1">
      <c r="A22" s="725" t="s">
        <v>341</v>
      </c>
      <c r="B22" s="201" t="s">
        <v>80</v>
      </c>
      <c r="C22" s="1031">
        <f ca="1">ROUND(SUM(C23:C25),0)</f>
        <v>1375</v>
      </c>
      <c r="D22" s="226">
        <f ca="1">C26</f>
        <v>5.9999999999999995E-4</v>
      </c>
      <c r="E22" s="227" t="s">
        <v>99</v>
      </c>
      <c r="F22" s="228">
        <f ca="1">'数据-取费表'!B40</f>
        <v>3.1E-2</v>
      </c>
      <c r="G22" s="994" t="str">
        <f>IF('数据-取费表'!B22&lt;=1,"单利计息","复利计息")</f>
        <v>复利计息</v>
      </c>
    </row>
    <row r="23" spans="1:7" s="205" customFormat="1" ht="13.5" customHeight="1">
      <c r="A23" s="728" t="s">
        <v>349</v>
      </c>
      <c r="B23" s="206" t="s">
        <v>423</v>
      </c>
      <c r="C23" s="1032">
        <f ca="1">ROUND(IF('数据-取费表'!B22&lt;=1,C5*F22*'数据-取费表'!B23,C5*(POWER((1+F22),'数据-取费表'!B23)-1)),0)</f>
        <v>1298</v>
      </c>
      <c r="D23" s="229"/>
      <c r="E23" s="229"/>
      <c r="F23" s="230"/>
      <c r="G23" s="231" t="s">
        <v>81</v>
      </c>
    </row>
    <row r="24" spans="1:7" s="205" customFormat="1" ht="13.5" customHeight="1">
      <c r="A24" s="728" t="s">
        <v>347</v>
      </c>
      <c r="B24" s="206" t="s">
        <v>418</v>
      </c>
      <c r="C24" s="1032">
        <f ca="1">ROUND(IF('数据-取费表'!B22&lt;=1,C19*F22*('数据-取费表'!B19/2+'数据-取费表'!B21),C19*(POWER((1+F22),('数据-取费表'!B19/2+'数据-取费表'!B21))-1)),0)</f>
        <v>64</v>
      </c>
      <c r="D24" s="229"/>
      <c r="E24" s="229"/>
      <c r="F24" s="230"/>
      <c r="G24" s="231" t="s">
        <v>82</v>
      </c>
    </row>
    <row r="25" spans="1:7" s="205" customFormat="1" ht="24">
      <c r="A25" s="728" t="s">
        <v>348</v>
      </c>
      <c r="B25" s="206" t="s">
        <v>420</v>
      </c>
      <c r="C25" s="1032">
        <f ca="1">ROUND(IF('数据-取费表'!B22&lt;=1,C20*F22*'数据-取费表'!B23/2,C20*(POWER((1+F22),'数据-取费表'!B23/2)-1)),0)</f>
        <v>13</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3310</v>
      </c>
      <c r="D27" s="226">
        <f>C29</f>
        <v>3.0000000000000001E-3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3310</v>
      </c>
      <c r="D28" s="226"/>
      <c r="E28" s="227"/>
      <c r="F28" s="237"/>
      <c r="G28" s="238"/>
    </row>
    <row r="29" spans="1:7" s="205" customFormat="1" ht="13.5" customHeight="1">
      <c r="A29" s="728" t="s">
        <v>347</v>
      </c>
      <c r="B29" s="239" t="s">
        <v>425</v>
      </c>
      <c r="C29" s="229">
        <f>ROUND(C21*F27*'数据-取费表'!B21/'数据-取费表'!B20,4)</f>
        <v>3.0000000000000001E-3</v>
      </c>
      <c r="D29" s="226"/>
      <c r="E29" s="227"/>
      <c r="F29" s="237"/>
      <c r="G29" s="238"/>
    </row>
    <row r="30" spans="1:7" s="205" customFormat="1" ht="13.5" customHeight="1">
      <c r="A30" s="725"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28979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20163</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17889</v>
      </c>
      <c r="D34" s="208"/>
      <c r="E34" s="211"/>
      <c r="F34" s="248">
        <f>IF('数据-取费表'!B24=0,1,'数据-取费表'!N16)</f>
        <v>1</v>
      </c>
      <c r="G34" s="210" t="s">
        <v>89</v>
      </c>
    </row>
    <row r="35" spans="1:7" ht="13.5" customHeight="1">
      <c r="A35" s="728" t="s">
        <v>351</v>
      </c>
      <c r="B35" s="206" t="s">
        <v>33</v>
      </c>
      <c r="C35" s="211">
        <f>ROUND(C34*F35,0)</f>
        <v>894</v>
      </c>
      <c r="D35" s="211"/>
      <c r="E35" s="211"/>
      <c r="F35" s="250">
        <f>'数据-取费表'!B33</f>
        <v>0.05</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28" t="s">
        <v>353</v>
      </c>
      <c r="B37" s="206" t="s">
        <v>91</v>
      </c>
      <c r="C37" s="240">
        <f>ROUND(E37*D37*F34/10000,0)</f>
        <v>1022</v>
      </c>
      <c r="D37" s="208">
        <f>'数据-汇总表'!E3</f>
        <v>51111.68000000059</v>
      </c>
      <c r="E37" s="240">
        <f>'数据-取费表'!B35</f>
        <v>200</v>
      </c>
      <c r="F37" s="250"/>
      <c r="G37" s="252" t="s">
        <v>92</v>
      </c>
    </row>
    <row r="38" spans="1:7" ht="13.5" customHeight="1">
      <c r="A38" s="728" t="s">
        <v>354</v>
      </c>
      <c r="B38" s="206" t="s">
        <v>36</v>
      </c>
      <c r="C38" s="211">
        <f>ROUND(C34*F38,0)</f>
        <v>358</v>
      </c>
      <c r="D38" s="211"/>
      <c r="E38" s="211"/>
      <c r="F38" s="250">
        <f>'数据-取费表'!B36</f>
        <v>0.02</v>
      </c>
      <c r="G38" s="210" t="s">
        <v>90</v>
      </c>
    </row>
    <row r="39" spans="1:7" s="205" customFormat="1" ht="13.5" customHeight="1">
      <c r="A39" s="725" t="s">
        <v>338</v>
      </c>
      <c r="B39" s="201" t="s">
        <v>77</v>
      </c>
      <c r="C39" s="223">
        <f>ROUND(C33*F20,0)</f>
        <v>403</v>
      </c>
      <c r="D39" s="223"/>
      <c r="E39" s="223"/>
      <c r="F39" s="224"/>
      <c r="G39" s="994" t="s">
        <v>433</v>
      </c>
    </row>
    <row r="40" spans="1:7" s="205" customFormat="1" ht="13.5" customHeight="1">
      <c r="A40" s="725" t="s">
        <v>339</v>
      </c>
      <c r="B40" s="201" t="s">
        <v>78</v>
      </c>
      <c r="C40" s="253">
        <f>F21</f>
        <v>0.02</v>
      </c>
      <c r="D40" s="227" t="s">
        <v>102</v>
      </c>
      <c r="E40" s="223"/>
      <c r="F40" s="224"/>
      <c r="G40" s="225" t="s">
        <v>93</v>
      </c>
    </row>
    <row r="41" spans="1:7" s="205" customFormat="1" ht="13.5" customHeight="1">
      <c r="A41" s="725" t="s">
        <v>340</v>
      </c>
      <c r="B41" s="201" t="s">
        <v>80</v>
      </c>
      <c r="C41" s="223">
        <f ca="1">ROUND(SUM(C42:C43),0)</f>
        <v>637</v>
      </c>
      <c r="D41" s="226">
        <f ca="1">C44</f>
        <v>5.9999999999999995E-4</v>
      </c>
      <c r="E41" s="227" t="s">
        <v>102</v>
      </c>
      <c r="F41" s="228"/>
      <c r="G41" s="994" t="str">
        <f>IF('数据-取费表'!B22&lt;=1,"单利计息","复利计息")</f>
        <v>复利计息</v>
      </c>
    </row>
    <row r="42" spans="1:7" ht="13.5" customHeight="1">
      <c r="A42" s="728" t="s">
        <v>349</v>
      </c>
      <c r="B42" s="206" t="s">
        <v>423</v>
      </c>
      <c r="C42" s="229">
        <f ca="1">ROUND(IF('数据-取费表'!B22&lt;=1,C33*F22*'数据-取费表'!B21/2,C33*(POWER((1+F22),'数据-取费表'!B21/2)-1)),0)</f>
        <v>625</v>
      </c>
      <c r="D42" s="229"/>
      <c r="E42" s="229"/>
      <c r="F42" s="230"/>
      <c r="G42" s="3435" t="s">
        <v>94</v>
      </c>
    </row>
    <row r="43" spans="1:7" ht="13.5" customHeight="1">
      <c r="A43" s="728" t="s">
        <v>347</v>
      </c>
      <c r="B43" s="206" t="s">
        <v>426</v>
      </c>
      <c r="C43" s="229">
        <f ca="1">ROUND(IF('数据-取费表'!B22&lt;=1,C39*F22*'数据-取费表'!B21/2,C39*(POWER((1+F22),'数据-取费表'!B21/2)-1)),0)</f>
        <v>12</v>
      </c>
      <c r="D43" s="229"/>
      <c r="E43" s="229"/>
      <c r="F43" s="230"/>
      <c r="G43" s="3436"/>
    </row>
    <row r="44" spans="1:7" ht="13.5" customHeight="1">
      <c r="A44" s="728" t="s">
        <v>348</v>
      </c>
      <c r="B44" s="206" t="s">
        <v>428</v>
      </c>
      <c r="C44" s="229">
        <f ca="1">ROUND(IF('数据-取费表'!B22&lt;=1,C40*F22*'数据-取费表'!B21/2,C40*(POWER((1+F22),'数据-取费表'!B21/2)-1)),4)</f>
        <v>5.9999999999999995E-4</v>
      </c>
      <c r="D44" s="229"/>
      <c r="E44" s="229"/>
      <c r="F44" s="230"/>
      <c r="G44" s="3437"/>
    </row>
    <row r="45" spans="1:7" s="205" customFormat="1" ht="13.5" customHeight="1">
      <c r="A45" s="725" t="s">
        <v>341</v>
      </c>
      <c r="B45" s="235" t="s">
        <v>85</v>
      </c>
      <c r="C45" s="236">
        <f>C46</f>
        <v>3085</v>
      </c>
      <c r="D45" s="226">
        <f>C47</f>
        <v>3.0000000000000001E-3</v>
      </c>
      <c r="E45" s="227" t="s">
        <v>102</v>
      </c>
      <c r="F45" s="237"/>
      <c r="G45" s="238" t="s">
        <v>434</v>
      </c>
    </row>
    <row r="46" spans="1:7" s="205" customFormat="1" ht="13.5" customHeight="1">
      <c r="A46" s="728" t="s">
        <v>349</v>
      </c>
      <c r="B46" s="239" t="s">
        <v>427</v>
      </c>
      <c r="C46" s="240">
        <f>ROUND((C33+C39)*F27,0)</f>
        <v>3085</v>
      </c>
      <c r="D46" s="254"/>
      <c r="E46" s="227"/>
      <c r="F46" s="237"/>
      <c r="G46" s="238"/>
    </row>
    <row r="47" spans="1:7" s="205" customFormat="1" ht="13.5" customHeight="1">
      <c r="A47" s="728" t="s">
        <v>347</v>
      </c>
      <c r="B47" s="239" t="s">
        <v>429</v>
      </c>
      <c r="C47" s="229">
        <f>ROUND(C40*F27,4)</f>
        <v>3.0000000000000001E-3</v>
      </c>
      <c r="D47" s="254"/>
      <c r="E47" s="227"/>
      <c r="F47" s="237"/>
      <c r="G47" s="238"/>
    </row>
    <row r="48" spans="1:7" s="205" customFormat="1" ht="13.5" customHeight="1">
      <c r="A48" s="725" t="s">
        <v>342</v>
      </c>
      <c r="B48" s="201" t="s">
        <v>95</v>
      </c>
      <c r="C48" s="253">
        <f>F30</f>
        <v>5.6000000000000001E-2</v>
      </c>
      <c r="D48" s="227" t="s">
        <v>103</v>
      </c>
      <c r="E48" s="223"/>
      <c r="F48" s="228"/>
      <c r="G48" s="225" t="s">
        <v>96</v>
      </c>
    </row>
    <row r="49" spans="1:7" ht="16.5" customHeight="1">
      <c r="A49" s="725" t="s">
        <v>343</v>
      </c>
      <c r="B49" s="201" t="s">
        <v>104</v>
      </c>
      <c r="C49" s="223">
        <f ca="1">ROUND((C33+C39+C41+C45)/(1-C40-D41-D45-C48/(1+'数据-取费表'!B42)),0)</f>
        <v>26312</v>
      </c>
      <c r="D49" s="223"/>
      <c r="E49" s="223"/>
      <c r="F49" s="255"/>
      <c r="G49" s="225" t="s">
        <v>435</v>
      </c>
    </row>
    <row r="50" spans="1:7" s="249" customFormat="1" ht="24">
      <c r="A50" s="725" t="s">
        <v>344</v>
      </c>
      <c r="B50" s="201" t="s">
        <v>97</v>
      </c>
      <c r="C50" s="223"/>
      <c r="D50" s="223"/>
      <c r="E50" s="223"/>
      <c r="F50" s="255">
        <f>IF('数据-取费表'!B24=0,'数据-取费表'!N16,1)</f>
        <v>0.88</v>
      </c>
      <c r="G50" s="238" t="s">
        <v>98</v>
      </c>
    </row>
    <row r="51" spans="1:7" ht="16.5" customHeight="1">
      <c r="A51" s="725" t="s">
        <v>345</v>
      </c>
      <c r="B51" s="201" t="s">
        <v>105</v>
      </c>
      <c r="C51" s="223">
        <f ca="1">ROUND(C49*F50,0)</f>
        <v>23155</v>
      </c>
      <c r="D51" s="223"/>
      <c r="E51" s="223"/>
      <c r="F51" s="255"/>
      <c r="G51" s="225" t="s">
        <v>37</v>
      </c>
    </row>
    <row r="52" spans="1:7" s="199" customFormat="1" ht="16.5" thickBot="1">
      <c r="A52" s="256" t="s">
        <v>38</v>
      </c>
      <c r="B52" s="257"/>
      <c r="C52" s="258">
        <f ca="1">C31+C51</f>
        <v>52134</v>
      </c>
      <c r="D52" s="257"/>
      <c r="E52" s="257"/>
      <c r="F52" s="257"/>
      <c r="G52" s="259"/>
    </row>
    <row r="55" spans="1:7" ht="15">
      <c r="B55" s="261" t="s">
        <v>39</v>
      </c>
      <c r="C55" s="262"/>
    </row>
    <row r="56" spans="1:7">
      <c r="B56" s="264" t="s">
        <v>40</v>
      </c>
      <c r="C56" s="265">
        <f ca="1">ROUND(C51/C52,3)</f>
        <v>0.44400000000000001</v>
      </c>
    </row>
    <row r="57" spans="1:7">
      <c r="B57" s="264" t="s">
        <v>41</v>
      </c>
      <c r="C57" s="266">
        <f ca="1">1-C56</f>
        <v>0.55600000000000005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E1" sqref="E1"/>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23" t="s">
        <v>2829</v>
      </c>
      <c r="B1" s="3523"/>
      <c r="C1" s="3523"/>
      <c r="D1" s="3523"/>
      <c r="E1" s="3523"/>
      <c r="F1" s="3523"/>
      <c r="G1" s="3524"/>
      <c r="I1" s="2926" t="s">
        <v>2830</v>
      </c>
      <c r="J1" s="2927" t="s">
        <v>2831</v>
      </c>
      <c r="K1" s="2927" t="s">
        <v>2832</v>
      </c>
      <c r="L1" s="2927" t="s">
        <v>2833</v>
      </c>
      <c r="M1" s="2927" t="s">
        <v>2834</v>
      </c>
      <c r="N1" s="2927" t="s">
        <v>2835</v>
      </c>
      <c r="O1" s="2927" t="s">
        <v>2836</v>
      </c>
      <c r="P1" s="2927" t="s">
        <v>2837</v>
      </c>
      <c r="Q1" s="2927" t="s">
        <v>2838</v>
      </c>
      <c r="R1" s="2927" t="s">
        <v>2839</v>
      </c>
      <c r="S1" s="2927" t="s">
        <v>2840</v>
      </c>
      <c r="T1" s="2928" t="s">
        <v>2841</v>
      </c>
    </row>
    <row r="2" spans="1:20" ht="12" thickBot="1">
      <c r="A2" s="2929" t="s">
        <v>2842</v>
      </c>
      <c r="B2" s="2929"/>
      <c r="C2" s="2929"/>
      <c r="D2" s="2929"/>
      <c r="E2" s="2929"/>
      <c r="F2" s="2929"/>
      <c r="G2" s="2930" t="s">
        <v>2843</v>
      </c>
      <c r="I2" s="2931" t="s">
        <v>2844</v>
      </c>
      <c r="J2" s="2931" t="s">
        <v>2845</v>
      </c>
      <c r="K2" s="2931" t="s">
        <v>2846</v>
      </c>
      <c r="L2" s="2931" t="s">
        <v>2847</v>
      </c>
      <c r="M2" s="2931" t="s">
        <v>2848</v>
      </c>
      <c r="N2" s="2931" t="s">
        <v>2849</v>
      </c>
      <c r="O2" s="2931" t="s">
        <v>2850</v>
      </c>
      <c r="P2" s="2931" t="s">
        <v>2851</v>
      </c>
      <c r="Q2" s="2931" t="s">
        <v>2852</v>
      </c>
      <c r="R2" s="2931" t="s">
        <v>2853</v>
      </c>
      <c r="S2" s="2931" t="s">
        <v>2854</v>
      </c>
      <c r="T2" s="2931" t="s">
        <v>2855</v>
      </c>
    </row>
    <row r="3" spans="1:20" s="2937" customFormat="1">
      <c r="A3" s="3521" t="s">
        <v>2856</v>
      </c>
      <c r="B3" s="2932"/>
      <c r="C3" s="2933" t="s">
        <v>2801</v>
      </c>
      <c r="D3" s="2933" t="s">
        <v>2857</v>
      </c>
      <c r="E3" s="2933" t="s">
        <v>2803</v>
      </c>
      <c r="F3" s="2933" t="s">
        <v>2858</v>
      </c>
      <c r="G3" s="2933" t="s">
        <v>2621</v>
      </c>
      <c r="H3" s="2934"/>
      <c r="I3" s="2935" t="s">
        <v>2859</v>
      </c>
      <c r="J3" s="2936" t="s">
        <v>128</v>
      </c>
      <c r="K3" s="2936" t="s">
        <v>129</v>
      </c>
      <c r="L3" s="2935" t="s">
        <v>130</v>
      </c>
      <c r="M3" s="2935" t="s">
        <v>131</v>
      </c>
      <c r="N3" s="2935" t="s">
        <v>132</v>
      </c>
      <c r="O3" s="2935" t="s">
        <v>133</v>
      </c>
      <c r="P3" s="2935" t="s">
        <v>134</v>
      </c>
      <c r="Q3" s="2935" t="s">
        <v>135</v>
      </c>
      <c r="R3" s="2935" t="s">
        <v>136</v>
      </c>
      <c r="S3" s="2935" t="s">
        <v>2860</v>
      </c>
      <c r="T3" s="2935" t="s">
        <v>2861</v>
      </c>
    </row>
    <row r="4" spans="1:20" s="2937" customFormat="1" ht="12" thickBot="1">
      <c r="A4" s="3522"/>
      <c r="B4" s="2938" t="s">
        <v>2862</v>
      </c>
      <c r="C4" s="2938" t="s">
        <v>2863</v>
      </c>
      <c r="D4" s="2938" t="s">
        <v>2863</v>
      </c>
      <c r="E4" s="2938" t="s">
        <v>2863</v>
      </c>
      <c r="F4" s="2939" t="s">
        <v>2863</v>
      </c>
      <c r="G4" s="2939" t="s">
        <v>2863</v>
      </c>
      <c r="H4" s="2934"/>
      <c r="I4" s="2936" t="s">
        <v>137</v>
      </c>
      <c r="J4" s="2936" t="s">
        <v>111</v>
      </c>
      <c r="K4" s="2936" t="s">
        <v>138</v>
      </c>
      <c r="L4" s="2935" t="s">
        <v>139</v>
      </c>
      <c r="M4" s="2935" t="s">
        <v>140</v>
      </c>
      <c r="N4" s="2935" t="s">
        <v>141</v>
      </c>
      <c r="O4" s="2935" t="s">
        <v>142</v>
      </c>
      <c r="P4" s="2935" t="s">
        <v>143</v>
      </c>
      <c r="Q4" s="2935" t="s">
        <v>2864</v>
      </c>
      <c r="R4" s="2935" t="s">
        <v>2865</v>
      </c>
      <c r="S4" s="2935" t="s">
        <v>2866</v>
      </c>
      <c r="T4" s="2935" t="s">
        <v>2867</v>
      </c>
    </row>
    <row r="5" spans="1:20">
      <c r="A5" s="2940" t="s">
        <v>2830</v>
      </c>
      <c r="B5" s="2931" t="s">
        <v>2844</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2868</v>
      </c>
      <c r="R5" s="2935" t="s">
        <v>2869</v>
      </c>
      <c r="S5" s="2935" t="s">
        <v>153</v>
      </c>
      <c r="T5" s="2935" t="s">
        <v>2870</v>
      </c>
    </row>
    <row r="6" spans="1:20" ht="12" thickBot="1">
      <c r="A6" s="2935" t="s">
        <v>144</v>
      </c>
      <c r="B6" s="2935" t="s">
        <v>2859</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2871</v>
      </c>
      <c r="Q6" s="2935" t="s">
        <v>2872</v>
      </c>
      <c r="R6" s="2935" t="s">
        <v>161</v>
      </c>
      <c r="S6" s="2935" t="s">
        <v>2873</v>
      </c>
      <c r="T6" s="2935" t="s">
        <v>2874</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2875</v>
      </c>
      <c r="Q7" s="2935" t="s">
        <v>2876</v>
      </c>
      <c r="R7" s="2935" t="s">
        <v>2877</v>
      </c>
      <c r="S7" s="2935" t="s">
        <v>2878</v>
      </c>
      <c r="T7" s="2935" t="s">
        <v>2879</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2880</v>
      </c>
      <c r="Q8" s="2935" t="s">
        <v>174</v>
      </c>
      <c r="R8" s="2935" t="s">
        <v>2881</v>
      </c>
      <c r="S8" s="2935" t="s">
        <v>2882</v>
      </c>
      <c r="T8" s="2942" t="s">
        <v>2883</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2884</v>
      </c>
      <c r="Q9" s="2935" t="s">
        <v>182</v>
      </c>
      <c r="R9" s="2935" t="s">
        <v>183</v>
      </c>
      <c r="S9" s="2935" t="s">
        <v>200</v>
      </c>
    </row>
    <row r="10" spans="1:20">
      <c r="A10" s="2940" t="s">
        <v>184</v>
      </c>
      <c r="B10" s="2931" t="s">
        <v>2845</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2885</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2886</v>
      </c>
      <c r="P11" s="2935" t="s">
        <v>191</v>
      </c>
      <c r="Q11" s="2935" t="s">
        <v>199</v>
      </c>
      <c r="R11" s="2935" t="s">
        <v>2887</v>
      </c>
      <c r="S11" s="2935" t="s">
        <v>2888</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2889</v>
      </c>
      <c r="P12" s="2935" t="s">
        <v>2890</v>
      </c>
      <c r="Q12" s="2935" t="s">
        <v>2891</v>
      </c>
      <c r="R12" s="2935" t="s">
        <v>2892</v>
      </c>
      <c r="S12" s="2935" t="s">
        <v>2893</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2894</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2895</v>
      </c>
      <c r="K14" s="2936" t="s">
        <v>215</v>
      </c>
      <c r="L14" s="2935" t="s">
        <v>216</v>
      </c>
      <c r="M14" s="2935" t="s">
        <v>217</v>
      </c>
      <c r="N14" s="2935" t="s">
        <v>218</v>
      </c>
      <c r="O14" s="2935" t="s">
        <v>240</v>
      </c>
      <c r="P14" s="2935" t="s">
        <v>213</v>
      </c>
      <c r="Q14" s="2935" t="s">
        <v>2896</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2897</v>
      </c>
      <c r="P15" s="2935" t="s">
        <v>2898</v>
      </c>
      <c r="Q15" s="2935" t="s">
        <v>242</v>
      </c>
      <c r="R15" s="2935" t="s">
        <v>2899</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2900</v>
      </c>
      <c r="P16" s="2935" t="s">
        <v>227</v>
      </c>
      <c r="Q16" s="2935" t="s">
        <v>250</v>
      </c>
      <c r="R16" s="2935" t="s">
        <v>207</v>
      </c>
      <c r="S16" s="2935" t="s">
        <v>2901</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2902</v>
      </c>
      <c r="P17" s="2935" t="s">
        <v>2903</v>
      </c>
      <c r="Q17" s="2935" t="s">
        <v>256</v>
      </c>
      <c r="R17" s="2935" t="s">
        <v>2904</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2905</v>
      </c>
      <c r="P18" s="2935" t="s">
        <v>241</v>
      </c>
      <c r="Q18" s="2935" t="s">
        <v>2906</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2907</v>
      </c>
      <c r="P19" s="2935" t="s">
        <v>249</v>
      </c>
      <c r="Q19" s="2935" t="s">
        <v>2908</v>
      </c>
      <c r="R19" s="2935" t="s">
        <v>265</v>
      </c>
      <c r="S19" s="2935" t="s">
        <v>2909</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2910</v>
      </c>
      <c r="P20" s="2935" t="s">
        <v>2911</v>
      </c>
      <c r="Q20" s="2935" t="s">
        <v>290</v>
      </c>
      <c r="R20" s="2935" t="s">
        <v>2912</v>
      </c>
      <c r="S20" s="2935" t="s">
        <v>277</v>
      </c>
    </row>
    <row r="21" spans="1:19" ht="14.25" customHeight="1" thickBot="1">
      <c r="A21" s="2935" t="s">
        <v>184</v>
      </c>
      <c r="B21" s="2936" t="s">
        <v>208</v>
      </c>
      <c r="C21" s="2935">
        <v>32370</v>
      </c>
      <c r="D21" s="2935">
        <v>26730</v>
      </c>
      <c r="E21" s="2935">
        <v>26640</v>
      </c>
      <c r="F21" s="2935"/>
      <c r="G21" s="2935">
        <v>19440</v>
      </c>
      <c r="J21" s="2942" t="s">
        <v>2913</v>
      </c>
      <c r="K21" s="2936" t="s">
        <v>267</v>
      </c>
      <c r="L21" s="2935" t="s">
        <v>268</v>
      </c>
      <c r="M21" s="2935" t="s">
        <v>269</v>
      </c>
      <c r="N21" s="2935" t="s">
        <v>270</v>
      </c>
      <c r="O21" s="2935" t="s">
        <v>264</v>
      </c>
      <c r="P21" s="2935" t="s">
        <v>283</v>
      </c>
      <c r="Q21" s="2935" t="s">
        <v>293</v>
      </c>
      <c r="R21" s="2935" t="s">
        <v>2914</v>
      </c>
      <c r="S21" s="2942" t="s">
        <v>2915</v>
      </c>
    </row>
    <row r="22" spans="1:19" ht="14.25" customHeight="1">
      <c r="A22" s="2935" t="s">
        <v>184</v>
      </c>
      <c r="B22" s="2936" t="s">
        <v>2895</v>
      </c>
      <c r="C22" s="2935">
        <v>29830</v>
      </c>
      <c r="D22" s="2935">
        <v>27600</v>
      </c>
      <c r="E22" s="2935">
        <v>28150</v>
      </c>
      <c r="F22" s="2935"/>
      <c r="G22" s="2935">
        <v>20080</v>
      </c>
      <c r="K22" s="2936" t="s">
        <v>2916</v>
      </c>
      <c r="L22" s="2935" t="s">
        <v>272</v>
      </c>
      <c r="M22" s="2935" t="s">
        <v>273</v>
      </c>
      <c r="N22" s="2935" t="s">
        <v>274</v>
      </c>
      <c r="O22" s="2935" t="s">
        <v>2917</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2918</v>
      </c>
      <c r="L23" s="2935" t="s">
        <v>278</v>
      </c>
      <c r="M23" s="2935" t="s">
        <v>279</v>
      </c>
      <c r="N23" s="2935" t="s">
        <v>2919</v>
      </c>
      <c r="O23" s="2935" t="s">
        <v>2920</v>
      </c>
      <c r="P23" s="2935" t="s">
        <v>289</v>
      </c>
      <c r="Q23" s="2935" t="s">
        <v>298</v>
      </c>
      <c r="R23" s="2935" t="s">
        <v>2921</v>
      </c>
    </row>
    <row r="24" spans="1:19" ht="14.25" customHeight="1">
      <c r="A24" s="2935" t="s">
        <v>184</v>
      </c>
      <c r="B24" s="2936" t="s">
        <v>230</v>
      </c>
      <c r="C24" s="2935">
        <v>27930</v>
      </c>
      <c r="D24" s="2935">
        <v>32260</v>
      </c>
      <c r="E24" s="2935">
        <v>32120</v>
      </c>
      <c r="F24" s="2935"/>
      <c r="G24" s="2935">
        <v>23470</v>
      </c>
      <c r="K24" s="2936" t="s">
        <v>2922</v>
      </c>
      <c r="L24" s="2935" t="s">
        <v>281</v>
      </c>
      <c r="M24" s="2935" t="s">
        <v>282</v>
      </c>
      <c r="N24" s="2935" t="s">
        <v>2923</v>
      </c>
      <c r="O24" s="2935" t="s">
        <v>285</v>
      </c>
      <c r="P24" s="2935" t="s">
        <v>2924</v>
      </c>
      <c r="Q24" s="2944" t="s">
        <v>2925</v>
      </c>
      <c r="R24" s="2935" t="s">
        <v>2926</v>
      </c>
    </row>
    <row r="25" spans="1:19" ht="14.25" customHeight="1">
      <c r="A25" s="2935" t="s">
        <v>184</v>
      </c>
      <c r="B25" s="2936" t="s">
        <v>235</v>
      </c>
      <c r="C25" s="2935">
        <v>32230</v>
      </c>
      <c r="D25" s="2935">
        <v>29640</v>
      </c>
      <c r="E25" s="2935">
        <v>29510</v>
      </c>
      <c r="F25" s="2935"/>
      <c r="G25" s="2935">
        <v>21560</v>
      </c>
      <c r="K25" s="2936" t="s">
        <v>2927</v>
      </c>
      <c r="L25" s="2935" t="s">
        <v>2928</v>
      </c>
      <c r="M25" s="2935" t="s">
        <v>284</v>
      </c>
      <c r="N25" s="2935" t="s">
        <v>292</v>
      </c>
      <c r="O25" s="2935" t="s">
        <v>288</v>
      </c>
      <c r="P25" s="2935" t="s">
        <v>275</v>
      </c>
      <c r="Q25" s="2944" t="s">
        <v>271</v>
      </c>
      <c r="R25" s="2935" t="s">
        <v>2929</v>
      </c>
    </row>
    <row r="26" spans="1:19" ht="14.25" customHeight="1" thickBot="1">
      <c r="A26" s="2935" t="s">
        <v>184</v>
      </c>
      <c r="B26" s="2936" t="s">
        <v>244</v>
      </c>
      <c r="C26" s="2935">
        <v>31690</v>
      </c>
      <c r="D26" s="2935">
        <v>27650</v>
      </c>
      <c r="E26" s="2935">
        <v>28200</v>
      </c>
      <c r="F26" s="2935"/>
      <c r="G26" s="2935">
        <v>20110</v>
      </c>
      <c r="K26" s="2941" t="s">
        <v>2930</v>
      </c>
      <c r="L26" s="2935" t="s">
        <v>2931</v>
      </c>
      <c r="M26" s="2935" t="s">
        <v>287</v>
      </c>
      <c r="N26" s="2935" t="s">
        <v>294</v>
      </c>
      <c r="O26" s="2935" t="s">
        <v>2932</v>
      </c>
      <c r="P26" s="2935" t="s">
        <v>2933</v>
      </c>
      <c r="Q26" s="2944" t="s">
        <v>276</v>
      </c>
      <c r="R26" s="2935" t="s">
        <v>2934</v>
      </c>
    </row>
    <row r="27" spans="1:19" ht="14.25" customHeight="1">
      <c r="A27" s="2935" t="s">
        <v>184</v>
      </c>
      <c r="B27" s="2936" t="s">
        <v>251</v>
      </c>
      <c r="C27" s="2935">
        <v>29610</v>
      </c>
      <c r="D27" s="2935">
        <v>27770</v>
      </c>
      <c r="E27" s="2935">
        <v>28300</v>
      </c>
      <c r="F27" s="2935"/>
      <c r="G27" s="2935">
        <v>20210</v>
      </c>
      <c r="L27" s="2935" t="s">
        <v>2935</v>
      </c>
      <c r="M27" s="2935" t="s">
        <v>291</v>
      </c>
      <c r="N27" s="2935" t="s">
        <v>297</v>
      </c>
      <c r="O27" s="2935" t="s">
        <v>2936</v>
      </c>
      <c r="P27" s="2935" t="s">
        <v>2937</v>
      </c>
      <c r="Q27" s="2935" t="s">
        <v>2938</v>
      </c>
      <c r="R27" s="2935" t="s">
        <v>2939</v>
      </c>
    </row>
    <row r="28" spans="1:19" ht="14.25" customHeight="1">
      <c r="A28" s="2935" t="s">
        <v>184</v>
      </c>
      <c r="B28" s="2936" t="s">
        <v>259</v>
      </c>
      <c r="C28" s="2935"/>
      <c r="D28" s="2935">
        <v>31520</v>
      </c>
      <c r="E28" s="2935">
        <v>31410</v>
      </c>
      <c r="F28" s="2935"/>
      <c r="G28" s="2935">
        <v>22940</v>
      </c>
      <c r="L28" s="2935" t="s">
        <v>2940</v>
      </c>
      <c r="M28" s="2935" t="s">
        <v>2941</v>
      </c>
      <c r="N28" s="2935" t="s">
        <v>2942</v>
      </c>
      <c r="O28" s="2935" t="s">
        <v>2943</v>
      </c>
      <c r="P28" s="2935" t="s">
        <v>2944</v>
      </c>
      <c r="Q28" s="2935" t="s">
        <v>2945</v>
      </c>
      <c r="R28" s="2935" t="s">
        <v>2946</v>
      </c>
    </row>
    <row r="29" spans="1:19" ht="14.25" customHeight="1" thickBot="1">
      <c r="A29" s="2943" t="s">
        <v>184</v>
      </c>
      <c r="B29" s="2945" t="s">
        <v>2913</v>
      </c>
      <c r="C29" s="2946"/>
      <c r="D29" s="2946">
        <v>29460</v>
      </c>
      <c r="E29" s="2946">
        <v>28640</v>
      </c>
      <c r="F29" s="2946"/>
      <c r="G29" s="2946">
        <v>21430</v>
      </c>
      <c r="L29" s="2935" t="s">
        <v>2947</v>
      </c>
      <c r="M29" s="2935" t="s">
        <v>2948</v>
      </c>
      <c r="N29" s="2935" t="s">
        <v>2949</v>
      </c>
      <c r="O29" s="2935" t="s">
        <v>2950</v>
      </c>
      <c r="P29" s="2935" t="s">
        <v>2951</v>
      </c>
      <c r="Q29" s="2935" t="s">
        <v>2952</v>
      </c>
      <c r="R29" s="2935" t="s">
        <v>280</v>
      </c>
    </row>
    <row r="30" spans="1:19" ht="14.25" customHeight="1">
      <c r="A30" s="2940" t="s">
        <v>296</v>
      </c>
      <c r="B30" s="2931" t="s">
        <v>2846</v>
      </c>
      <c r="C30" s="2931">
        <v>26890</v>
      </c>
      <c r="D30" s="2931">
        <v>26770</v>
      </c>
      <c r="E30" s="2931">
        <v>25700</v>
      </c>
      <c r="F30" s="2931">
        <v>8180</v>
      </c>
      <c r="G30" s="2947">
        <v>18740</v>
      </c>
      <c r="L30" s="2935" t="s">
        <v>2953</v>
      </c>
      <c r="M30" s="2935" t="s">
        <v>2954</v>
      </c>
      <c r="N30" s="2935" t="s">
        <v>2955</v>
      </c>
      <c r="O30" s="2935" t="s">
        <v>2956</v>
      </c>
      <c r="P30" s="2935" t="s">
        <v>2957</v>
      </c>
      <c r="Q30" s="2935" t="s">
        <v>2958</v>
      </c>
      <c r="R30" s="2935" t="s">
        <v>2959</v>
      </c>
    </row>
    <row r="31" spans="1:19" ht="14.25" customHeight="1">
      <c r="A31" s="2935" t="s">
        <v>296</v>
      </c>
      <c r="B31" s="2936" t="s">
        <v>129</v>
      </c>
      <c r="C31" s="2935">
        <v>24550</v>
      </c>
      <c r="D31" s="2935">
        <v>23990</v>
      </c>
      <c r="E31" s="2935">
        <v>22930</v>
      </c>
      <c r="F31" s="2935">
        <v>7470</v>
      </c>
      <c r="G31" s="2948">
        <v>16790</v>
      </c>
      <c r="L31" s="2935" t="s">
        <v>2960</v>
      </c>
      <c r="M31" s="2935" t="s">
        <v>2961</v>
      </c>
      <c r="N31" s="2935" t="s">
        <v>2962</v>
      </c>
      <c r="O31" s="2935" t="s">
        <v>2963</v>
      </c>
      <c r="P31" s="2935" t="s">
        <v>2964</v>
      </c>
      <c r="Q31" s="2935" t="s">
        <v>2965</v>
      </c>
      <c r="R31" s="2935" t="s">
        <v>2966</v>
      </c>
    </row>
    <row r="32" spans="1:19" ht="14.25" customHeight="1" thickBot="1">
      <c r="A32" s="2935" t="s">
        <v>296</v>
      </c>
      <c r="B32" s="2936" t="s">
        <v>138</v>
      </c>
      <c r="C32" s="2935">
        <v>27210</v>
      </c>
      <c r="D32" s="2935">
        <v>23240</v>
      </c>
      <c r="E32" s="2935">
        <v>23260</v>
      </c>
      <c r="F32" s="2935">
        <v>7130</v>
      </c>
      <c r="G32" s="2948">
        <v>16270</v>
      </c>
      <c r="L32" s="2935" t="s">
        <v>2967</v>
      </c>
      <c r="M32" s="2935" t="s">
        <v>2968</v>
      </c>
      <c r="N32" s="2935" t="s">
        <v>300</v>
      </c>
      <c r="O32" s="2935" t="s">
        <v>2969</v>
      </c>
      <c r="P32" s="2935" t="s">
        <v>299</v>
      </c>
      <c r="Q32" s="2935" t="s">
        <v>2970</v>
      </c>
      <c r="R32" s="2942" t="s">
        <v>2971</v>
      </c>
    </row>
    <row r="33" spans="1:17" ht="14.25" customHeight="1" thickBot="1">
      <c r="A33" s="2935" t="s">
        <v>296</v>
      </c>
      <c r="B33" s="2936" t="s">
        <v>147</v>
      </c>
      <c r="C33" s="2935">
        <v>27300</v>
      </c>
      <c r="D33" s="2935">
        <v>22980</v>
      </c>
      <c r="E33" s="2935">
        <v>24260</v>
      </c>
      <c r="F33" s="2935">
        <v>5860</v>
      </c>
      <c r="G33" s="2948">
        <v>16090</v>
      </c>
      <c r="L33" s="2942" t="s">
        <v>2972</v>
      </c>
      <c r="M33" s="2935" t="s">
        <v>2973</v>
      </c>
      <c r="N33" s="2935" t="s">
        <v>301</v>
      </c>
      <c r="O33" s="2935" t="s">
        <v>2974</v>
      </c>
      <c r="P33" s="2935" t="s">
        <v>2975</v>
      </c>
      <c r="Q33" s="2935" t="s">
        <v>2976</v>
      </c>
    </row>
    <row r="34" spans="1:17" ht="14.25" customHeight="1">
      <c r="A34" s="2935" t="s">
        <v>296</v>
      </c>
      <c r="B34" s="2936" t="s">
        <v>156</v>
      </c>
      <c r="C34" s="2935">
        <v>23090</v>
      </c>
      <c r="D34" s="2935">
        <v>23390</v>
      </c>
      <c r="E34" s="2935">
        <v>23510</v>
      </c>
      <c r="F34" s="2935">
        <v>6700</v>
      </c>
      <c r="G34" s="2948">
        <v>16370</v>
      </c>
      <c r="M34" s="2935" t="s">
        <v>2977</v>
      </c>
      <c r="N34" s="2935" t="s">
        <v>302</v>
      </c>
      <c r="O34" s="2935" t="s">
        <v>2978</v>
      </c>
      <c r="P34" s="2935" t="s">
        <v>2979</v>
      </c>
      <c r="Q34" s="2935" t="s">
        <v>2980</v>
      </c>
    </row>
    <row r="35" spans="1:17" ht="14.25" customHeight="1">
      <c r="A35" s="2935" t="s">
        <v>296</v>
      </c>
      <c r="B35" s="2936" t="s">
        <v>163</v>
      </c>
      <c r="C35" s="2935">
        <v>27270</v>
      </c>
      <c r="D35" s="2935">
        <v>24270</v>
      </c>
      <c r="E35" s="2935">
        <v>24950</v>
      </c>
      <c r="F35" s="2935">
        <v>6600</v>
      </c>
      <c r="G35" s="2948">
        <v>16990</v>
      </c>
      <c r="M35" s="2935" t="s">
        <v>2981</v>
      </c>
      <c r="N35" s="2935" t="s">
        <v>2982</v>
      </c>
      <c r="O35" s="2935" t="s">
        <v>2983</v>
      </c>
      <c r="P35" s="2935" t="s">
        <v>2984</v>
      </c>
      <c r="Q35" s="2935" t="s">
        <v>2985</v>
      </c>
    </row>
    <row r="36" spans="1:17" ht="14.25" customHeight="1">
      <c r="A36" s="2935" t="s">
        <v>296</v>
      </c>
      <c r="B36" s="2936" t="s">
        <v>169</v>
      </c>
      <c r="C36" s="2935">
        <v>23490</v>
      </c>
      <c r="D36" s="2935">
        <v>23020</v>
      </c>
      <c r="E36" s="2935">
        <v>25230</v>
      </c>
      <c r="F36" s="2935">
        <v>6780</v>
      </c>
      <c r="G36" s="2948">
        <v>16120</v>
      </c>
      <c r="M36" s="2935" t="s">
        <v>2986</v>
      </c>
      <c r="N36" s="2935" t="s">
        <v>2987</v>
      </c>
      <c r="O36" s="2935" t="s">
        <v>2988</v>
      </c>
      <c r="P36" s="2935" t="s">
        <v>2989</v>
      </c>
      <c r="Q36" s="2935" t="s">
        <v>2990</v>
      </c>
    </row>
    <row r="37" spans="1:17" ht="14.25" customHeight="1">
      <c r="A37" s="2935" t="s">
        <v>296</v>
      </c>
      <c r="B37" s="2936" t="s">
        <v>176</v>
      </c>
      <c r="C37" s="2935">
        <v>24380</v>
      </c>
      <c r="D37" s="2935">
        <v>22240</v>
      </c>
      <c r="E37" s="2935">
        <v>25980</v>
      </c>
      <c r="F37" s="2935">
        <v>8160</v>
      </c>
      <c r="G37" s="2948">
        <v>15570</v>
      </c>
      <c r="M37" s="2935" t="s">
        <v>2991</v>
      </c>
      <c r="N37" s="2935" t="s">
        <v>2992</v>
      </c>
      <c r="O37" s="2935" t="s">
        <v>2993</v>
      </c>
      <c r="P37" s="2935" t="s">
        <v>2994</v>
      </c>
      <c r="Q37" s="2935" t="s">
        <v>2995</v>
      </c>
    </row>
    <row r="38" spans="1:17" ht="14.25" customHeight="1">
      <c r="A38" s="2935" t="s">
        <v>296</v>
      </c>
      <c r="B38" s="2936" t="s">
        <v>186</v>
      </c>
      <c r="C38" s="2935">
        <v>23120</v>
      </c>
      <c r="D38" s="2935">
        <v>24630</v>
      </c>
      <c r="E38" s="2935">
        <v>25030</v>
      </c>
      <c r="F38" s="2935">
        <v>7710</v>
      </c>
      <c r="G38" s="2948">
        <v>17240</v>
      </c>
      <c r="M38" s="2935" t="s">
        <v>2996</v>
      </c>
      <c r="N38" s="2935" t="s">
        <v>2997</v>
      </c>
      <c r="O38" s="2935" t="s">
        <v>2998</v>
      </c>
      <c r="P38" s="2935" t="s">
        <v>2999</v>
      </c>
      <c r="Q38" s="2935" t="s">
        <v>3000</v>
      </c>
    </row>
    <row r="39" spans="1:17" ht="14.25" customHeight="1">
      <c r="A39" s="2935" t="s">
        <v>296</v>
      </c>
      <c r="B39" s="2936" t="s">
        <v>195</v>
      </c>
      <c r="C39" s="2935">
        <v>22330</v>
      </c>
      <c r="D39" s="2935">
        <v>21140</v>
      </c>
      <c r="E39" s="2935">
        <v>23970</v>
      </c>
      <c r="F39" s="2935">
        <v>7940</v>
      </c>
      <c r="G39" s="2948">
        <v>14790</v>
      </c>
      <c r="M39" s="2935" t="s">
        <v>3001</v>
      </c>
      <c r="N39" s="2935" t="s">
        <v>3002</v>
      </c>
      <c r="O39" s="2935" t="s">
        <v>3003</v>
      </c>
      <c r="P39" s="2935" t="s">
        <v>3004</v>
      </c>
      <c r="Q39" s="2935" t="s">
        <v>3005</v>
      </c>
    </row>
    <row r="40" spans="1:17" ht="14.25" customHeight="1">
      <c r="A40" s="2935" t="s">
        <v>296</v>
      </c>
      <c r="B40" s="2936" t="s">
        <v>202</v>
      </c>
      <c r="C40" s="2935">
        <v>24740</v>
      </c>
      <c r="D40" s="2935">
        <v>24690</v>
      </c>
      <c r="E40" s="2935">
        <v>22610</v>
      </c>
      <c r="F40" s="2935"/>
      <c r="G40" s="2948">
        <v>17280</v>
      </c>
      <c r="M40" s="2935" t="s">
        <v>3006</v>
      </c>
      <c r="N40" s="2935" t="s">
        <v>3007</v>
      </c>
      <c r="O40" s="2935" t="s">
        <v>3008</v>
      </c>
      <c r="P40" s="2935" t="s">
        <v>3009</v>
      </c>
      <c r="Q40" s="2935" t="s">
        <v>3010</v>
      </c>
    </row>
    <row r="41" spans="1:17" ht="14.25" customHeight="1" thickBot="1">
      <c r="A41" s="2935" t="s">
        <v>296</v>
      </c>
      <c r="B41" s="2936" t="s">
        <v>209</v>
      </c>
      <c r="C41" s="2935">
        <v>21220</v>
      </c>
      <c r="D41" s="2935">
        <v>21120</v>
      </c>
      <c r="E41" s="2935">
        <v>22590</v>
      </c>
      <c r="F41" s="2935"/>
      <c r="G41" s="2948">
        <v>14780</v>
      </c>
      <c r="M41" s="2942" t="s">
        <v>3011</v>
      </c>
      <c r="N41" s="2935" t="s">
        <v>3012</v>
      </c>
      <c r="O41" s="2935" t="s">
        <v>3013</v>
      </c>
      <c r="P41" s="2935" t="s">
        <v>3014</v>
      </c>
      <c r="Q41" s="2935" t="s">
        <v>3015</v>
      </c>
    </row>
    <row r="42" spans="1:17" ht="14.25" customHeight="1">
      <c r="A42" s="2935" t="s">
        <v>296</v>
      </c>
      <c r="B42" s="2936" t="s">
        <v>215</v>
      </c>
      <c r="C42" s="2935">
        <v>24800</v>
      </c>
      <c r="D42" s="2935">
        <v>22280</v>
      </c>
      <c r="E42" s="2935">
        <v>24350</v>
      </c>
      <c r="F42" s="2935"/>
      <c r="G42" s="2948">
        <v>15590</v>
      </c>
      <c r="N42" s="2935" t="s">
        <v>3016</v>
      </c>
      <c r="O42" s="2935" t="s">
        <v>3017</v>
      </c>
      <c r="P42" s="2935" t="s">
        <v>3018</v>
      </c>
      <c r="Q42" s="2935" t="s">
        <v>3019</v>
      </c>
    </row>
    <row r="43" spans="1:17" ht="14.25" customHeight="1">
      <c r="A43" s="2935" t="s">
        <v>3020</v>
      </c>
      <c r="B43" s="2936" t="s">
        <v>223</v>
      </c>
      <c r="C43" s="2935">
        <v>21210</v>
      </c>
      <c r="D43" s="2935">
        <v>21160</v>
      </c>
      <c r="E43" s="2935">
        <v>22650</v>
      </c>
      <c r="F43" s="2935"/>
      <c r="G43" s="2948">
        <v>14800</v>
      </c>
      <c r="N43" s="2935" t="s">
        <v>3021</v>
      </c>
      <c r="O43" s="2935" t="s">
        <v>3022</v>
      </c>
      <c r="P43" s="2935" t="s">
        <v>3023</v>
      </c>
      <c r="Q43" s="2935" t="s">
        <v>3024</v>
      </c>
    </row>
    <row r="44" spans="1:17" ht="14.25" customHeight="1" thickBot="1">
      <c r="A44" s="2935" t="s">
        <v>296</v>
      </c>
      <c r="B44" s="2936" t="s">
        <v>231</v>
      </c>
      <c r="C44" s="2935">
        <v>22370</v>
      </c>
      <c r="D44" s="2935">
        <v>23140</v>
      </c>
      <c r="E44" s="2935">
        <v>25090</v>
      </c>
      <c r="F44" s="2935"/>
      <c r="G44" s="2948">
        <v>16190</v>
      </c>
      <c r="N44" s="2935" t="s">
        <v>3025</v>
      </c>
      <c r="O44" s="2935" t="s">
        <v>3026</v>
      </c>
      <c r="P44" s="2942" t="s">
        <v>3027</v>
      </c>
      <c r="Q44" s="2935" t="s">
        <v>3028</v>
      </c>
    </row>
    <row r="45" spans="1:17" ht="14.25" customHeight="1" thickBot="1">
      <c r="A45" s="2935" t="s">
        <v>296</v>
      </c>
      <c r="B45" s="2936" t="s">
        <v>236</v>
      </c>
      <c r="C45" s="2935">
        <v>21240</v>
      </c>
      <c r="D45" s="2935">
        <v>27050</v>
      </c>
      <c r="E45" s="2935">
        <v>28000</v>
      </c>
      <c r="F45" s="2935"/>
      <c r="G45" s="2948">
        <v>18940</v>
      </c>
      <c r="N45" s="2935" t="s">
        <v>3029</v>
      </c>
      <c r="O45" s="2942" t="s">
        <v>3030</v>
      </c>
      <c r="Q45" s="2935" t="s">
        <v>3031</v>
      </c>
    </row>
    <row r="46" spans="1:17" ht="14.25" customHeight="1">
      <c r="A46" s="2935" t="s">
        <v>296</v>
      </c>
      <c r="B46" s="2936" t="s">
        <v>245</v>
      </c>
      <c r="C46" s="2935">
        <v>23240</v>
      </c>
      <c r="D46" s="2935">
        <v>23000</v>
      </c>
      <c r="E46" s="2935">
        <v>24980</v>
      </c>
      <c r="F46" s="2935"/>
      <c r="G46" s="2948">
        <v>16100</v>
      </c>
      <c r="N46" s="2935" t="s">
        <v>3032</v>
      </c>
      <c r="Q46" s="2935" t="s">
        <v>3033</v>
      </c>
    </row>
    <row r="47" spans="1:17" ht="14.25" customHeight="1">
      <c r="A47" s="2935" t="s">
        <v>296</v>
      </c>
      <c r="B47" s="2936" t="s">
        <v>252</v>
      </c>
      <c r="C47" s="2935">
        <v>27150</v>
      </c>
      <c r="D47" s="2935">
        <v>23310</v>
      </c>
      <c r="E47" s="2935">
        <v>25150</v>
      </c>
      <c r="F47" s="2935"/>
      <c r="G47" s="2948">
        <v>16310</v>
      </c>
      <c r="N47" s="2935" t="s">
        <v>3034</v>
      </c>
      <c r="Q47" s="2935" t="s">
        <v>3035</v>
      </c>
    </row>
    <row r="48" spans="1:17" ht="14.25" customHeight="1">
      <c r="A48" s="2935" t="s">
        <v>296</v>
      </c>
      <c r="B48" s="2936" t="s">
        <v>260</v>
      </c>
      <c r="C48" s="2935">
        <v>23100</v>
      </c>
      <c r="D48" s="2935">
        <v>21110</v>
      </c>
      <c r="E48" s="2935">
        <v>23080</v>
      </c>
      <c r="F48" s="2935"/>
      <c r="G48" s="2948">
        <v>14780</v>
      </c>
      <c r="N48" s="2935" t="s">
        <v>3036</v>
      </c>
      <c r="Q48" s="2935" t="s">
        <v>3037</v>
      </c>
    </row>
    <row r="49" spans="1:17" ht="14.25" customHeight="1">
      <c r="A49" s="2935" t="s">
        <v>296</v>
      </c>
      <c r="B49" s="2936" t="s">
        <v>267</v>
      </c>
      <c r="C49" s="2935">
        <v>23400</v>
      </c>
      <c r="D49" s="2935">
        <v>22920</v>
      </c>
      <c r="E49" s="2935">
        <v>24900</v>
      </c>
      <c r="F49" s="2935"/>
      <c r="G49" s="2948">
        <v>16040</v>
      </c>
      <c r="N49" s="2935" t="s">
        <v>3038</v>
      </c>
      <c r="Q49" s="2935" t="s">
        <v>3039</v>
      </c>
    </row>
    <row r="50" spans="1:17" ht="14.25" customHeight="1">
      <c r="A50" s="2935" t="s">
        <v>296</v>
      </c>
      <c r="B50" s="2936" t="s">
        <v>2916</v>
      </c>
      <c r="C50" s="2935">
        <v>21200</v>
      </c>
      <c r="D50" s="2935">
        <v>26540</v>
      </c>
      <c r="E50" s="2935">
        <v>23200</v>
      </c>
      <c r="F50" s="2935"/>
      <c r="G50" s="2948">
        <v>18580</v>
      </c>
      <c r="N50" s="2935" t="s">
        <v>3040</v>
      </c>
      <c r="Q50" s="2936" t="s">
        <v>3041</v>
      </c>
    </row>
    <row r="51" spans="1:17" ht="14.25" customHeight="1" thickBot="1">
      <c r="A51" s="2935" t="s">
        <v>296</v>
      </c>
      <c r="B51" s="2936" t="s">
        <v>2918</v>
      </c>
      <c r="C51" s="2935">
        <v>23000</v>
      </c>
      <c r="D51" s="2935">
        <v>23460</v>
      </c>
      <c r="E51" s="2935">
        <v>25290</v>
      </c>
      <c r="F51" s="2935"/>
      <c r="G51" s="2948">
        <v>16420</v>
      </c>
      <c r="N51" s="2935" t="s">
        <v>3042</v>
      </c>
      <c r="Q51" s="2942" t="s">
        <v>3043</v>
      </c>
    </row>
    <row r="52" spans="1:17" ht="14.25" customHeight="1">
      <c r="A52" s="2935" t="s">
        <v>296</v>
      </c>
      <c r="B52" s="2936" t="s">
        <v>2922</v>
      </c>
      <c r="C52" s="2935">
        <v>26660</v>
      </c>
      <c r="D52" s="2935">
        <v>22350</v>
      </c>
      <c r="E52" s="2935">
        <v>22920</v>
      </c>
      <c r="F52" s="2935"/>
      <c r="G52" s="2948">
        <v>15640</v>
      </c>
      <c r="N52" s="2935" t="s">
        <v>3044</v>
      </c>
    </row>
    <row r="53" spans="1:17" ht="14.25" customHeight="1">
      <c r="A53" s="2935" t="s">
        <v>296</v>
      </c>
      <c r="B53" s="2936" t="s">
        <v>2927</v>
      </c>
      <c r="C53" s="2935">
        <v>23580</v>
      </c>
      <c r="D53" s="2935"/>
      <c r="E53" s="2935">
        <v>24280</v>
      </c>
      <c r="F53" s="2935"/>
      <c r="G53" s="2948"/>
      <c r="N53" s="2935" t="s">
        <v>3045</v>
      </c>
    </row>
    <row r="54" spans="1:17" ht="14.25" customHeight="1" thickBot="1">
      <c r="A54" s="2949" t="s">
        <v>296</v>
      </c>
      <c r="B54" s="2941" t="s">
        <v>2930</v>
      </c>
      <c r="C54" s="2942">
        <v>22460</v>
      </c>
      <c r="D54" s="2942"/>
      <c r="E54" s="2942"/>
      <c r="F54" s="2942"/>
      <c r="G54" s="2950"/>
      <c r="N54" s="2935" t="s">
        <v>3046</v>
      </c>
    </row>
    <row r="55" spans="1:17" ht="14.25" customHeight="1">
      <c r="A55" s="2940" t="s">
        <v>110</v>
      </c>
      <c r="B55" s="2931" t="s">
        <v>3047</v>
      </c>
      <c r="C55" s="2935">
        <v>21970</v>
      </c>
      <c r="D55" s="2935">
        <v>20370</v>
      </c>
      <c r="E55" s="2935">
        <v>20180</v>
      </c>
      <c r="F55" s="2935">
        <v>5730</v>
      </c>
      <c r="G55" s="2935">
        <v>13820</v>
      </c>
      <c r="N55" s="2935" t="s">
        <v>3048</v>
      </c>
    </row>
    <row r="56" spans="1:17" ht="14.25" customHeight="1">
      <c r="A56" s="2935" t="s">
        <v>110</v>
      </c>
      <c r="B56" s="2935" t="s">
        <v>130</v>
      </c>
      <c r="C56" s="2935">
        <v>20470</v>
      </c>
      <c r="D56" s="2935">
        <v>20700</v>
      </c>
      <c r="E56" s="2935">
        <v>20380</v>
      </c>
      <c r="F56" s="2935">
        <v>4760</v>
      </c>
      <c r="G56" s="2935">
        <v>14050</v>
      </c>
      <c r="N56" s="2935" t="s">
        <v>3049</v>
      </c>
    </row>
    <row r="57" spans="1:17" ht="14.25" customHeight="1">
      <c r="A57" s="2935" t="s">
        <v>110</v>
      </c>
      <c r="B57" s="2935" t="s">
        <v>139</v>
      </c>
      <c r="C57" s="2935">
        <v>20790</v>
      </c>
      <c r="D57" s="2935">
        <v>21370</v>
      </c>
      <c r="E57" s="2935">
        <v>20890</v>
      </c>
      <c r="F57" s="2935">
        <v>4910</v>
      </c>
      <c r="G57" s="2935">
        <v>14510</v>
      </c>
      <c r="N57" s="2935" t="s">
        <v>3050</v>
      </c>
    </row>
    <row r="58" spans="1:17" ht="14.25" customHeight="1">
      <c r="A58" s="2935" t="s">
        <v>110</v>
      </c>
      <c r="B58" s="2935" t="s">
        <v>148</v>
      </c>
      <c r="C58" s="2935">
        <v>21460</v>
      </c>
      <c r="D58" s="2935">
        <v>20920</v>
      </c>
      <c r="E58" s="2935">
        <v>23410</v>
      </c>
      <c r="F58" s="2935">
        <v>5100</v>
      </c>
      <c r="G58" s="2935">
        <v>14200</v>
      </c>
      <c r="N58" s="2935" t="s">
        <v>3051</v>
      </c>
    </row>
    <row r="59" spans="1:17" ht="14.25" customHeight="1">
      <c r="A59" s="2935" t="s">
        <v>110</v>
      </c>
      <c r="B59" s="2935" t="s">
        <v>157</v>
      </c>
      <c r="C59" s="2935">
        <v>21000</v>
      </c>
      <c r="D59" s="2935">
        <v>21550</v>
      </c>
      <c r="E59" s="2935">
        <v>21150</v>
      </c>
      <c r="F59" s="2935">
        <v>5250</v>
      </c>
      <c r="G59" s="2935">
        <v>14630</v>
      </c>
      <c r="N59" s="2935" t="s">
        <v>3052</v>
      </c>
    </row>
    <row r="60" spans="1:17" ht="14.25" customHeight="1">
      <c r="A60" s="2935" t="s">
        <v>110</v>
      </c>
      <c r="B60" s="2935" t="s">
        <v>164</v>
      </c>
      <c r="C60" s="2935">
        <v>21640</v>
      </c>
      <c r="D60" s="2935">
        <v>21260</v>
      </c>
      <c r="E60" s="2935">
        <v>24040</v>
      </c>
      <c r="F60" s="2935">
        <v>4470</v>
      </c>
      <c r="G60" s="2935">
        <v>14430</v>
      </c>
      <c r="N60" s="2935" t="s">
        <v>3053</v>
      </c>
    </row>
    <row r="61" spans="1:17" ht="14.25" customHeight="1">
      <c r="A61" s="2935" t="s">
        <v>110</v>
      </c>
      <c r="B61" s="2935" t="s">
        <v>170</v>
      </c>
      <c r="C61" s="2935">
        <v>21330</v>
      </c>
      <c r="D61" s="2935">
        <v>18640</v>
      </c>
      <c r="E61" s="2935">
        <v>21190</v>
      </c>
      <c r="F61" s="2935">
        <v>4180</v>
      </c>
      <c r="G61" s="2935">
        <v>12650</v>
      </c>
      <c r="N61" s="2935" t="s">
        <v>3054</v>
      </c>
    </row>
    <row r="62" spans="1:17" ht="14.25" customHeight="1">
      <c r="A62" s="2935" t="s">
        <v>110</v>
      </c>
      <c r="B62" s="2935" t="s">
        <v>177</v>
      </c>
      <c r="C62" s="2935">
        <v>18710</v>
      </c>
      <c r="D62" s="2935">
        <v>19400</v>
      </c>
      <c r="E62" s="2935">
        <v>23750</v>
      </c>
      <c r="F62" s="2935">
        <v>4860</v>
      </c>
      <c r="G62" s="2935">
        <v>13170</v>
      </c>
      <c r="N62" s="2935" t="s">
        <v>3055</v>
      </c>
    </row>
    <row r="63" spans="1:17" ht="14.25" customHeight="1">
      <c r="A63" s="2935" t="s">
        <v>110</v>
      </c>
      <c r="B63" s="2935" t="s">
        <v>187</v>
      </c>
      <c r="C63" s="2935">
        <v>19480</v>
      </c>
      <c r="D63" s="2935">
        <v>16830</v>
      </c>
      <c r="E63" s="2935">
        <v>21590</v>
      </c>
      <c r="F63" s="2935">
        <v>4560</v>
      </c>
      <c r="G63" s="2935">
        <v>11420</v>
      </c>
      <c r="N63" s="2935" t="s">
        <v>3056</v>
      </c>
    </row>
    <row r="64" spans="1:17" ht="14.25" customHeight="1" thickBot="1">
      <c r="A64" s="2935" t="s">
        <v>110</v>
      </c>
      <c r="B64" s="2935" t="s">
        <v>196</v>
      </c>
      <c r="C64" s="2935">
        <v>16920</v>
      </c>
      <c r="D64" s="2935">
        <v>19190</v>
      </c>
      <c r="E64" s="2935">
        <v>22200</v>
      </c>
      <c r="F64" s="2935">
        <v>4390</v>
      </c>
      <c r="G64" s="2935">
        <v>13030</v>
      </c>
      <c r="N64" s="2942" t="s">
        <v>3057</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2928</v>
      </c>
      <c r="C78" s="2935">
        <v>19820</v>
      </c>
      <c r="D78" s="2935">
        <v>19780</v>
      </c>
      <c r="E78" s="2935">
        <v>18560</v>
      </c>
      <c r="F78" s="2935"/>
      <c r="G78" s="2935">
        <v>13430</v>
      </c>
    </row>
    <row r="79" spans="1:7" s="2769" customFormat="1" ht="14.25" customHeight="1">
      <c r="A79" s="2935" t="s">
        <v>110</v>
      </c>
      <c r="B79" s="2935" t="s">
        <v>2931</v>
      </c>
      <c r="C79" s="2935">
        <v>21660</v>
      </c>
      <c r="D79" s="2935">
        <v>18000</v>
      </c>
      <c r="E79" s="2935">
        <v>22570</v>
      </c>
      <c r="F79" s="2935"/>
      <c r="G79" s="2935">
        <v>12220</v>
      </c>
    </row>
    <row r="80" spans="1:7" s="2769" customFormat="1" ht="14.25" customHeight="1">
      <c r="A80" s="2935" t="s">
        <v>110</v>
      </c>
      <c r="B80" s="2935" t="s">
        <v>2935</v>
      </c>
      <c r="C80" s="2935">
        <v>19850</v>
      </c>
      <c r="D80" s="2935"/>
      <c r="E80" s="2935">
        <v>21700</v>
      </c>
      <c r="F80" s="2935"/>
      <c r="G80" s="2935"/>
    </row>
    <row r="81" spans="1:7" s="2769" customFormat="1" ht="14.25" customHeight="1">
      <c r="A81" s="2935" t="s">
        <v>110</v>
      </c>
      <c r="B81" s="2935" t="s">
        <v>2940</v>
      </c>
      <c r="C81" s="2935">
        <v>18080</v>
      </c>
      <c r="D81" s="2935"/>
      <c r="E81" s="2935">
        <v>20900</v>
      </c>
      <c r="F81" s="2935"/>
      <c r="G81" s="2935"/>
    </row>
    <row r="82" spans="1:7" s="2769" customFormat="1" ht="14.25" customHeight="1">
      <c r="A82" s="2935" t="s">
        <v>110</v>
      </c>
      <c r="B82" s="2935" t="s">
        <v>2947</v>
      </c>
      <c r="C82" s="2935"/>
      <c r="D82" s="2935"/>
      <c r="E82" s="2935">
        <v>20840</v>
      </c>
      <c r="F82" s="2935"/>
      <c r="G82" s="2935"/>
    </row>
    <row r="83" spans="1:7" s="2769" customFormat="1" ht="14.25" customHeight="1">
      <c r="A83" s="2935" t="s">
        <v>110</v>
      </c>
      <c r="B83" s="2935" t="s">
        <v>3058</v>
      </c>
      <c r="C83" s="2935"/>
      <c r="D83" s="2935"/>
      <c r="E83" s="2935"/>
      <c r="F83" s="2935">
        <v>4770</v>
      </c>
      <c r="G83" s="2935"/>
    </row>
    <row r="84" spans="1:7" s="2769" customFormat="1" ht="14.25" customHeight="1">
      <c r="A84" s="2935" t="s">
        <v>110</v>
      </c>
      <c r="B84" s="2935" t="s">
        <v>3059</v>
      </c>
      <c r="C84" s="2935"/>
      <c r="D84" s="2935"/>
      <c r="E84" s="2935"/>
      <c r="F84" s="2935">
        <v>4600</v>
      </c>
      <c r="G84" s="2935"/>
    </row>
    <row r="85" spans="1:7" s="2769" customFormat="1" ht="14.25" customHeight="1">
      <c r="A85" s="2935" t="s">
        <v>110</v>
      </c>
      <c r="B85" s="2935" t="s">
        <v>3060</v>
      </c>
      <c r="C85" s="2935"/>
      <c r="D85" s="2935"/>
      <c r="E85" s="2935"/>
      <c r="F85" s="2935">
        <v>4680</v>
      </c>
      <c r="G85" s="2935"/>
    </row>
    <row r="86" spans="1:7" s="2769" customFormat="1" ht="14.25" customHeight="1" thickBot="1">
      <c r="A86" s="2943" t="s">
        <v>110</v>
      </c>
      <c r="B86" s="2945" t="s">
        <v>3061</v>
      </c>
      <c r="C86" s="2946">
        <v>16610</v>
      </c>
      <c r="D86" s="2946">
        <v>16540</v>
      </c>
      <c r="E86" s="2946">
        <v>18850</v>
      </c>
      <c r="F86" s="2946"/>
      <c r="G86" s="2946">
        <v>11220</v>
      </c>
    </row>
    <row r="87" spans="1:7" s="2769" customFormat="1" ht="14.25" customHeight="1">
      <c r="A87" s="2940" t="s">
        <v>303</v>
      </c>
      <c r="B87" s="2931" t="s">
        <v>3062</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2941</v>
      </c>
      <c r="C113" s="2935">
        <v>15520</v>
      </c>
      <c r="D113" s="2935">
        <v>15450</v>
      </c>
      <c r="E113" s="2935"/>
      <c r="F113" s="2935"/>
      <c r="G113" s="2948">
        <v>10210</v>
      </c>
    </row>
    <row r="114" spans="1:7" s="2769" customFormat="1" ht="14.25" customHeight="1">
      <c r="A114" s="2935" t="s">
        <v>303</v>
      </c>
      <c r="B114" s="2935" t="s">
        <v>2948</v>
      </c>
      <c r="C114" s="2935">
        <v>13110</v>
      </c>
      <c r="D114" s="2935">
        <v>13050</v>
      </c>
      <c r="E114" s="2935"/>
      <c r="F114" s="2935"/>
      <c r="G114" s="2948">
        <v>8620</v>
      </c>
    </row>
    <row r="115" spans="1:7" s="2769" customFormat="1" ht="14.25" customHeight="1">
      <c r="A115" s="2935" t="s">
        <v>303</v>
      </c>
      <c r="B115" s="2935" t="s">
        <v>2954</v>
      </c>
      <c r="C115" s="2935">
        <v>12460</v>
      </c>
      <c r="D115" s="2935">
        <v>12390</v>
      </c>
      <c r="E115" s="2935"/>
      <c r="F115" s="2935"/>
      <c r="G115" s="2948">
        <v>8190</v>
      </c>
    </row>
    <row r="116" spans="1:7" s="2769" customFormat="1" ht="14.25" customHeight="1">
      <c r="A116" s="2935" t="s">
        <v>303</v>
      </c>
      <c r="B116" s="2935" t="s">
        <v>2961</v>
      </c>
      <c r="C116" s="2935">
        <v>13580</v>
      </c>
      <c r="D116" s="2935">
        <v>13520</v>
      </c>
      <c r="E116" s="2935"/>
      <c r="F116" s="2935"/>
      <c r="G116" s="2948">
        <v>8930</v>
      </c>
    </row>
    <row r="117" spans="1:7" s="2769" customFormat="1" ht="14.25" customHeight="1">
      <c r="A117" s="2935" t="s">
        <v>303</v>
      </c>
      <c r="B117" s="2935" t="s">
        <v>2968</v>
      </c>
      <c r="C117" s="2935">
        <v>17120</v>
      </c>
      <c r="D117" s="2935">
        <v>17040</v>
      </c>
      <c r="E117" s="2935"/>
      <c r="F117" s="2935"/>
      <c r="G117" s="2948">
        <v>11260</v>
      </c>
    </row>
    <row r="118" spans="1:7" s="2769" customFormat="1" ht="14.25" customHeight="1">
      <c r="A118" s="2935" t="s">
        <v>303</v>
      </c>
      <c r="B118" s="2935" t="s">
        <v>2973</v>
      </c>
      <c r="C118" s="2935">
        <v>14860</v>
      </c>
      <c r="D118" s="2935">
        <v>14790</v>
      </c>
      <c r="E118" s="2935"/>
      <c r="F118" s="2935"/>
      <c r="G118" s="2948">
        <v>9780</v>
      </c>
    </row>
    <row r="119" spans="1:7" s="2769" customFormat="1" ht="14.25" customHeight="1">
      <c r="A119" s="2935" t="s">
        <v>303</v>
      </c>
      <c r="B119" s="2935" t="s">
        <v>2977</v>
      </c>
      <c r="C119" s="2935">
        <v>16470</v>
      </c>
      <c r="D119" s="2935">
        <v>16400</v>
      </c>
      <c r="E119" s="2935"/>
      <c r="F119" s="2935"/>
      <c r="G119" s="2948">
        <v>10840</v>
      </c>
    </row>
    <row r="120" spans="1:7" s="2769" customFormat="1" ht="14.25" customHeight="1">
      <c r="A120" s="2935" t="s">
        <v>303</v>
      </c>
      <c r="B120" s="2935" t="s">
        <v>3063</v>
      </c>
      <c r="C120" s="2935"/>
      <c r="D120" s="2935"/>
      <c r="E120" s="2935"/>
      <c r="F120" s="2935">
        <v>4160</v>
      </c>
      <c r="G120" s="2948"/>
    </row>
    <row r="121" spans="1:7" s="2769" customFormat="1" ht="14.25" customHeight="1">
      <c r="A121" s="2935" t="s">
        <v>303</v>
      </c>
      <c r="B121" s="2935" t="s">
        <v>3064</v>
      </c>
      <c r="C121" s="2935"/>
      <c r="D121" s="2935"/>
      <c r="E121" s="2935"/>
      <c r="F121" s="2935">
        <v>3880</v>
      </c>
      <c r="G121" s="2948"/>
    </row>
    <row r="122" spans="1:7" s="2769" customFormat="1" ht="14.25" customHeight="1">
      <c r="A122" s="2935" t="s">
        <v>303</v>
      </c>
      <c r="B122" s="2935" t="s">
        <v>3065</v>
      </c>
      <c r="C122" s="2935">
        <v>13750</v>
      </c>
      <c r="D122" s="2935">
        <v>13680</v>
      </c>
      <c r="E122" s="2935">
        <v>16460</v>
      </c>
      <c r="F122" s="2935">
        <v>2880</v>
      </c>
      <c r="G122" s="2948">
        <v>9040</v>
      </c>
    </row>
    <row r="123" spans="1:7" s="2769" customFormat="1" ht="14.25" customHeight="1">
      <c r="A123" s="2935" t="s">
        <v>303</v>
      </c>
      <c r="B123" s="2935" t="s">
        <v>2996</v>
      </c>
      <c r="C123" s="2935">
        <v>13590</v>
      </c>
      <c r="D123" s="2935">
        <v>13520</v>
      </c>
      <c r="E123" s="2935">
        <v>16290</v>
      </c>
      <c r="F123" s="2935">
        <v>2790</v>
      </c>
      <c r="G123" s="2948">
        <v>8930</v>
      </c>
    </row>
    <row r="124" spans="1:7" s="2769" customFormat="1" ht="14.25" customHeight="1">
      <c r="A124" s="2935" t="s">
        <v>303</v>
      </c>
      <c r="B124" s="2935" t="s">
        <v>3001</v>
      </c>
      <c r="C124" s="2935">
        <v>13400</v>
      </c>
      <c r="D124" s="2935">
        <v>13320</v>
      </c>
      <c r="E124" s="2935">
        <v>16100</v>
      </c>
      <c r="F124" s="2935">
        <v>2320</v>
      </c>
      <c r="G124" s="2948">
        <v>8800</v>
      </c>
    </row>
    <row r="125" spans="1:7" s="2769" customFormat="1" ht="14.25" customHeight="1">
      <c r="A125" s="2935" t="s">
        <v>303</v>
      </c>
      <c r="B125" s="2935" t="s">
        <v>3006</v>
      </c>
      <c r="C125" s="2935">
        <v>12860</v>
      </c>
      <c r="D125" s="2935">
        <v>12790</v>
      </c>
      <c r="E125" s="2935">
        <v>15370</v>
      </c>
      <c r="F125" s="2935">
        <v>2280</v>
      </c>
      <c r="G125" s="2948">
        <v>8450</v>
      </c>
    </row>
    <row r="126" spans="1:7" s="2769" customFormat="1" ht="14.25" customHeight="1" thickBot="1">
      <c r="A126" s="2949" t="s">
        <v>303</v>
      </c>
      <c r="B126" s="2942" t="s">
        <v>3011</v>
      </c>
      <c r="C126" s="2942">
        <v>12960</v>
      </c>
      <c r="D126" s="2942">
        <v>12890</v>
      </c>
      <c r="E126" s="2942">
        <v>15530</v>
      </c>
      <c r="F126" s="2942">
        <v>2910</v>
      </c>
      <c r="G126" s="2950">
        <v>8520</v>
      </c>
    </row>
    <row r="127" spans="1:7" s="2769" customFormat="1" ht="14.25" customHeight="1">
      <c r="A127" s="2940" t="s">
        <v>29</v>
      </c>
      <c r="B127" s="2931" t="s">
        <v>3066</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3067</v>
      </c>
      <c r="C148" s="2935">
        <v>10370</v>
      </c>
      <c r="D148" s="2935">
        <v>10310</v>
      </c>
      <c r="E148" s="2935">
        <v>12970</v>
      </c>
      <c r="F148" s="2935"/>
      <c r="G148" s="2935">
        <v>6630</v>
      </c>
    </row>
    <row r="149" spans="1:7" s="2769" customFormat="1" ht="14.25" customHeight="1">
      <c r="A149" s="2935" t="s">
        <v>29</v>
      </c>
      <c r="B149" s="2935" t="s">
        <v>3068</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2942</v>
      </c>
      <c r="C153" s="2935">
        <v>10880</v>
      </c>
      <c r="D153" s="2935">
        <v>10820</v>
      </c>
      <c r="E153" s="2935">
        <v>13660</v>
      </c>
      <c r="F153" s="2935">
        <v>2260</v>
      </c>
      <c r="G153" s="2935">
        <v>6970</v>
      </c>
    </row>
    <row r="154" spans="1:7" s="2769" customFormat="1" ht="14.25" customHeight="1">
      <c r="A154" s="2935" t="s">
        <v>29</v>
      </c>
      <c r="B154" s="2935" t="s">
        <v>3069</v>
      </c>
      <c r="C154" s="2935">
        <v>11220</v>
      </c>
      <c r="D154" s="2935">
        <v>11160</v>
      </c>
      <c r="E154" s="2935">
        <v>14130</v>
      </c>
      <c r="F154" s="2935">
        <v>2230</v>
      </c>
      <c r="G154" s="2935">
        <v>7180</v>
      </c>
    </row>
    <row r="155" spans="1:7" s="2769" customFormat="1" ht="14.25" customHeight="1">
      <c r="A155" s="2935" t="s">
        <v>29</v>
      </c>
      <c r="B155" s="2935" t="s">
        <v>2955</v>
      </c>
      <c r="C155" s="2935">
        <v>10430</v>
      </c>
      <c r="D155" s="2935">
        <v>10380</v>
      </c>
      <c r="E155" s="2935">
        <v>13140</v>
      </c>
      <c r="F155" s="2935">
        <v>2080</v>
      </c>
      <c r="G155" s="2935">
        <v>6650</v>
      </c>
    </row>
    <row r="156" spans="1:7" s="2769" customFormat="1" ht="14.25" customHeight="1">
      <c r="A156" s="2935" t="s">
        <v>29</v>
      </c>
      <c r="B156" s="2935" t="s">
        <v>3070</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3071</v>
      </c>
      <c r="C160" s="2935">
        <v>11180</v>
      </c>
      <c r="D160" s="2935">
        <v>11140</v>
      </c>
      <c r="E160" s="2935">
        <v>14050</v>
      </c>
      <c r="F160" s="2935">
        <v>2270</v>
      </c>
      <c r="G160" s="2935">
        <v>7170</v>
      </c>
    </row>
    <row r="161" spans="1:7" s="2769" customFormat="1" ht="14.25" customHeight="1">
      <c r="A161" s="2935" t="s">
        <v>29</v>
      </c>
      <c r="B161" s="2935" t="s">
        <v>2987</v>
      </c>
      <c r="C161" s="2935">
        <v>11160</v>
      </c>
      <c r="D161" s="2935">
        <v>11120</v>
      </c>
      <c r="E161" s="2935">
        <v>14020</v>
      </c>
      <c r="F161" s="2935">
        <v>2150</v>
      </c>
      <c r="G161" s="2935">
        <v>7160</v>
      </c>
    </row>
    <row r="162" spans="1:7" s="2769" customFormat="1" ht="14.25" customHeight="1">
      <c r="A162" s="2935" t="s">
        <v>29</v>
      </c>
      <c r="B162" s="2935" t="s">
        <v>2992</v>
      </c>
      <c r="C162" s="2935">
        <v>9620</v>
      </c>
      <c r="D162" s="2935">
        <v>9570</v>
      </c>
      <c r="E162" s="2935">
        <v>12320</v>
      </c>
      <c r="F162" s="2935">
        <v>2010</v>
      </c>
      <c r="G162" s="2935">
        <v>6160</v>
      </c>
    </row>
    <row r="163" spans="1:7" s="2769" customFormat="1" ht="14.25" customHeight="1">
      <c r="A163" s="2935" t="s">
        <v>29</v>
      </c>
      <c r="B163" s="2935" t="s">
        <v>2997</v>
      </c>
      <c r="C163" s="2935">
        <v>9320</v>
      </c>
      <c r="D163" s="2935">
        <v>9270</v>
      </c>
      <c r="E163" s="2935">
        <v>11790</v>
      </c>
      <c r="F163" s="2935">
        <v>1920</v>
      </c>
      <c r="G163" s="2935">
        <v>5960</v>
      </c>
    </row>
    <row r="164" spans="1:7" s="2769" customFormat="1" ht="14.25" customHeight="1">
      <c r="A164" s="2935" t="s">
        <v>29</v>
      </c>
      <c r="B164" s="2935" t="s">
        <v>3002</v>
      </c>
      <c r="C164" s="2935"/>
      <c r="D164" s="2935"/>
      <c r="E164" s="2935"/>
      <c r="F164" s="2935">
        <v>1980</v>
      </c>
      <c r="G164" s="2935"/>
    </row>
    <row r="165" spans="1:7" s="2769" customFormat="1" ht="14.25" customHeight="1">
      <c r="A165" s="2935" t="s">
        <v>29</v>
      </c>
      <c r="B165" s="2935" t="s">
        <v>3072</v>
      </c>
      <c r="C165" s="2935">
        <v>11060</v>
      </c>
      <c r="D165" s="2935">
        <v>11030</v>
      </c>
      <c r="E165" s="2935">
        <v>13850</v>
      </c>
      <c r="F165" s="2935">
        <v>2170</v>
      </c>
      <c r="G165" s="2935">
        <v>7090</v>
      </c>
    </row>
    <row r="166" spans="1:7" s="2769" customFormat="1" ht="14.25" customHeight="1">
      <c r="A166" s="2935" t="s">
        <v>29</v>
      </c>
      <c r="B166" s="2935" t="s">
        <v>3012</v>
      </c>
      <c r="C166" s="2935">
        <v>11050</v>
      </c>
      <c r="D166" s="2935">
        <v>11010</v>
      </c>
      <c r="E166" s="2935">
        <v>13920</v>
      </c>
      <c r="F166" s="2935">
        <v>2140</v>
      </c>
      <c r="G166" s="2935">
        <v>7080</v>
      </c>
    </row>
    <row r="167" spans="1:7" s="2769" customFormat="1" ht="14.25" customHeight="1">
      <c r="A167" s="2935" t="s">
        <v>29</v>
      </c>
      <c r="B167" s="2935" t="s">
        <v>3016</v>
      </c>
      <c r="C167" s="2935">
        <v>10930</v>
      </c>
      <c r="D167" s="2935">
        <v>10890</v>
      </c>
      <c r="E167" s="2935">
        <v>13790</v>
      </c>
      <c r="F167" s="2935">
        <v>2010</v>
      </c>
      <c r="G167" s="2935">
        <v>7000</v>
      </c>
    </row>
    <row r="168" spans="1:7" s="2769" customFormat="1" ht="14.25" customHeight="1">
      <c r="A168" s="2935" t="s">
        <v>29</v>
      </c>
      <c r="B168" s="2935" t="s">
        <v>3021</v>
      </c>
      <c r="C168" s="2935">
        <v>9420</v>
      </c>
      <c r="D168" s="2935">
        <v>9380</v>
      </c>
      <c r="E168" s="2935">
        <v>11970</v>
      </c>
      <c r="F168" s="2935"/>
      <c r="G168" s="2935">
        <v>6040</v>
      </c>
    </row>
    <row r="169" spans="1:7" s="2769" customFormat="1" ht="14.25" customHeight="1">
      <c r="A169" s="2935" t="s">
        <v>29</v>
      </c>
      <c r="B169" s="2935" t="s">
        <v>3073</v>
      </c>
      <c r="C169" s="2935"/>
      <c r="D169" s="2935"/>
      <c r="E169" s="2935"/>
      <c r="F169" s="2935">
        <v>2880</v>
      </c>
      <c r="G169" s="2935"/>
    </row>
    <row r="170" spans="1:7" s="2769" customFormat="1" ht="14.25" customHeight="1">
      <c r="A170" s="2935" t="s">
        <v>29</v>
      </c>
      <c r="B170" s="2935" t="s">
        <v>3029</v>
      </c>
      <c r="C170" s="2935"/>
      <c r="D170" s="2935"/>
      <c r="E170" s="2935"/>
      <c r="F170" s="2935">
        <v>2880</v>
      </c>
      <c r="G170" s="2935"/>
    </row>
    <row r="171" spans="1:7" s="2769" customFormat="1" ht="14.25" customHeight="1">
      <c r="A171" s="2935" t="s">
        <v>29</v>
      </c>
      <c r="B171" s="2935" t="s">
        <v>3032</v>
      </c>
      <c r="C171" s="2935"/>
      <c r="D171" s="2935"/>
      <c r="E171" s="2935"/>
      <c r="F171" s="2935">
        <v>2880</v>
      </c>
      <c r="G171" s="2935"/>
    </row>
    <row r="172" spans="1:7" s="2769" customFormat="1" ht="14.25" customHeight="1">
      <c r="A172" s="2935" t="s">
        <v>29</v>
      </c>
      <c r="B172" s="2935" t="s">
        <v>3034</v>
      </c>
      <c r="C172" s="2935"/>
      <c r="D172" s="2935"/>
      <c r="E172" s="2935"/>
      <c r="F172" s="2935">
        <v>2880</v>
      </c>
      <c r="G172" s="2935"/>
    </row>
    <row r="173" spans="1:7" s="2769" customFormat="1" ht="14.25" customHeight="1">
      <c r="A173" s="2935" t="s">
        <v>29</v>
      </c>
      <c r="B173" s="2935" t="s">
        <v>3036</v>
      </c>
      <c r="C173" s="2935"/>
      <c r="D173" s="2935"/>
      <c r="E173" s="2935"/>
      <c r="F173" s="2935">
        <v>2150</v>
      </c>
      <c r="G173" s="2935"/>
    </row>
    <row r="174" spans="1:7" s="2769" customFormat="1" ht="14.25" customHeight="1">
      <c r="A174" s="2935" t="s">
        <v>29</v>
      </c>
      <c r="B174" s="2935" t="s">
        <v>3038</v>
      </c>
      <c r="C174" s="2935"/>
      <c r="D174" s="2935"/>
      <c r="E174" s="2935"/>
      <c r="F174" s="2935">
        <v>2030</v>
      </c>
      <c r="G174" s="2935"/>
    </row>
    <row r="175" spans="1:7" s="2769" customFormat="1" ht="14.25" customHeight="1">
      <c r="A175" s="2935" t="s">
        <v>29</v>
      </c>
      <c r="B175" s="2935" t="s">
        <v>3040</v>
      </c>
      <c r="C175" s="2935"/>
      <c r="D175" s="2935"/>
      <c r="E175" s="2935"/>
      <c r="F175" s="2935">
        <v>2780</v>
      </c>
      <c r="G175" s="2935"/>
    </row>
    <row r="176" spans="1:7" s="2769" customFormat="1" ht="14.25" customHeight="1">
      <c r="A176" s="2935" t="s">
        <v>29</v>
      </c>
      <c r="B176" s="2935" t="s">
        <v>3042</v>
      </c>
      <c r="C176" s="2935"/>
      <c r="D176" s="2935"/>
      <c r="E176" s="2935"/>
      <c r="F176" s="2935">
        <v>2780</v>
      </c>
      <c r="G176" s="2935"/>
    </row>
    <row r="177" spans="1:7" s="2769" customFormat="1" ht="14.25" customHeight="1">
      <c r="A177" s="2935" t="s">
        <v>29</v>
      </c>
      <c r="B177" s="2935" t="s">
        <v>3074</v>
      </c>
      <c r="C177" s="2935"/>
      <c r="D177" s="2935"/>
      <c r="E177" s="2935"/>
      <c r="F177" s="2935">
        <v>2780</v>
      </c>
      <c r="G177" s="2935"/>
    </row>
    <row r="178" spans="1:7" s="2769" customFormat="1" ht="14.25" customHeight="1">
      <c r="A178" s="2935" t="s">
        <v>29</v>
      </c>
      <c r="B178" s="2935" t="s">
        <v>3075</v>
      </c>
      <c r="C178" s="2935"/>
      <c r="D178" s="2935"/>
      <c r="E178" s="2935"/>
      <c r="F178" s="2935">
        <v>2060</v>
      </c>
      <c r="G178" s="2935"/>
    </row>
    <row r="179" spans="1:7" s="2769" customFormat="1" ht="14.25" customHeight="1">
      <c r="A179" s="2935" t="s">
        <v>29</v>
      </c>
      <c r="B179" s="2935" t="s">
        <v>3076</v>
      </c>
      <c r="C179" s="2935"/>
      <c r="D179" s="2935"/>
      <c r="E179" s="2935"/>
      <c r="F179" s="2935">
        <v>2120</v>
      </c>
      <c r="G179" s="2935"/>
    </row>
    <row r="180" spans="1:7" s="2769" customFormat="1" ht="14.25" customHeight="1">
      <c r="A180" s="2935" t="s">
        <v>29</v>
      </c>
      <c r="B180" s="2935" t="s">
        <v>3048</v>
      </c>
      <c r="C180" s="2935"/>
      <c r="D180" s="2935"/>
      <c r="E180" s="2935"/>
      <c r="F180" s="2935">
        <v>2340</v>
      </c>
      <c r="G180" s="2935"/>
    </row>
    <row r="181" spans="1:7" s="2769" customFormat="1" ht="14.25" customHeight="1">
      <c r="A181" s="2935" t="s">
        <v>29</v>
      </c>
      <c r="B181" s="2935" t="s">
        <v>3049</v>
      </c>
      <c r="C181" s="2935"/>
      <c r="D181" s="2935"/>
      <c r="E181" s="2935"/>
      <c r="F181" s="2935">
        <v>2340</v>
      </c>
      <c r="G181" s="2935"/>
    </row>
    <row r="182" spans="1:7" s="2769" customFormat="1" ht="14.25" customHeight="1">
      <c r="A182" s="2935" t="s">
        <v>29</v>
      </c>
      <c r="B182" s="2935" t="s">
        <v>3050</v>
      </c>
      <c r="C182" s="2935"/>
      <c r="D182" s="2935"/>
      <c r="E182" s="2935"/>
      <c r="F182" s="2935">
        <v>2340</v>
      </c>
      <c r="G182" s="2935"/>
    </row>
    <row r="183" spans="1:7" s="2769" customFormat="1" ht="14.25" customHeight="1">
      <c r="A183" s="2935" t="s">
        <v>29</v>
      </c>
      <c r="B183" s="2935" t="s">
        <v>3051</v>
      </c>
      <c r="C183" s="2935"/>
      <c r="D183" s="2935"/>
      <c r="E183" s="2935"/>
      <c r="F183" s="2935">
        <v>2340</v>
      </c>
      <c r="G183" s="2935"/>
    </row>
    <row r="184" spans="1:7" s="2769" customFormat="1" ht="14.25" customHeight="1">
      <c r="A184" s="2935" t="s">
        <v>29</v>
      </c>
      <c r="B184" s="2935" t="s">
        <v>3052</v>
      </c>
      <c r="C184" s="2935"/>
      <c r="D184" s="2935"/>
      <c r="E184" s="2935"/>
      <c r="F184" s="2935">
        <v>2340</v>
      </c>
      <c r="G184" s="2935"/>
    </row>
    <row r="185" spans="1:7" s="2769" customFormat="1" ht="14.25" customHeight="1">
      <c r="A185" s="2935" t="s">
        <v>29</v>
      </c>
      <c r="B185" s="2935" t="s">
        <v>3053</v>
      </c>
      <c r="C185" s="2935"/>
      <c r="D185" s="2935"/>
      <c r="E185" s="2935"/>
      <c r="F185" s="2935">
        <v>2530</v>
      </c>
      <c r="G185" s="2935"/>
    </row>
    <row r="186" spans="1:7" s="2769" customFormat="1" ht="14.25" customHeight="1">
      <c r="A186" s="2935" t="s">
        <v>29</v>
      </c>
      <c r="B186" s="2935" t="s">
        <v>3054</v>
      </c>
      <c r="C186" s="2935"/>
      <c r="D186" s="2935"/>
      <c r="E186" s="2935"/>
      <c r="F186" s="2935">
        <v>2550</v>
      </c>
      <c r="G186" s="2935"/>
    </row>
    <row r="187" spans="1:7" s="2769" customFormat="1" ht="14.25" customHeight="1">
      <c r="A187" s="2935" t="s">
        <v>29</v>
      </c>
      <c r="B187" s="2935" t="s">
        <v>3055</v>
      </c>
      <c r="C187" s="2935"/>
      <c r="D187" s="2935"/>
      <c r="E187" s="2935"/>
      <c r="F187" s="2935">
        <v>2070</v>
      </c>
      <c r="G187" s="2935"/>
    </row>
    <row r="188" spans="1:7" s="2769" customFormat="1" ht="14.25" customHeight="1">
      <c r="A188" s="2935" t="s">
        <v>29</v>
      </c>
      <c r="B188" s="2935" t="s">
        <v>3056</v>
      </c>
      <c r="C188" s="2935"/>
      <c r="D188" s="2935"/>
      <c r="E188" s="2935"/>
      <c r="F188" s="2935">
        <v>2340</v>
      </c>
      <c r="G188" s="2935"/>
    </row>
    <row r="189" spans="1:7" s="2769" customFormat="1" ht="14.25" customHeight="1" thickBot="1">
      <c r="A189" s="2943" t="s">
        <v>29</v>
      </c>
      <c r="B189" s="2946" t="s">
        <v>3057</v>
      </c>
      <c r="C189" s="2946"/>
      <c r="D189" s="2946"/>
      <c r="E189" s="2946"/>
      <c r="F189" s="2946">
        <v>2050</v>
      </c>
      <c r="G189" s="2946"/>
    </row>
    <row r="190" spans="1:7" s="2769" customFormat="1" ht="14.25" customHeight="1">
      <c r="A190" s="2940" t="s">
        <v>304</v>
      </c>
      <c r="B190" s="2931" t="s">
        <v>3077</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3078</v>
      </c>
      <c r="C199" s="2935">
        <v>8690</v>
      </c>
      <c r="D199" s="2935">
        <v>8630</v>
      </c>
      <c r="E199" s="2935">
        <v>11350</v>
      </c>
      <c r="F199" s="2935">
        <v>1600</v>
      </c>
      <c r="G199" s="2948">
        <v>5450</v>
      </c>
    </row>
    <row r="200" spans="1:7" s="2769" customFormat="1" ht="14.25" customHeight="1">
      <c r="A200" s="2935" t="s">
        <v>304</v>
      </c>
      <c r="B200" s="2935" t="s">
        <v>2889</v>
      </c>
      <c r="C200" s="2935"/>
      <c r="D200" s="2935"/>
      <c r="E200" s="2935"/>
      <c r="F200" s="2935">
        <v>1510</v>
      </c>
      <c r="G200" s="2948"/>
    </row>
    <row r="201" spans="1:7" s="2769" customFormat="1" ht="14.25" customHeight="1">
      <c r="A201" s="2935" t="s">
        <v>304</v>
      </c>
      <c r="B201" s="2935" t="s">
        <v>3079</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3080</v>
      </c>
      <c r="C203" s="2935">
        <v>8130</v>
      </c>
      <c r="D203" s="2935">
        <v>8070</v>
      </c>
      <c r="E203" s="2935">
        <v>10820</v>
      </c>
      <c r="F203" s="2935">
        <v>1690</v>
      </c>
      <c r="G203" s="2948">
        <v>5100</v>
      </c>
    </row>
    <row r="204" spans="1:7" s="2769" customFormat="1" ht="14.25" customHeight="1">
      <c r="A204" s="2935" t="s">
        <v>304</v>
      </c>
      <c r="B204" s="2935" t="s">
        <v>2900</v>
      </c>
      <c r="C204" s="2935">
        <v>8350</v>
      </c>
      <c r="D204" s="2935">
        <v>8290</v>
      </c>
      <c r="E204" s="2935">
        <v>11080</v>
      </c>
      <c r="F204" s="2935">
        <v>1450</v>
      </c>
      <c r="G204" s="2948">
        <v>5240</v>
      </c>
    </row>
    <row r="205" spans="1:7" s="2769" customFormat="1" ht="14.25" customHeight="1">
      <c r="A205" s="2935" t="s">
        <v>304</v>
      </c>
      <c r="B205" s="2935" t="s">
        <v>2902</v>
      </c>
      <c r="C205" s="2935">
        <v>7190</v>
      </c>
      <c r="D205" s="2935">
        <v>7130</v>
      </c>
      <c r="E205" s="2935">
        <v>9490</v>
      </c>
      <c r="F205" s="2935">
        <v>1470</v>
      </c>
      <c r="G205" s="2948">
        <v>4510</v>
      </c>
    </row>
    <row r="206" spans="1:7" s="2769" customFormat="1" ht="14.25" customHeight="1">
      <c r="A206" s="2935" t="s">
        <v>304</v>
      </c>
      <c r="B206" s="2935" t="s">
        <v>2905</v>
      </c>
      <c r="C206" s="2935">
        <v>7000</v>
      </c>
      <c r="D206" s="2935">
        <v>6950</v>
      </c>
      <c r="E206" s="2935">
        <v>9170</v>
      </c>
      <c r="F206" s="2935">
        <v>1400</v>
      </c>
      <c r="G206" s="2948">
        <v>4380</v>
      </c>
    </row>
    <row r="207" spans="1:7" s="2769" customFormat="1" ht="14.25" customHeight="1">
      <c r="A207" s="2935" t="s">
        <v>304</v>
      </c>
      <c r="B207" s="2935" t="s">
        <v>2907</v>
      </c>
      <c r="C207" s="2935">
        <v>6950</v>
      </c>
      <c r="D207" s="2935">
        <v>6900</v>
      </c>
      <c r="E207" s="2935">
        <v>9110</v>
      </c>
      <c r="F207" s="2935">
        <v>1790</v>
      </c>
      <c r="G207" s="2948">
        <v>4360</v>
      </c>
    </row>
    <row r="208" spans="1:7" s="2769" customFormat="1" ht="14.25" customHeight="1">
      <c r="A208" s="2935" t="s">
        <v>304</v>
      </c>
      <c r="B208" s="2935" t="s">
        <v>3081</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2917</v>
      </c>
      <c r="C210" s="2935">
        <v>8710</v>
      </c>
      <c r="D210" s="2935">
        <v>8660</v>
      </c>
      <c r="E210" s="2935">
        <v>11440</v>
      </c>
      <c r="F210" s="2935">
        <v>1740</v>
      </c>
      <c r="G210" s="2948">
        <v>5470</v>
      </c>
    </row>
    <row r="211" spans="1:7" s="2769" customFormat="1" ht="14.25" customHeight="1">
      <c r="A211" s="2935" t="s">
        <v>304</v>
      </c>
      <c r="B211" s="2935" t="s">
        <v>3082</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3083</v>
      </c>
      <c r="C214" s="2935">
        <v>8090</v>
      </c>
      <c r="D214" s="2935">
        <v>8030</v>
      </c>
      <c r="E214" s="2935">
        <v>10780</v>
      </c>
      <c r="F214" s="2935">
        <v>1570</v>
      </c>
      <c r="G214" s="2948">
        <v>5070</v>
      </c>
    </row>
    <row r="215" spans="1:7" s="2769" customFormat="1" ht="14.25" customHeight="1">
      <c r="A215" s="2935" t="s">
        <v>304</v>
      </c>
      <c r="B215" s="2935" t="s">
        <v>3084</v>
      </c>
      <c r="C215" s="2935">
        <v>7950</v>
      </c>
      <c r="D215" s="2935">
        <v>7900</v>
      </c>
      <c r="E215" s="2935">
        <v>10560</v>
      </c>
      <c r="F215" s="2935">
        <v>1630</v>
      </c>
      <c r="G215" s="2948">
        <v>4990</v>
      </c>
    </row>
    <row r="216" spans="1:7" s="2769" customFormat="1" ht="14.25" customHeight="1">
      <c r="A216" s="2935" t="s">
        <v>304</v>
      </c>
      <c r="B216" s="2935" t="s">
        <v>3085</v>
      </c>
      <c r="C216" s="2935">
        <v>8490</v>
      </c>
      <c r="D216" s="2935">
        <v>8440</v>
      </c>
      <c r="E216" s="2935">
        <v>11260</v>
      </c>
      <c r="F216" s="2935">
        <v>1690</v>
      </c>
      <c r="G216" s="2948">
        <v>5330</v>
      </c>
    </row>
    <row r="217" spans="1:7" s="2769" customFormat="1" ht="14.25" customHeight="1">
      <c r="A217" s="2935" t="s">
        <v>304</v>
      </c>
      <c r="B217" s="2935" t="s">
        <v>2950</v>
      </c>
      <c r="C217" s="2935">
        <v>8200</v>
      </c>
      <c r="D217" s="2935">
        <v>8150</v>
      </c>
      <c r="E217" s="2935">
        <v>10910</v>
      </c>
      <c r="F217" s="2935">
        <v>1670</v>
      </c>
      <c r="G217" s="2948">
        <v>5150</v>
      </c>
    </row>
    <row r="218" spans="1:7" s="2769" customFormat="1" ht="14.25" customHeight="1">
      <c r="A218" s="2935" t="s">
        <v>304</v>
      </c>
      <c r="B218" s="2935" t="s">
        <v>3086</v>
      </c>
      <c r="C218" s="2935"/>
      <c r="D218" s="2935"/>
      <c r="E218" s="2935"/>
      <c r="F218" s="2935">
        <v>2040</v>
      </c>
      <c r="G218" s="2948"/>
    </row>
    <row r="219" spans="1:7" s="2769" customFormat="1" ht="14.25" customHeight="1">
      <c r="A219" s="2935" t="s">
        <v>304</v>
      </c>
      <c r="B219" s="2935" t="s">
        <v>3087</v>
      </c>
      <c r="C219" s="2935"/>
      <c r="D219" s="2935"/>
      <c r="E219" s="2935"/>
      <c r="F219" s="2935">
        <v>2040</v>
      </c>
      <c r="G219" s="2948"/>
    </row>
    <row r="220" spans="1:7" s="2769" customFormat="1" ht="14.25" customHeight="1">
      <c r="A220" s="2935" t="s">
        <v>304</v>
      </c>
      <c r="B220" s="2935" t="s">
        <v>3088</v>
      </c>
      <c r="C220" s="2935"/>
      <c r="D220" s="2935"/>
      <c r="E220" s="2935"/>
      <c r="F220" s="2935">
        <v>2040</v>
      </c>
      <c r="G220" s="2948"/>
    </row>
    <row r="221" spans="1:7" s="2769" customFormat="1" ht="14.25" customHeight="1">
      <c r="A221" s="2935" t="s">
        <v>304</v>
      </c>
      <c r="B221" s="2935" t="s">
        <v>3089</v>
      </c>
      <c r="C221" s="2935"/>
      <c r="D221" s="2935"/>
      <c r="E221" s="2935"/>
      <c r="F221" s="2935">
        <v>2040</v>
      </c>
      <c r="G221" s="2948"/>
    </row>
    <row r="222" spans="1:7" s="2769" customFormat="1" ht="14.25" customHeight="1">
      <c r="A222" s="2935" t="s">
        <v>304</v>
      </c>
      <c r="B222" s="2935" t="s">
        <v>3090</v>
      </c>
      <c r="C222" s="2935"/>
      <c r="D222" s="2935"/>
      <c r="E222" s="2935"/>
      <c r="F222" s="2935">
        <v>2040</v>
      </c>
      <c r="G222" s="2948"/>
    </row>
    <row r="223" spans="1:7" s="2769" customFormat="1" ht="14.25" customHeight="1">
      <c r="A223" s="2935" t="s">
        <v>304</v>
      </c>
      <c r="B223" s="2935" t="s">
        <v>3091</v>
      </c>
      <c r="C223" s="2935"/>
      <c r="D223" s="2935"/>
      <c r="E223" s="2935"/>
      <c r="F223" s="2935">
        <v>1930</v>
      </c>
      <c r="G223" s="2948"/>
    </row>
    <row r="224" spans="1:7" s="2769" customFormat="1" ht="14.25" customHeight="1">
      <c r="A224" s="2935" t="s">
        <v>304</v>
      </c>
      <c r="B224" s="2935" t="s">
        <v>3092</v>
      </c>
      <c r="C224" s="2935"/>
      <c r="D224" s="2935"/>
      <c r="E224" s="2935"/>
      <c r="F224" s="2935">
        <v>1930</v>
      </c>
      <c r="G224" s="2948"/>
    </row>
    <row r="225" spans="1:7" s="2769" customFormat="1" ht="14.25" customHeight="1">
      <c r="A225" s="2935" t="s">
        <v>304</v>
      </c>
      <c r="B225" s="2935" t="s">
        <v>3093</v>
      </c>
      <c r="C225" s="2935"/>
      <c r="D225" s="2935"/>
      <c r="E225" s="2935"/>
      <c r="F225" s="2935">
        <v>1930</v>
      </c>
      <c r="G225" s="2948"/>
    </row>
    <row r="226" spans="1:7" s="2769" customFormat="1" ht="14.25" customHeight="1">
      <c r="A226" s="2935" t="s">
        <v>304</v>
      </c>
      <c r="B226" s="2935" t="s">
        <v>3094</v>
      </c>
      <c r="C226" s="2935"/>
      <c r="D226" s="2935"/>
      <c r="E226" s="2935"/>
      <c r="F226" s="2935">
        <v>1700</v>
      </c>
      <c r="G226" s="2948"/>
    </row>
    <row r="227" spans="1:7" s="2769" customFormat="1" ht="14.25" customHeight="1">
      <c r="A227" s="2935" t="s">
        <v>304</v>
      </c>
      <c r="B227" s="2935" t="s">
        <v>3095</v>
      </c>
      <c r="C227" s="2935"/>
      <c r="D227" s="2935"/>
      <c r="E227" s="2935"/>
      <c r="F227" s="2935">
        <v>1520</v>
      </c>
      <c r="G227" s="2948"/>
    </row>
    <row r="228" spans="1:7" s="2769" customFormat="1" ht="14.25" customHeight="1">
      <c r="A228" s="2935" t="s">
        <v>304</v>
      </c>
      <c r="B228" s="2935" t="s">
        <v>3096</v>
      </c>
      <c r="C228" s="2935"/>
      <c r="D228" s="2935"/>
      <c r="E228" s="2935"/>
      <c r="F228" s="2935">
        <v>1520</v>
      </c>
      <c r="G228" s="2948"/>
    </row>
    <row r="229" spans="1:7" s="2769" customFormat="1" ht="14.25" customHeight="1">
      <c r="A229" s="2935" t="s">
        <v>304</v>
      </c>
      <c r="B229" s="2935" t="s">
        <v>3013</v>
      </c>
      <c r="C229" s="2935"/>
      <c r="D229" s="2935"/>
      <c r="E229" s="2935"/>
      <c r="F229" s="2935">
        <v>1520</v>
      </c>
      <c r="G229" s="2948"/>
    </row>
    <row r="230" spans="1:7" s="2769" customFormat="1" ht="14.25" customHeight="1">
      <c r="A230" s="2935" t="s">
        <v>304</v>
      </c>
      <c r="B230" s="2935" t="s">
        <v>3097</v>
      </c>
      <c r="C230" s="2935"/>
      <c r="D230" s="2935"/>
      <c r="E230" s="2935"/>
      <c r="F230" s="2935">
        <v>1820</v>
      </c>
      <c r="G230" s="2948"/>
    </row>
    <row r="231" spans="1:7" s="2769" customFormat="1" ht="14.25" customHeight="1">
      <c r="A231" s="2935" t="s">
        <v>304</v>
      </c>
      <c r="B231" s="2935" t="s">
        <v>3098</v>
      </c>
      <c r="C231" s="2935"/>
      <c r="D231" s="2935"/>
      <c r="E231" s="2935"/>
      <c r="F231" s="2935">
        <v>1760</v>
      </c>
      <c r="G231" s="2948"/>
    </row>
    <row r="232" spans="1:7" s="2769" customFormat="1" ht="14.25" customHeight="1">
      <c r="A232" s="2935" t="s">
        <v>304</v>
      </c>
      <c r="B232" s="2935" t="s">
        <v>3099</v>
      </c>
      <c r="C232" s="2935"/>
      <c r="D232" s="2935"/>
      <c r="E232" s="2935"/>
      <c r="F232" s="2935">
        <v>1840</v>
      </c>
      <c r="G232" s="2948"/>
    </row>
    <row r="233" spans="1:7" s="2769" customFormat="1" ht="14.25" customHeight="1" thickBot="1">
      <c r="A233" s="2949" t="s">
        <v>304</v>
      </c>
      <c r="B233" s="2942" t="s">
        <v>3030</v>
      </c>
      <c r="C233" s="2942"/>
      <c r="D233" s="2942"/>
      <c r="E233" s="2942"/>
      <c r="F233" s="2942">
        <v>1770</v>
      </c>
      <c r="G233" s="2950"/>
    </row>
    <row r="234" spans="1:7" s="2769" customFormat="1" ht="14.25" customHeight="1">
      <c r="A234" s="2940" t="s">
        <v>305</v>
      </c>
      <c r="B234" s="2931" t="s">
        <v>3100</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2871</v>
      </c>
      <c r="C238" s="2935">
        <v>6920</v>
      </c>
      <c r="D238" s="2935">
        <v>6890</v>
      </c>
      <c r="E238" s="2935">
        <v>8640</v>
      </c>
      <c r="F238" s="2935">
        <v>1310</v>
      </c>
      <c r="G238" s="2935">
        <v>4230</v>
      </c>
    </row>
    <row r="239" spans="1:7" s="2769" customFormat="1" ht="14.25" customHeight="1">
      <c r="A239" s="2935" t="s">
        <v>305</v>
      </c>
      <c r="B239" s="2935" t="s">
        <v>3101</v>
      </c>
      <c r="C239" s="2935">
        <v>6780</v>
      </c>
      <c r="D239" s="2935">
        <v>6750</v>
      </c>
      <c r="E239" s="2935">
        <v>8440</v>
      </c>
      <c r="F239" s="2935">
        <v>1160</v>
      </c>
      <c r="G239" s="2935">
        <v>4140</v>
      </c>
    </row>
    <row r="240" spans="1:7" s="2769" customFormat="1" ht="14.25" customHeight="1">
      <c r="A240" s="2935" t="s">
        <v>305</v>
      </c>
      <c r="B240" s="2935" t="s">
        <v>3102</v>
      </c>
      <c r="C240" s="2935">
        <v>5420</v>
      </c>
      <c r="D240" s="2935">
        <v>5380</v>
      </c>
      <c r="E240" s="2935">
        <v>6640</v>
      </c>
      <c r="F240" s="2935">
        <v>1020</v>
      </c>
      <c r="G240" s="2935">
        <v>3300</v>
      </c>
    </row>
    <row r="241" spans="1:7" s="2769" customFormat="1" ht="14.25" customHeight="1">
      <c r="A241" s="2935" t="s">
        <v>305</v>
      </c>
      <c r="B241" s="2935" t="s">
        <v>3103</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3104</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3105</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3106</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3107</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3108</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2933</v>
      </c>
      <c r="C258" s="2935">
        <v>6190</v>
      </c>
      <c r="D258" s="2935">
        <v>6160</v>
      </c>
      <c r="E258" s="2935">
        <v>7680</v>
      </c>
      <c r="F258" s="2935">
        <v>1170</v>
      </c>
      <c r="G258" s="2935">
        <v>3780</v>
      </c>
    </row>
    <row r="259" spans="1:7" s="2769" customFormat="1" ht="14.25" customHeight="1">
      <c r="A259" s="2935" t="s">
        <v>305</v>
      </c>
      <c r="B259" s="2935" t="s">
        <v>3109</v>
      </c>
      <c r="C259" s="2935">
        <v>7610</v>
      </c>
      <c r="D259" s="2935">
        <v>7570</v>
      </c>
      <c r="E259" s="2935">
        <v>9350</v>
      </c>
      <c r="F259" s="2935">
        <v>1350</v>
      </c>
      <c r="G259" s="2935">
        <v>4650</v>
      </c>
    </row>
    <row r="260" spans="1:7" s="2769" customFormat="1" ht="14.25" customHeight="1">
      <c r="A260" s="2935" t="s">
        <v>305</v>
      </c>
      <c r="B260" s="2935" t="s">
        <v>3110</v>
      </c>
      <c r="C260" s="2935">
        <v>6920</v>
      </c>
      <c r="D260" s="2935">
        <v>6880</v>
      </c>
      <c r="E260" s="2935">
        <v>8380</v>
      </c>
      <c r="F260" s="2935">
        <v>1160</v>
      </c>
      <c r="G260" s="2935">
        <v>4220</v>
      </c>
    </row>
    <row r="261" spans="1:7" s="2769" customFormat="1" ht="14.25" customHeight="1">
      <c r="A261" s="2935" t="s">
        <v>305</v>
      </c>
      <c r="B261" s="2935" t="s">
        <v>3111</v>
      </c>
      <c r="C261" s="2935">
        <v>6850</v>
      </c>
      <c r="D261" s="2935">
        <v>6810</v>
      </c>
      <c r="E261" s="2935">
        <v>8290</v>
      </c>
      <c r="F261" s="2935">
        <v>1130</v>
      </c>
      <c r="G261" s="2935">
        <v>4180</v>
      </c>
    </row>
    <row r="262" spans="1:7" s="2769" customFormat="1" ht="14.25" customHeight="1">
      <c r="A262" s="2935" t="s">
        <v>305</v>
      </c>
      <c r="B262" s="2935" t="s">
        <v>3112</v>
      </c>
      <c r="C262" s="2935">
        <v>5860</v>
      </c>
      <c r="D262" s="2935">
        <v>5820</v>
      </c>
      <c r="E262" s="2935">
        <v>7640</v>
      </c>
      <c r="F262" s="2935">
        <v>1070</v>
      </c>
      <c r="G262" s="2935">
        <v>3570</v>
      </c>
    </row>
    <row r="263" spans="1:7" s="2769" customFormat="1" ht="14.25" customHeight="1">
      <c r="A263" s="2935" t="s">
        <v>305</v>
      </c>
      <c r="B263" s="2935" t="s">
        <v>3113</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3114</v>
      </c>
      <c r="C265" s="2935"/>
      <c r="D265" s="2935"/>
      <c r="E265" s="2935"/>
      <c r="F265" s="2935">
        <v>1500</v>
      </c>
      <c r="G265" s="2935"/>
    </row>
    <row r="266" spans="1:7" s="2769" customFormat="1" ht="14.25" customHeight="1">
      <c r="A266" s="2935" t="s">
        <v>305</v>
      </c>
      <c r="B266" s="2935" t="s">
        <v>3115</v>
      </c>
      <c r="C266" s="2935"/>
      <c r="D266" s="2935"/>
      <c r="E266" s="2935"/>
      <c r="F266" s="2935">
        <v>1500</v>
      </c>
      <c r="G266" s="2935"/>
    </row>
    <row r="267" spans="1:7" s="2769" customFormat="1" ht="14.25" customHeight="1">
      <c r="A267" s="2935" t="s">
        <v>305</v>
      </c>
      <c r="B267" s="2935" t="s">
        <v>3116</v>
      </c>
      <c r="C267" s="2935"/>
      <c r="D267" s="2935"/>
      <c r="E267" s="2935"/>
      <c r="F267" s="2935">
        <v>1500</v>
      </c>
      <c r="G267" s="2935"/>
    </row>
    <row r="268" spans="1:7" s="2769" customFormat="1" ht="14.25" customHeight="1">
      <c r="A268" s="2935" t="s">
        <v>305</v>
      </c>
      <c r="B268" s="2935" t="s">
        <v>3117</v>
      </c>
      <c r="C268" s="2935"/>
      <c r="D268" s="2935"/>
      <c r="E268" s="2935"/>
      <c r="F268" s="2935">
        <v>1290</v>
      </c>
      <c r="G268" s="2935"/>
    </row>
    <row r="269" spans="1:7" s="2769" customFormat="1" ht="14.25" customHeight="1">
      <c r="A269" s="2935" t="s">
        <v>305</v>
      </c>
      <c r="B269" s="2935" t="s">
        <v>3118</v>
      </c>
      <c r="C269" s="2935"/>
      <c r="D269" s="2935"/>
      <c r="E269" s="2935"/>
      <c r="F269" s="2935">
        <v>1150</v>
      </c>
      <c r="G269" s="2935"/>
    </row>
    <row r="270" spans="1:7" s="2769" customFormat="1" ht="14.25" customHeight="1">
      <c r="A270" s="2935" t="s">
        <v>305</v>
      </c>
      <c r="B270" s="2935" t="s">
        <v>3119</v>
      </c>
      <c r="C270" s="2935"/>
      <c r="D270" s="2935"/>
      <c r="E270" s="2935"/>
      <c r="F270" s="2935">
        <v>1380</v>
      </c>
      <c r="G270" s="2935"/>
    </row>
    <row r="271" spans="1:7" s="2769" customFormat="1" ht="14.25" customHeight="1">
      <c r="A271" s="2935" t="s">
        <v>305</v>
      </c>
      <c r="B271" s="2935" t="s">
        <v>3120</v>
      </c>
      <c r="C271" s="2935"/>
      <c r="D271" s="2935"/>
      <c r="E271" s="2935"/>
      <c r="F271" s="2935">
        <v>1460</v>
      </c>
      <c r="G271" s="2935"/>
    </row>
    <row r="272" spans="1:7" s="2769" customFormat="1" ht="14.25" customHeight="1">
      <c r="A272" s="2935" t="s">
        <v>305</v>
      </c>
      <c r="B272" s="2935" t="s">
        <v>3121</v>
      </c>
      <c r="C272" s="2935"/>
      <c r="D272" s="2935"/>
      <c r="E272" s="2935"/>
      <c r="F272" s="2935">
        <v>1460</v>
      </c>
      <c r="G272" s="2935"/>
    </row>
    <row r="273" spans="1:7" s="2769" customFormat="1" ht="14.25" customHeight="1">
      <c r="A273" s="2935" t="s">
        <v>305</v>
      </c>
      <c r="B273" s="2935" t="s">
        <v>3014</v>
      </c>
      <c r="C273" s="2935"/>
      <c r="D273" s="2935"/>
      <c r="E273" s="2935"/>
      <c r="F273" s="2935">
        <v>1490</v>
      </c>
      <c r="G273" s="2935"/>
    </row>
    <row r="274" spans="1:7" s="2769" customFormat="1" ht="14.25" customHeight="1">
      <c r="A274" s="2935" t="s">
        <v>305</v>
      </c>
      <c r="B274" s="2935" t="s">
        <v>3122</v>
      </c>
      <c r="C274" s="2935"/>
      <c r="D274" s="2935"/>
      <c r="E274" s="2935"/>
      <c r="F274" s="2935">
        <v>1490</v>
      </c>
      <c r="G274" s="2935"/>
    </row>
    <row r="275" spans="1:7" s="2769" customFormat="1" ht="14.25" customHeight="1">
      <c r="A275" s="2935" t="s">
        <v>305</v>
      </c>
      <c r="B275" s="2935" t="s">
        <v>3123</v>
      </c>
      <c r="C275" s="2935"/>
      <c r="D275" s="2935"/>
      <c r="E275" s="2935"/>
      <c r="F275" s="2935">
        <v>1220</v>
      </c>
      <c r="G275" s="2935"/>
    </row>
    <row r="276" spans="1:7" s="2769" customFormat="1" ht="14.25" customHeight="1" thickBot="1">
      <c r="A276" s="2943" t="s">
        <v>305</v>
      </c>
      <c r="B276" s="2945" t="s">
        <v>3124</v>
      </c>
      <c r="C276" s="2946"/>
      <c r="D276" s="2946"/>
      <c r="E276" s="2946"/>
      <c r="F276" s="2946">
        <v>1380</v>
      </c>
      <c r="G276" s="2946"/>
    </row>
    <row r="277" spans="1:7" s="2769" customFormat="1" ht="14.25" customHeight="1">
      <c r="A277" s="2940" t="s">
        <v>306</v>
      </c>
      <c r="B277" s="2931" t="s">
        <v>3125</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3126</v>
      </c>
      <c r="C279" s="2935">
        <v>4760</v>
      </c>
      <c r="D279" s="2935">
        <v>4720</v>
      </c>
      <c r="E279" s="2935">
        <v>5540</v>
      </c>
      <c r="F279" s="2935">
        <v>810</v>
      </c>
      <c r="G279" s="2948">
        <v>2850</v>
      </c>
    </row>
    <row r="280" spans="1:7" s="2769" customFormat="1" ht="14.25" customHeight="1">
      <c r="A280" s="2935" t="s">
        <v>306</v>
      </c>
      <c r="B280" s="2935" t="s">
        <v>3127</v>
      </c>
      <c r="C280" s="2935">
        <v>4010</v>
      </c>
      <c r="D280" s="2935">
        <v>3950</v>
      </c>
      <c r="E280" s="2935">
        <v>4710</v>
      </c>
      <c r="F280" s="2935">
        <v>800</v>
      </c>
      <c r="G280" s="2948">
        <v>2390</v>
      </c>
    </row>
    <row r="281" spans="1:7" s="2769" customFormat="1" ht="14.25" customHeight="1">
      <c r="A281" s="2935" t="s">
        <v>306</v>
      </c>
      <c r="B281" s="2935" t="s">
        <v>3128</v>
      </c>
      <c r="C281" s="2935">
        <v>4480</v>
      </c>
      <c r="D281" s="2935">
        <v>4420</v>
      </c>
      <c r="E281" s="2935">
        <v>5230</v>
      </c>
      <c r="F281" s="2935">
        <v>870</v>
      </c>
      <c r="G281" s="2948">
        <v>2660</v>
      </c>
    </row>
    <row r="282" spans="1:7" s="2769" customFormat="1" ht="14.25" customHeight="1">
      <c r="A282" s="2935" t="s">
        <v>306</v>
      </c>
      <c r="B282" s="2935" t="s">
        <v>3129</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3130</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3131</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2906</v>
      </c>
      <c r="C293" s="2935">
        <v>5320</v>
      </c>
      <c r="D293" s="2935">
        <v>5270</v>
      </c>
      <c r="E293" s="2935">
        <v>6160</v>
      </c>
      <c r="F293" s="2935">
        <v>990</v>
      </c>
      <c r="G293" s="2948">
        <v>3170</v>
      </c>
    </row>
    <row r="294" spans="1:7" s="2769" customFormat="1" ht="14.25" customHeight="1">
      <c r="A294" s="2935" t="s">
        <v>306</v>
      </c>
      <c r="B294" s="2935" t="s">
        <v>3132</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2925</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3133</v>
      </c>
      <c r="C302" s="2935">
        <v>5520</v>
      </c>
      <c r="D302" s="2935">
        <v>5470</v>
      </c>
      <c r="E302" s="2935">
        <v>6410</v>
      </c>
      <c r="F302" s="2935">
        <v>950</v>
      </c>
      <c r="G302" s="2948">
        <v>3300</v>
      </c>
    </row>
    <row r="303" spans="1:7" s="2769" customFormat="1" ht="14.25" customHeight="1">
      <c r="A303" s="2935" t="s">
        <v>306</v>
      </c>
      <c r="B303" s="2935" t="s">
        <v>2945</v>
      </c>
      <c r="C303" s="2935">
        <v>5630</v>
      </c>
      <c r="D303" s="2935">
        <v>5590</v>
      </c>
      <c r="E303" s="2935">
        <v>6550</v>
      </c>
      <c r="F303" s="2935">
        <v>1010</v>
      </c>
      <c r="G303" s="2948">
        <v>3370</v>
      </c>
    </row>
    <row r="304" spans="1:7" s="2769" customFormat="1" ht="14.25" customHeight="1">
      <c r="A304" s="2935" t="s">
        <v>306</v>
      </c>
      <c r="B304" s="2935" t="s">
        <v>2952</v>
      </c>
      <c r="C304" s="2935">
        <v>5680</v>
      </c>
      <c r="D304" s="2935">
        <v>5620</v>
      </c>
      <c r="E304" s="2935">
        <v>6620</v>
      </c>
      <c r="F304" s="2935">
        <v>1050</v>
      </c>
      <c r="G304" s="2948">
        <v>3390</v>
      </c>
    </row>
    <row r="305" spans="1:7" s="2769" customFormat="1" ht="14.25" customHeight="1">
      <c r="A305" s="2935" t="s">
        <v>306</v>
      </c>
      <c r="B305" s="2935" t="s">
        <v>2958</v>
      </c>
      <c r="C305" s="2935">
        <v>5590</v>
      </c>
      <c r="D305" s="2935">
        <v>5530</v>
      </c>
      <c r="E305" s="2935">
        <v>6460</v>
      </c>
      <c r="F305" s="2935">
        <v>900</v>
      </c>
      <c r="G305" s="2948">
        <v>3340</v>
      </c>
    </row>
    <row r="306" spans="1:7" s="2769" customFormat="1" ht="14.25" customHeight="1">
      <c r="A306" s="2935" t="s">
        <v>306</v>
      </c>
      <c r="B306" s="2935" t="s">
        <v>3134</v>
      </c>
      <c r="C306" s="2935">
        <v>5560</v>
      </c>
      <c r="D306" s="2935">
        <v>5510</v>
      </c>
      <c r="E306" s="2935">
        <v>6440</v>
      </c>
      <c r="F306" s="2935">
        <v>900</v>
      </c>
      <c r="G306" s="2948">
        <v>3320</v>
      </c>
    </row>
    <row r="307" spans="1:7" s="2769" customFormat="1" ht="14.25" customHeight="1">
      <c r="A307" s="2935" t="s">
        <v>306</v>
      </c>
      <c r="B307" s="2935" t="s">
        <v>2970</v>
      </c>
      <c r="C307" s="2935">
        <v>5650</v>
      </c>
      <c r="D307" s="2935">
        <v>5600</v>
      </c>
      <c r="E307" s="2935">
        <v>6590</v>
      </c>
      <c r="F307" s="2935">
        <v>930</v>
      </c>
      <c r="G307" s="2948">
        <v>3380</v>
      </c>
    </row>
    <row r="308" spans="1:7" s="2769" customFormat="1" ht="14.25" customHeight="1">
      <c r="A308" s="2935" t="s">
        <v>306</v>
      </c>
      <c r="B308" s="2935" t="s">
        <v>3135</v>
      </c>
      <c r="C308" s="2935">
        <v>5620</v>
      </c>
      <c r="D308" s="2935">
        <v>5580</v>
      </c>
      <c r="E308" s="2935">
        <v>6540</v>
      </c>
      <c r="F308" s="2935">
        <v>910</v>
      </c>
      <c r="G308" s="2948">
        <v>3370</v>
      </c>
    </row>
    <row r="309" spans="1:7" s="2769" customFormat="1" ht="14.25" customHeight="1">
      <c r="A309" s="2935" t="s">
        <v>306</v>
      </c>
      <c r="B309" s="2935" t="s">
        <v>3136</v>
      </c>
      <c r="C309" s="2935">
        <v>5060</v>
      </c>
      <c r="D309" s="2935">
        <v>5020</v>
      </c>
      <c r="E309" s="2935">
        <v>6370</v>
      </c>
      <c r="F309" s="2935">
        <v>800</v>
      </c>
      <c r="G309" s="2948">
        <v>3020</v>
      </c>
    </row>
    <row r="310" spans="1:7" s="2769" customFormat="1" ht="14.25" customHeight="1">
      <c r="A310" s="2935" t="s">
        <v>306</v>
      </c>
      <c r="B310" s="2935" t="s">
        <v>2985</v>
      </c>
      <c r="C310" s="2935">
        <v>5150</v>
      </c>
      <c r="D310" s="2935">
        <v>5110</v>
      </c>
      <c r="E310" s="2935">
        <v>6500</v>
      </c>
      <c r="F310" s="2935">
        <v>880</v>
      </c>
      <c r="G310" s="2948">
        <v>3080</v>
      </c>
    </row>
    <row r="311" spans="1:7" s="2769" customFormat="1" ht="14.25" customHeight="1">
      <c r="A311" s="2935" t="s">
        <v>306</v>
      </c>
      <c r="B311" s="2935" t="s">
        <v>3137</v>
      </c>
      <c r="C311" s="2935">
        <v>4750</v>
      </c>
      <c r="D311" s="2935">
        <v>4710</v>
      </c>
      <c r="E311" s="2935">
        <v>5510</v>
      </c>
      <c r="F311" s="2935">
        <v>880</v>
      </c>
      <c r="G311" s="2948">
        <v>2840</v>
      </c>
    </row>
    <row r="312" spans="1:7" s="2769" customFormat="1" ht="14.25" customHeight="1">
      <c r="A312" s="2935" t="s">
        <v>306</v>
      </c>
      <c r="B312" s="2935" t="s">
        <v>2995</v>
      </c>
      <c r="C312" s="2935">
        <v>4690</v>
      </c>
      <c r="D312" s="2935">
        <v>4640</v>
      </c>
      <c r="E312" s="2935">
        <v>5420</v>
      </c>
      <c r="F312" s="2935">
        <v>800</v>
      </c>
      <c r="G312" s="2948">
        <v>2800</v>
      </c>
    </row>
    <row r="313" spans="1:7" s="2769" customFormat="1" ht="14.25" customHeight="1">
      <c r="A313" s="2935" t="s">
        <v>306</v>
      </c>
      <c r="B313" s="2935" t="s">
        <v>3000</v>
      </c>
      <c r="C313" s="2935">
        <v>4810</v>
      </c>
      <c r="D313" s="2935">
        <v>4760</v>
      </c>
      <c r="E313" s="2935">
        <v>5550</v>
      </c>
      <c r="F313" s="2935">
        <v>920</v>
      </c>
      <c r="G313" s="2948">
        <v>2870</v>
      </c>
    </row>
    <row r="314" spans="1:7" s="2769" customFormat="1" ht="14.25" customHeight="1">
      <c r="A314" s="2935" t="s">
        <v>306</v>
      </c>
      <c r="B314" s="2935" t="s">
        <v>3138</v>
      </c>
      <c r="C314" s="2935"/>
      <c r="D314" s="2935"/>
      <c r="E314" s="2935"/>
      <c r="F314" s="2935">
        <v>1020</v>
      </c>
      <c r="G314" s="2948"/>
    </row>
    <row r="315" spans="1:7" s="2769" customFormat="1" ht="14.25" customHeight="1">
      <c r="A315" s="2935" t="s">
        <v>306</v>
      </c>
      <c r="B315" s="2935" t="s">
        <v>3139</v>
      </c>
      <c r="C315" s="2935"/>
      <c r="D315" s="2935"/>
      <c r="E315" s="2935"/>
      <c r="F315" s="2935">
        <v>1050</v>
      </c>
      <c r="G315" s="2948"/>
    </row>
    <row r="316" spans="1:7" s="2769" customFormat="1" ht="14.25" customHeight="1">
      <c r="A316" s="2935" t="s">
        <v>306</v>
      </c>
      <c r="B316" s="2935" t="s">
        <v>3015</v>
      </c>
      <c r="C316" s="2935"/>
      <c r="D316" s="2935"/>
      <c r="E316" s="2935"/>
      <c r="F316" s="2935">
        <v>900</v>
      </c>
      <c r="G316" s="2948"/>
    </row>
    <row r="317" spans="1:7" s="2769" customFormat="1" ht="14.25" customHeight="1">
      <c r="A317" s="2935" t="s">
        <v>306</v>
      </c>
      <c r="B317" s="2935" t="s">
        <v>3140</v>
      </c>
      <c r="C317" s="2935"/>
      <c r="D317" s="2935"/>
      <c r="E317" s="2935"/>
      <c r="F317" s="2935">
        <v>920</v>
      </c>
      <c r="G317" s="2948"/>
    </row>
    <row r="318" spans="1:7" s="2769" customFormat="1" ht="14.25" customHeight="1">
      <c r="A318" s="2935" t="s">
        <v>306</v>
      </c>
      <c r="B318" s="2935" t="s">
        <v>3141</v>
      </c>
      <c r="C318" s="2935"/>
      <c r="D318" s="2935"/>
      <c r="E318" s="2935"/>
      <c r="F318" s="2935">
        <v>1080</v>
      </c>
      <c r="G318" s="2948"/>
    </row>
    <row r="319" spans="1:7" s="2769" customFormat="1" ht="14.25" customHeight="1">
      <c r="A319" s="2935" t="s">
        <v>306</v>
      </c>
      <c r="B319" s="2935" t="s">
        <v>3028</v>
      </c>
      <c r="C319" s="2935"/>
      <c r="D319" s="2935"/>
      <c r="E319" s="2935"/>
      <c r="F319" s="2935">
        <v>1020</v>
      </c>
      <c r="G319" s="2948"/>
    </row>
    <row r="320" spans="1:7" s="2769" customFormat="1" ht="14.25" customHeight="1">
      <c r="A320" s="2935" t="s">
        <v>306</v>
      </c>
      <c r="B320" s="2935" t="s">
        <v>3031</v>
      </c>
      <c r="C320" s="2935"/>
      <c r="D320" s="2935"/>
      <c r="E320" s="2935"/>
      <c r="F320" s="2935">
        <v>1050</v>
      </c>
      <c r="G320" s="2948"/>
    </row>
    <row r="321" spans="1:7" s="2769" customFormat="1" ht="14.25" customHeight="1">
      <c r="A321" s="2935" t="s">
        <v>306</v>
      </c>
      <c r="B321" s="2935" t="s">
        <v>3033</v>
      </c>
      <c r="C321" s="2935"/>
      <c r="D321" s="2935"/>
      <c r="E321" s="2935"/>
      <c r="F321" s="2935">
        <v>960</v>
      </c>
      <c r="G321" s="2948"/>
    </row>
    <row r="322" spans="1:7" s="2769" customFormat="1" ht="14.25" customHeight="1">
      <c r="A322" s="2935" t="s">
        <v>306</v>
      </c>
      <c r="B322" s="2935" t="s">
        <v>3035</v>
      </c>
      <c r="C322" s="2935"/>
      <c r="D322" s="2935"/>
      <c r="E322" s="2935"/>
      <c r="F322" s="2935">
        <v>960</v>
      </c>
      <c r="G322" s="2948"/>
    </row>
    <row r="323" spans="1:7" s="2769" customFormat="1" ht="14.25" customHeight="1">
      <c r="A323" s="2935" t="s">
        <v>306</v>
      </c>
      <c r="B323" s="2935" t="s">
        <v>3037</v>
      </c>
      <c r="C323" s="2935"/>
      <c r="D323" s="2935"/>
      <c r="E323" s="2935"/>
      <c r="F323" s="2935">
        <v>880</v>
      </c>
      <c r="G323" s="2948"/>
    </row>
    <row r="324" spans="1:7" s="2769" customFormat="1" ht="14.25" customHeight="1">
      <c r="A324" s="2935" t="s">
        <v>306</v>
      </c>
      <c r="B324" s="2935" t="s">
        <v>3039</v>
      </c>
      <c r="C324" s="2935"/>
      <c r="D324" s="2935"/>
      <c r="E324" s="2935"/>
      <c r="F324" s="2935">
        <v>930</v>
      </c>
      <c r="G324" s="2948"/>
    </row>
    <row r="325" spans="1:7" s="2769" customFormat="1" ht="14.25" customHeight="1">
      <c r="A325" s="2935" t="s">
        <v>306</v>
      </c>
      <c r="B325" s="2936" t="s">
        <v>3041</v>
      </c>
      <c r="C325" s="2935"/>
      <c r="D325" s="2935"/>
      <c r="E325" s="2935"/>
      <c r="F325" s="2935">
        <v>900</v>
      </c>
      <c r="G325" s="2948"/>
    </row>
    <row r="326" spans="1:7" s="2769" customFormat="1" ht="14.25" customHeight="1" thickBot="1">
      <c r="A326" s="2949" t="s">
        <v>306</v>
      </c>
      <c r="B326" s="2942" t="s">
        <v>3043</v>
      </c>
      <c r="C326" s="2942"/>
      <c r="D326" s="2942"/>
      <c r="E326" s="2942"/>
      <c r="F326" s="2942">
        <v>790</v>
      </c>
      <c r="G326" s="2950"/>
    </row>
    <row r="327" spans="1:7" s="2769" customFormat="1" ht="14.25" customHeight="1">
      <c r="A327" s="2940" t="s">
        <v>307</v>
      </c>
      <c r="B327" s="2931" t="s">
        <v>3142</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3143</v>
      </c>
      <c r="C329" s="2935">
        <v>2730</v>
      </c>
      <c r="D329" s="2935">
        <v>2690</v>
      </c>
      <c r="E329" s="2935">
        <v>3100</v>
      </c>
      <c r="F329" s="2935">
        <v>660</v>
      </c>
      <c r="G329" s="2935">
        <v>1610</v>
      </c>
    </row>
    <row r="330" spans="1:7" s="2769" customFormat="1" ht="14.25" customHeight="1">
      <c r="A330" s="2935" t="s">
        <v>307</v>
      </c>
      <c r="B330" s="2935" t="s">
        <v>3144</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2877</v>
      </c>
      <c r="C332" s="2935">
        <v>3520</v>
      </c>
      <c r="D332" s="2935">
        <v>3480</v>
      </c>
      <c r="E332" s="2935">
        <v>3830</v>
      </c>
      <c r="F332" s="2935">
        <v>720</v>
      </c>
      <c r="G332" s="2935">
        <v>2090</v>
      </c>
    </row>
    <row r="333" spans="1:7" s="2769" customFormat="1" ht="14.25" customHeight="1">
      <c r="A333" s="2935" t="s">
        <v>307</v>
      </c>
      <c r="B333" s="2935" t="s">
        <v>3145</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2887</v>
      </c>
      <c r="C336" s="2935">
        <v>3570</v>
      </c>
      <c r="D336" s="2935">
        <v>3530</v>
      </c>
      <c r="E336" s="2935">
        <v>3880</v>
      </c>
      <c r="F336" s="2935">
        <v>770</v>
      </c>
      <c r="G336" s="2935">
        <v>2110</v>
      </c>
    </row>
    <row r="337" spans="1:10" s="2769" customFormat="1" ht="14.25" customHeight="1">
      <c r="A337" s="2935" t="s">
        <v>307</v>
      </c>
      <c r="B337" s="2935" t="s">
        <v>3146</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3147</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3148</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2912</v>
      </c>
      <c r="C345" s="2935">
        <v>3190</v>
      </c>
      <c r="D345" s="2935">
        <v>3140</v>
      </c>
      <c r="E345" s="2935">
        <v>3450</v>
      </c>
      <c r="F345" s="2935">
        <v>720</v>
      </c>
      <c r="G345" s="2935">
        <v>1880</v>
      </c>
      <c r="J345" s="2769"/>
    </row>
    <row r="346" spans="1:10">
      <c r="A346" s="2935" t="s">
        <v>307</v>
      </c>
      <c r="B346" s="2935" t="s">
        <v>3149</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2921</v>
      </c>
      <c r="C348" s="2935">
        <v>4000</v>
      </c>
      <c r="D348" s="2935">
        <v>3950</v>
      </c>
      <c r="E348" s="2935">
        <v>4430</v>
      </c>
      <c r="F348" s="2935">
        <v>760</v>
      </c>
      <c r="G348" s="2935">
        <v>2360</v>
      </c>
      <c r="J348" s="2769"/>
    </row>
    <row r="349" spans="1:10">
      <c r="A349" s="2935" t="s">
        <v>307</v>
      </c>
      <c r="B349" s="2935" t="s">
        <v>2926</v>
      </c>
      <c r="C349" s="2935">
        <v>3820</v>
      </c>
      <c r="D349" s="2935">
        <v>3780</v>
      </c>
      <c r="E349" s="2935">
        <v>4170</v>
      </c>
      <c r="F349" s="2935">
        <v>710</v>
      </c>
      <c r="G349" s="2935">
        <v>2260</v>
      </c>
      <c r="J349" s="2769"/>
    </row>
    <row r="350" spans="1:10">
      <c r="A350" s="2935" t="s">
        <v>307</v>
      </c>
      <c r="B350" s="2935" t="s">
        <v>3150</v>
      </c>
      <c r="C350" s="2935">
        <v>3760</v>
      </c>
      <c r="D350" s="2935">
        <v>3730</v>
      </c>
      <c r="E350" s="2935">
        <v>4100</v>
      </c>
      <c r="F350" s="2935">
        <v>800</v>
      </c>
      <c r="G350" s="2935">
        <v>2230</v>
      </c>
      <c r="J350" s="2769"/>
    </row>
    <row r="351" spans="1:10">
      <c r="A351" s="2935" t="s">
        <v>307</v>
      </c>
      <c r="B351" s="2935" t="s">
        <v>2934</v>
      </c>
      <c r="C351" s="2935">
        <v>3610</v>
      </c>
      <c r="D351" s="2935">
        <v>3580</v>
      </c>
      <c r="E351" s="2935">
        <v>3930</v>
      </c>
      <c r="F351" s="2935">
        <v>700</v>
      </c>
      <c r="G351" s="2935">
        <v>2140</v>
      </c>
      <c r="J351" s="2769"/>
    </row>
    <row r="352" spans="1:10">
      <c r="A352" s="2935" t="s">
        <v>307</v>
      </c>
      <c r="B352" s="2935" t="s">
        <v>2939</v>
      </c>
      <c r="C352" s="2935">
        <v>3670</v>
      </c>
      <c r="D352" s="2935">
        <v>3630</v>
      </c>
      <c r="E352" s="2935">
        <v>4000</v>
      </c>
      <c r="F352" s="2935">
        <v>750</v>
      </c>
      <c r="G352" s="2935">
        <v>2180</v>
      </c>
    </row>
    <row r="353" spans="1:7" s="2770" customFormat="1">
      <c r="A353" s="2935" t="s">
        <v>307</v>
      </c>
      <c r="B353" s="2935" t="s">
        <v>3151</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2959</v>
      </c>
      <c r="C355" s="2935">
        <v>3650</v>
      </c>
      <c r="D355" s="2935">
        <v>3610</v>
      </c>
      <c r="E355" s="2935">
        <v>4200</v>
      </c>
      <c r="F355" s="2935">
        <v>640</v>
      </c>
      <c r="G355" s="2935">
        <v>2160</v>
      </c>
    </row>
    <row r="356" spans="1:7" s="2770" customFormat="1">
      <c r="A356" s="2935" t="s">
        <v>307</v>
      </c>
      <c r="B356" s="2935" t="s">
        <v>2966</v>
      </c>
      <c r="C356" s="2935">
        <v>3260</v>
      </c>
      <c r="D356" s="2935">
        <v>3230</v>
      </c>
      <c r="E356" s="2935">
        <v>3740</v>
      </c>
      <c r="F356" s="2935">
        <v>600</v>
      </c>
      <c r="G356" s="2935">
        <v>1930</v>
      </c>
    </row>
    <row r="357" spans="1:7" s="2770" customFormat="1" ht="12" thickBot="1">
      <c r="A357" s="2943" t="s">
        <v>307</v>
      </c>
      <c r="B357" s="2946" t="s">
        <v>3152</v>
      </c>
      <c r="C357" s="2946">
        <v>3690</v>
      </c>
      <c r="D357" s="2946">
        <v>3650</v>
      </c>
      <c r="E357" s="2946">
        <v>4020</v>
      </c>
      <c r="F357" s="2946">
        <v>700</v>
      </c>
      <c r="G357" s="2946">
        <v>2190</v>
      </c>
    </row>
    <row r="358" spans="1:7" s="2770" customFormat="1">
      <c r="A358" s="2940" t="s">
        <v>3153</v>
      </c>
      <c r="B358" s="2931" t="s">
        <v>3154</v>
      </c>
      <c r="C358" s="2931">
        <v>2080</v>
      </c>
      <c r="D358" s="2931">
        <v>2040</v>
      </c>
      <c r="E358" s="2931">
        <v>2010</v>
      </c>
      <c r="F358" s="2931">
        <v>530</v>
      </c>
      <c r="G358" s="2947">
        <v>1230</v>
      </c>
    </row>
    <row r="359" spans="1:7" s="2770" customFormat="1">
      <c r="A359" s="2935" t="s">
        <v>3153</v>
      </c>
      <c r="B359" s="2935" t="s">
        <v>3155</v>
      </c>
      <c r="C359" s="2935">
        <v>1850</v>
      </c>
      <c r="D359" s="2935">
        <v>1820</v>
      </c>
      <c r="E359" s="2935">
        <v>1780</v>
      </c>
      <c r="F359" s="2935">
        <v>520</v>
      </c>
      <c r="G359" s="2948">
        <v>1100</v>
      </c>
    </row>
    <row r="360" spans="1:7" s="2770" customFormat="1">
      <c r="A360" s="2935" t="s">
        <v>3153</v>
      </c>
      <c r="B360" s="2935" t="s">
        <v>3156</v>
      </c>
      <c r="C360" s="2935">
        <v>2020</v>
      </c>
      <c r="D360" s="2935">
        <v>1990</v>
      </c>
      <c r="E360" s="2935">
        <v>1950</v>
      </c>
      <c r="F360" s="2935">
        <v>500</v>
      </c>
      <c r="G360" s="2948">
        <v>1200</v>
      </c>
    </row>
    <row r="361" spans="1:7" s="2770" customFormat="1">
      <c r="A361" s="2935" t="s">
        <v>3153</v>
      </c>
      <c r="B361" s="2935" t="s">
        <v>153</v>
      </c>
      <c r="C361" s="2935">
        <v>2260</v>
      </c>
      <c r="D361" s="2935">
        <v>2220</v>
      </c>
      <c r="E361" s="2935">
        <v>2180</v>
      </c>
      <c r="F361" s="2935">
        <v>580</v>
      </c>
      <c r="G361" s="2948">
        <v>1340</v>
      </c>
    </row>
    <row r="362" spans="1:7" s="2770" customFormat="1">
      <c r="A362" s="2935" t="s">
        <v>3153</v>
      </c>
      <c r="B362" s="2935" t="s">
        <v>3157</v>
      </c>
      <c r="C362" s="2935">
        <v>2650</v>
      </c>
      <c r="D362" s="2935">
        <v>2610</v>
      </c>
      <c r="E362" s="2935">
        <v>2570</v>
      </c>
      <c r="F362" s="2935">
        <v>630</v>
      </c>
      <c r="G362" s="2948">
        <v>1570</v>
      </c>
    </row>
    <row r="363" spans="1:7" s="2770" customFormat="1">
      <c r="A363" s="2935" t="s">
        <v>3153</v>
      </c>
      <c r="B363" s="2935" t="s">
        <v>2878</v>
      </c>
      <c r="C363" s="2935">
        <v>2390</v>
      </c>
      <c r="D363" s="2935">
        <v>2360</v>
      </c>
      <c r="E363" s="2935">
        <v>2320</v>
      </c>
      <c r="F363" s="2935">
        <v>600</v>
      </c>
      <c r="G363" s="2948">
        <v>1420</v>
      </c>
    </row>
    <row r="364" spans="1:7" s="2770" customFormat="1">
      <c r="A364" s="2935" t="s">
        <v>3153</v>
      </c>
      <c r="B364" s="2935" t="s">
        <v>3158</v>
      </c>
      <c r="C364" s="2935">
        <v>2050</v>
      </c>
      <c r="D364" s="2935">
        <v>2030</v>
      </c>
      <c r="E364" s="2935">
        <v>1990</v>
      </c>
      <c r="F364" s="2935">
        <v>550</v>
      </c>
      <c r="G364" s="2948">
        <v>1220</v>
      </c>
    </row>
    <row r="365" spans="1:7" s="2770" customFormat="1">
      <c r="A365" s="2935" t="s">
        <v>3153</v>
      </c>
      <c r="B365" s="2935" t="s">
        <v>200</v>
      </c>
      <c r="C365" s="2935">
        <v>2140</v>
      </c>
      <c r="D365" s="2935">
        <v>2100</v>
      </c>
      <c r="E365" s="2935">
        <v>2060</v>
      </c>
      <c r="F365" s="2935">
        <v>540</v>
      </c>
      <c r="G365" s="2948">
        <v>1270</v>
      </c>
    </row>
    <row r="366" spans="1:7" s="2770" customFormat="1">
      <c r="A366" s="2935" t="s">
        <v>3153</v>
      </c>
      <c r="B366" s="2935" t="s">
        <v>2885</v>
      </c>
      <c r="C366" s="2935">
        <v>2410</v>
      </c>
      <c r="D366" s="2935">
        <v>2370</v>
      </c>
      <c r="E366" s="2935">
        <v>2330</v>
      </c>
      <c r="F366" s="2935">
        <v>570</v>
      </c>
      <c r="G366" s="2948">
        <v>1440</v>
      </c>
    </row>
    <row r="367" spans="1:7" s="2770" customFormat="1">
      <c r="A367" s="2935" t="s">
        <v>3153</v>
      </c>
      <c r="B367" s="2935" t="s">
        <v>3159</v>
      </c>
      <c r="C367" s="2935">
        <v>2300</v>
      </c>
      <c r="D367" s="2935">
        <v>2260</v>
      </c>
      <c r="E367" s="2935">
        <v>2220</v>
      </c>
      <c r="F367" s="2935">
        <v>560</v>
      </c>
      <c r="G367" s="2948">
        <v>1370</v>
      </c>
    </row>
    <row r="368" spans="1:7" s="2770" customFormat="1">
      <c r="A368" s="2935" t="s">
        <v>3153</v>
      </c>
      <c r="B368" s="2935" t="s">
        <v>3160</v>
      </c>
      <c r="C368" s="2935">
        <v>2430</v>
      </c>
      <c r="D368" s="2935">
        <v>2390</v>
      </c>
      <c r="E368" s="2935">
        <v>2350</v>
      </c>
      <c r="F368" s="2935">
        <v>570</v>
      </c>
      <c r="G368" s="2948">
        <v>1450</v>
      </c>
    </row>
    <row r="369" spans="1:7" s="2770" customFormat="1">
      <c r="A369" s="2935" t="s">
        <v>3153</v>
      </c>
      <c r="B369" s="2935" t="s">
        <v>214</v>
      </c>
      <c r="C369" s="2935">
        <v>2320</v>
      </c>
      <c r="D369" s="2935">
        <v>2290</v>
      </c>
      <c r="E369" s="2935">
        <v>2250</v>
      </c>
      <c r="F369" s="2935">
        <v>550</v>
      </c>
      <c r="G369" s="2948">
        <v>1380</v>
      </c>
    </row>
    <row r="370" spans="1:7" s="2770" customFormat="1">
      <c r="A370" s="2935" t="s">
        <v>3153</v>
      </c>
      <c r="B370" s="2935" t="s">
        <v>221</v>
      </c>
      <c r="C370" s="2935">
        <v>2190</v>
      </c>
      <c r="D370" s="2935">
        <v>2170</v>
      </c>
      <c r="E370" s="2935">
        <v>2130</v>
      </c>
      <c r="F370" s="2935">
        <v>530</v>
      </c>
      <c r="G370" s="2948">
        <v>1310</v>
      </c>
    </row>
    <row r="371" spans="1:7" s="2770" customFormat="1">
      <c r="A371" s="2935" t="s">
        <v>3153</v>
      </c>
      <c r="B371" s="2935" t="s">
        <v>229</v>
      </c>
      <c r="C371" s="2935">
        <v>2460</v>
      </c>
      <c r="D371" s="2935">
        <v>2420</v>
      </c>
      <c r="E371" s="2935">
        <v>2370</v>
      </c>
      <c r="F371" s="2935">
        <v>560</v>
      </c>
      <c r="G371" s="2948">
        <v>1470</v>
      </c>
    </row>
    <row r="372" spans="1:7" s="2770" customFormat="1">
      <c r="A372" s="2935" t="s">
        <v>3153</v>
      </c>
      <c r="B372" s="2935" t="s">
        <v>3161</v>
      </c>
      <c r="C372" s="2935">
        <v>2250</v>
      </c>
      <c r="D372" s="2935">
        <v>2210</v>
      </c>
      <c r="E372" s="2935">
        <v>2180</v>
      </c>
      <c r="F372" s="2935">
        <v>550</v>
      </c>
      <c r="G372" s="2948">
        <v>1340</v>
      </c>
    </row>
    <row r="373" spans="1:7" s="2770" customFormat="1">
      <c r="A373" s="2935" t="s">
        <v>3153</v>
      </c>
      <c r="B373" s="2935" t="s">
        <v>258</v>
      </c>
      <c r="C373" s="2935">
        <v>2210</v>
      </c>
      <c r="D373" s="2935">
        <v>2190</v>
      </c>
      <c r="E373" s="2935">
        <v>2150</v>
      </c>
      <c r="F373" s="2935">
        <v>530</v>
      </c>
      <c r="G373" s="2948">
        <v>1320</v>
      </c>
    </row>
    <row r="374" spans="1:7" s="2770" customFormat="1">
      <c r="A374" s="2935" t="s">
        <v>3153</v>
      </c>
      <c r="B374" s="2935" t="s">
        <v>266</v>
      </c>
      <c r="C374" s="2935">
        <v>2320</v>
      </c>
      <c r="D374" s="2935">
        <v>2280</v>
      </c>
      <c r="E374" s="2935">
        <v>2230</v>
      </c>
      <c r="F374" s="2935">
        <v>580</v>
      </c>
      <c r="G374" s="2948">
        <v>1380</v>
      </c>
    </row>
    <row r="375" spans="1:7" s="2770" customFormat="1">
      <c r="A375" s="2935" t="s">
        <v>3153</v>
      </c>
      <c r="B375" s="2935" t="s">
        <v>3162</v>
      </c>
      <c r="C375" s="2935">
        <v>2090</v>
      </c>
      <c r="D375" s="2935">
        <v>2050</v>
      </c>
      <c r="E375" s="2935">
        <v>2020</v>
      </c>
      <c r="F375" s="2935">
        <v>520</v>
      </c>
      <c r="G375" s="2948">
        <v>1240</v>
      </c>
    </row>
    <row r="376" spans="1:7" s="2770" customFormat="1">
      <c r="A376" s="2935" t="s">
        <v>3153</v>
      </c>
      <c r="B376" s="2935" t="s">
        <v>277</v>
      </c>
      <c r="C376" s="2935">
        <v>2010</v>
      </c>
      <c r="D376" s="2935">
        <v>1980</v>
      </c>
      <c r="E376" s="2935">
        <v>1940</v>
      </c>
      <c r="F376" s="2935">
        <v>540</v>
      </c>
      <c r="G376" s="2948">
        <v>1190</v>
      </c>
    </row>
    <row r="377" spans="1:7" s="2770" customFormat="1" ht="12" thickBot="1">
      <c r="A377" s="2943" t="s">
        <v>3153</v>
      </c>
      <c r="B377" s="2946" t="s">
        <v>2915</v>
      </c>
      <c r="C377" s="2946">
        <v>1930</v>
      </c>
      <c r="D377" s="2946">
        <v>1890</v>
      </c>
      <c r="E377" s="2946">
        <v>1860</v>
      </c>
      <c r="F377" s="2946">
        <v>530</v>
      </c>
      <c r="G377" s="2951">
        <v>1150</v>
      </c>
    </row>
    <row r="378" spans="1:7" s="2770" customFormat="1">
      <c r="A378" s="2952" t="s">
        <v>3163</v>
      </c>
      <c r="B378" s="2931" t="s">
        <v>3164</v>
      </c>
      <c r="C378" s="2931">
        <v>1520</v>
      </c>
      <c r="D378" s="2931">
        <v>1490</v>
      </c>
      <c r="E378" s="2931">
        <v>1460</v>
      </c>
      <c r="F378" s="2931">
        <v>460</v>
      </c>
      <c r="G378" s="2947">
        <v>940</v>
      </c>
    </row>
    <row r="379" spans="1:7" s="2770" customFormat="1">
      <c r="A379" s="2953" t="s">
        <v>3163</v>
      </c>
      <c r="B379" s="2935" t="s">
        <v>3165</v>
      </c>
      <c r="C379" s="2935">
        <v>1500</v>
      </c>
      <c r="D379" s="2935">
        <v>1470</v>
      </c>
      <c r="E379" s="2935">
        <v>1430</v>
      </c>
      <c r="F379" s="2935">
        <v>460</v>
      </c>
      <c r="G379" s="2948">
        <v>920</v>
      </c>
    </row>
    <row r="380" spans="1:7" s="2770" customFormat="1">
      <c r="A380" s="2953" t="s">
        <v>3163</v>
      </c>
      <c r="B380" s="2935" t="s">
        <v>3166</v>
      </c>
      <c r="C380" s="2935">
        <v>1620</v>
      </c>
      <c r="D380" s="2935">
        <v>1590</v>
      </c>
      <c r="E380" s="2935">
        <v>1560</v>
      </c>
      <c r="F380" s="2935">
        <v>480</v>
      </c>
      <c r="G380" s="2948">
        <v>1000</v>
      </c>
    </row>
    <row r="381" spans="1:7" s="2770" customFormat="1">
      <c r="A381" s="2953" t="s">
        <v>3163</v>
      </c>
      <c r="B381" s="2935" t="s">
        <v>3167</v>
      </c>
      <c r="C381" s="2935">
        <v>1460</v>
      </c>
      <c r="D381" s="2935">
        <v>1430</v>
      </c>
      <c r="E381" s="2935">
        <v>1390</v>
      </c>
      <c r="F381" s="2935">
        <v>450</v>
      </c>
      <c r="G381" s="2948">
        <v>900</v>
      </c>
    </row>
    <row r="382" spans="1:7" s="2770" customFormat="1">
      <c r="A382" s="2953" t="s">
        <v>3163</v>
      </c>
      <c r="B382" s="2935" t="s">
        <v>3168</v>
      </c>
      <c r="C382" s="2935">
        <v>1310</v>
      </c>
      <c r="D382" s="2935">
        <v>1280</v>
      </c>
      <c r="E382" s="2935">
        <v>1250</v>
      </c>
      <c r="F382" s="2935">
        <v>440</v>
      </c>
      <c r="G382" s="2948">
        <v>800</v>
      </c>
    </row>
    <row r="383" spans="1:7" s="2770" customFormat="1">
      <c r="A383" s="2953" t="s">
        <v>3163</v>
      </c>
      <c r="B383" s="2935" t="s">
        <v>3169</v>
      </c>
      <c r="C383" s="2935">
        <v>1260</v>
      </c>
      <c r="D383" s="2935">
        <v>1230</v>
      </c>
      <c r="E383" s="2935">
        <v>1200</v>
      </c>
      <c r="F383" s="2935">
        <v>420</v>
      </c>
      <c r="G383" s="2948">
        <v>770</v>
      </c>
    </row>
    <row r="384" spans="1:7" s="2770" customFormat="1" ht="12" thickBot="1">
      <c r="A384" s="2954" t="s">
        <v>3163</v>
      </c>
      <c r="B384" s="2942" t="s">
        <v>3170</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25" t="s">
        <v>3171</v>
      </c>
      <c r="B1" s="3525"/>
    </row>
    <row r="2" spans="1:7" ht="14.25" thickBot="1">
      <c r="A2" s="2956"/>
      <c r="B2" s="2956"/>
    </row>
    <row r="3" spans="1:7" ht="14.25" thickBot="1">
      <c r="A3" s="2956"/>
      <c r="B3" s="2956"/>
      <c r="C3" s="2957" t="s">
        <v>2801</v>
      </c>
      <c r="D3" s="2957" t="s">
        <v>2857</v>
      </c>
      <c r="E3" s="2957" t="s">
        <v>2803</v>
      </c>
      <c r="F3" s="2957" t="s">
        <v>2858</v>
      </c>
      <c r="G3" s="2957" t="s">
        <v>2621</v>
      </c>
    </row>
    <row r="4" spans="1:7" ht="14.25" thickBot="1">
      <c r="A4" s="2958" t="s">
        <v>2856</v>
      </c>
      <c r="B4" s="2959" t="s">
        <v>2862</v>
      </c>
      <c r="C4" s="2957"/>
      <c r="D4" s="2957"/>
      <c r="E4" s="2957"/>
      <c r="F4" s="2957"/>
      <c r="G4" s="2957"/>
    </row>
    <row r="5" spans="1:7">
      <c r="A5" s="2960" t="s">
        <v>2830</v>
      </c>
      <c r="B5" s="2961" t="s">
        <v>2844</v>
      </c>
      <c r="C5" s="2962">
        <v>9.8000000000000004E-2</v>
      </c>
      <c r="D5" s="2962">
        <v>8.6999999999999994E-2</v>
      </c>
      <c r="E5" s="2962">
        <v>8.6999999999999994E-2</v>
      </c>
      <c r="F5" s="2962">
        <v>9.8000000000000004E-2</v>
      </c>
      <c r="G5" s="2963">
        <v>9.5000000000000001E-2</v>
      </c>
    </row>
    <row r="6" spans="1:7">
      <c r="A6" s="2964" t="s">
        <v>144</v>
      </c>
      <c r="B6" s="2965" t="s">
        <v>2859</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2845</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2895</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2913</v>
      </c>
      <c r="C29" s="2974"/>
      <c r="D29" s="2970">
        <v>5.1999999999999998E-2</v>
      </c>
      <c r="E29" s="2970">
        <v>7.0000000000000007E-2</v>
      </c>
      <c r="F29" s="2974"/>
      <c r="G29" s="2972">
        <v>7.0999999999999994E-2</v>
      </c>
    </row>
    <row r="30" spans="1:7">
      <c r="A30" s="2975" t="s">
        <v>296</v>
      </c>
      <c r="B30" s="2961" t="s">
        <v>2846</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2832</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2916</v>
      </c>
      <c r="C50" s="2966">
        <v>9.8000000000000004E-2</v>
      </c>
      <c r="D50" s="2966">
        <v>7.2999999999999995E-2</v>
      </c>
      <c r="E50" s="2966">
        <v>7.0999999999999994E-2</v>
      </c>
      <c r="F50" s="2977"/>
      <c r="G50" s="2967">
        <v>7.2999999999999995E-2</v>
      </c>
    </row>
    <row r="51" spans="1:7">
      <c r="A51" s="2976" t="s">
        <v>296</v>
      </c>
      <c r="B51" s="2965" t="s">
        <v>2918</v>
      </c>
      <c r="C51" s="2966">
        <v>9.9000000000000005E-2</v>
      </c>
      <c r="D51" s="2966">
        <v>8.5000000000000006E-2</v>
      </c>
      <c r="E51" s="2966">
        <v>6.3E-2</v>
      </c>
      <c r="F51" s="2977"/>
      <c r="G51" s="2967">
        <v>9.6000000000000002E-2</v>
      </c>
    </row>
    <row r="52" spans="1:7">
      <c r="A52" s="2976" t="s">
        <v>296</v>
      </c>
      <c r="B52" s="2965" t="s">
        <v>2922</v>
      </c>
      <c r="C52" s="2966">
        <v>7.3999999999999996E-2</v>
      </c>
      <c r="D52" s="2966">
        <v>9.6000000000000002E-2</v>
      </c>
      <c r="E52" s="2966">
        <v>0.05</v>
      </c>
      <c r="F52" s="2977"/>
      <c r="G52" s="2967">
        <v>9.8000000000000004E-2</v>
      </c>
    </row>
    <row r="53" spans="1:7">
      <c r="A53" s="2976" t="s">
        <v>296</v>
      </c>
      <c r="B53" s="2965" t="s">
        <v>2927</v>
      </c>
      <c r="C53" s="2966">
        <v>8.5999999999999993E-2</v>
      </c>
      <c r="D53" s="2977"/>
      <c r="E53" s="2966">
        <v>9.1999999999999998E-2</v>
      </c>
      <c r="F53" s="2977"/>
      <c r="G53" s="2978"/>
    </row>
    <row r="54" spans="1:7" ht="14.25" thickBot="1">
      <c r="A54" s="2979" t="s">
        <v>296</v>
      </c>
      <c r="B54" s="2969" t="s">
        <v>2930</v>
      </c>
      <c r="C54" s="2970">
        <v>9.6000000000000002E-2</v>
      </c>
      <c r="D54" s="2971"/>
      <c r="E54" s="2980"/>
      <c r="F54" s="2971"/>
      <c r="G54" s="2981"/>
    </row>
    <row r="55" spans="1:7">
      <c r="A55" s="2975" t="s">
        <v>110</v>
      </c>
      <c r="B55" s="2961" t="s">
        <v>2847</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2928</v>
      </c>
      <c r="C78" s="2966">
        <v>0.1</v>
      </c>
      <c r="D78" s="2966">
        <v>8.5000000000000006E-2</v>
      </c>
      <c r="E78" s="2966">
        <v>9.6000000000000002E-2</v>
      </c>
      <c r="F78" s="2977"/>
      <c r="G78" s="2967">
        <v>9.6000000000000002E-2</v>
      </c>
    </row>
    <row r="79" spans="1:7">
      <c r="A79" s="2976" t="s">
        <v>110</v>
      </c>
      <c r="B79" s="2965" t="s">
        <v>2931</v>
      </c>
      <c r="C79" s="2966">
        <v>0.05</v>
      </c>
      <c r="D79" s="2966">
        <v>9.6000000000000002E-2</v>
      </c>
      <c r="E79" s="2966">
        <v>9.5000000000000001E-2</v>
      </c>
      <c r="F79" s="2977"/>
      <c r="G79" s="2967">
        <v>9.8000000000000004E-2</v>
      </c>
    </row>
    <row r="80" spans="1:7">
      <c r="A80" s="2976" t="s">
        <v>110</v>
      </c>
      <c r="B80" s="2965" t="s">
        <v>2935</v>
      </c>
      <c r="C80" s="2966">
        <v>8.5999999999999993E-2</v>
      </c>
      <c r="D80" s="2982"/>
      <c r="E80" s="2966">
        <v>0.1</v>
      </c>
      <c r="F80" s="2977"/>
      <c r="G80" s="2978"/>
    </row>
    <row r="81" spans="1:7">
      <c r="A81" s="2976" t="s">
        <v>110</v>
      </c>
      <c r="B81" s="2965" t="s">
        <v>2940</v>
      </c>
      <c r="C81" s="2966">
        <v>9.6000000000000002E-2</v>
      </c>
      <c r="D81" s="2977"/>
      <c r="E81" s="2966">
        <v>9.8000000000000004E-2</v>
      </c>
      <c r="F81" s="2977"/>
      <c r="G81" s="2978"/>
    </row>
    <row r="82" spans="1:7">
      <c r="A82" s="2976" t="s">
        <v>110</v>
      </c>
      <c r="B82" s="2965" t="s">
        <v>2947</v>
      </c>
      <c r="C82" s="2982"/>
      <c r="D82" s="2977"/>
      <c r="E82" s="2966">
        <v>7.6999999999999999E-2</v>
      </c>
      <c r="F82" s="2977"/>
      <c r="G82" s="2978"/>
    </row>
    <row r="83" spans="1:7">
      <c r="A83" s="2976" t="s">
        <v>110</v>
      </c>
      <c r="B83" s="2965" t="s">
        <v>2953</v>
      </c>
      <c r="C83" s="2977"/>
      <c r="D83" s="2977"/>
      <c r="E83" s="2977"/>
      <c r="F83" s="2966">
        <v>0.1</v>
      </c>
      <c r="G83" s="2983"/>
    </row>
    <row r="84" spans="1:7">
      <c r="A84" s="2976" t="s">
        <v>110</v>
      </c>
      <c r="B84" s="2965" t="s">
        <v>2960</v>
      </c>
      <c r="C84" s="2977"/>
      <c r="D84" s="2977"/>
      <c r="E84" s="2977"/>
      <c r="F84" s="2966">
        <v>0.1</v>
      </c>
      <c r="G84" s="2983"/>
    </row>
    <row r="85" spans="1:7">
      <c r="A85" s="2976" t="s">
        <v>110</v>
      </c>
      <c r="B85" s="2965" t="s">
        <v>2967</v>
      </c>
      <c r="C85" s="2977"/>
      <c r="D85" s="2977"/>
      <c r="E85" s="2977"/>
      <c r="F85" s="2966">
        <v>0.1</v>
      </c>
      <c r="G85" s="2983"/>
    </row>
    <row r="86" spans="1:7" ht="14.25" thickBot="1">
      <c r="A86" s="2979" t="s">
        <v>110</v>
      </c>
      <c r="B86" s="2969" t="s">
        <v>2972</v>
      </c>
      <c r="C86" s="2970">
        <v>9.8000000000000004E-2</v>
      </c>
      <c r="D86" s="2970">
        <v>9.8000000000000004E-2</v>
      </c>
      <c r="E86" s="2970">
        <v>9.6000000000000002E-2</v>
      </c>
      <c r="F86" s="2980"/>
      <c r="G86" s="2972">
        <v>0.1</v>
      </c>
    </row>
    <row r="87" spans="1:7">
      <c r="A87" s="2975" t="s">
        <v>303</v>
      </c>
      <c r="B87" s="2961" t="s">
        <v>2848</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2941</v>
      </c>
      <c r="C113" s="2966">
        <v>0.1</v>
      </c>
      <c r="D113" s="2966">
        <v>0.1</v>
      </c>
      <c r="E113" s="2977"/>
      <c r="F113" s="2977"/>
      <c r="G113" s="2967">
        <v>0.1</v>
      </c>
    </row>
    <row r="114" spans="1:7">
      <c r="A114" s="2976" t="s">
        <v>303</v>
      </c>
      <c r="B114" s="2965" t="s">
        <v>2948</v>
      </c>
      <c r="C114" s="2966">
        <v>9.7000000000000003E-2</v>
      </c>
      <c r="D114" s="2966">
        <v>9.7000000000000003E-2</v>
      </c>
      <c r="E114" s="2977"/>
      <c r="F114" s="2977"/>
      <c r="G114" s="2967">
        <v>9.9000000000000005E-2</v>
      </c>
    </row>
    <row r="115" spans="1:7">
      <c r="A115" s="2976" t="s">
        <v>303</v>
      </c>
      <c r="B115" s="2965" t="s">
        <v>2954</v>
      </c>
      <c r="C115" s="2966">
        <v>0.1</v>
      </c>
      <c r="D115" s="2966">
        <v>0.1</v>
      </c>
      <c r="E115" s="2977"/>
      <c r="F115" s="2977"/>
      <c r="G115" s="2967">
        <v>0.1</v>
      </c>
    </row>
    <row r="116" spans="1:7">
      <c r="A116" s="2976" t="s">
        <v>303</v>
      </c>
      <c r="B116" s="2965" t="s">
        <v>2961</v>
      </c>
      <c r="C116" s="2966">
        <v>0.1</v>
      </c>
      <c r="D116" s="2966">
        <v>0.1</v>
      </c>
      <c r="E116" s="2977"/>
      <c r="F116" s="2977"/>
      <c r="G116" s="2967">
        <v>0.1</v>
      </c>
    </row>
    <row r="117" spans="1:7">
      <c r="A117" s="2976" t="s">
        <v>303</v>
      </c>
      <c r="B117" s="2965" t="s">
        <v>2968</v>
      </c>
      <c r="C117" s="2966">
        <v>9.7000000000000003E-2</v>
      </c>
      <c r="D117" s="2966">
        <v>9.7000000000000003E-2</v>
      </c>
      <c r="E117" s="2977"/>
      <c r="F117" s="2977"/>
      <c r="G117" s="2967">
        <v>9.7000000000000003E-2</v>
      </c>
    </row>
    <row r="118" spans="1:7">
      <c r="A118" s="2976" t="s">
        <v>303</v>
      </c>
      <c r="B118" s="2965" t="s">
        <v>2973</v>
      </c>
      <c r="C118" s="2966">
        <v>0.1</v>
      </c>
      <c r="D118" s="2966">
        <v>0.1</v>
      </c>
      <c r="E118" s="2977"/>
      <c r="F118" s="2977"/>
      <c r="G118" s="2967">
        <v>0.1</v>
      </c>
    </row>
    <row r="119" spans="1:7">
      <c r="A119" s="2976" t="s">
        <v>303</v>
      </c>
      <c r="B119" s="2965" t="s">
        <v>2977</v>
      </c>
      <c r="C119" s="2966">
        <v>5.0999999999999997E-2</v>
      </c>
      <c r="D119" s="2966">
        <v>5.1999999999999998E-2</v>
      </c>
      <c r="E119" s="2977"/>
      <c r="F119" s="2982"/>
      <c r="G119" s="2967">
        <v>0.06</v>
      </c>
    </row>
    <row r="120" spans="1:7">
      <c r="A120" s="2976" t="s">
        <v>303</v>
      </c>
      <c r="B120" s="2965" t="s">
        <v>2981</v>
      </c>
      <c r="C120" s="2977"/>
      <c r="D120" s="2977"/>
      <c r="E120" s="2977"/>
      <c r="F120" s="2966">
        <v>0.1</v>
      </c>
      <c r="G120" s="2983"/>
    </row>
    <row r="121" spans="1:7">
      <c r="A121" s="2976" t="s">
        <v>303</v>
      </c>
      <c r="B121" s="2965" t="s">
        <v>2986</v>
      </c>
      <c r="C121" s="2977"/>
      <c r="D121" s="2977"/>
      <c r="E121" s="2977"/>
      <c r="F121" s="2966">
        <v>0.1</v>
      </c>
      <c r="G121" s="2983"/>
    </row>
    <row r="122" spans="1:7">
      <c r="A122" s="2976" t="s">
        <v>303</v>
      </c>
      <c r="B122" s="2965" t="s">
        <v>2991</v>
      </c>
      <c r="C122" s="2966">
        <v>0.1</v>
      </c>
      <c r="D122" s="2966">
        <v>0.1</v>
      </c>
      <c r="E122" s="2966">
        <v>9.8000000000000004E-2</v>
      </c>
      <c r="F122" s="2966">
        <v>0.1</v>
      </c>
      <c r="G122" s="2967">
        <v>0.1</v>
      </c>
    </row>
    <row r="123" spans="1:7">
      <c r="A123" s="2976" t="s">
        <v>303</v>
      </c>
      <c r="B123" s="2965" t="s">
        <v>2996</v>
      </c>
      <c r="C123" s="2966">
        <v>0.1</v>
      </c>
      <c r="D123" s="2966">
        <v>0.1</v>
      </c>
      <c r="E123" s="2966">
        <v>9.8000000000000004E-2</v>
      </c>
      <c r="F123" s="2966">
        <v>0.1</v>
      </c>
      <c r="G123" s="2967">
        <v>0.1</v>
      </c>
    </row>
    <row r="124" spans="1:7">
      <c r="A124" s="2976" t="s">
        <v>303</v>
      </c>
      <c r="B124" s="2965" t="s">
        <v>3001</v>
      </c>
      <c r="C124" s="2966">
        <v>0.1</v>
      </c>
      <c r="D124" s="2966">
        <v>0.1</v>
      </c>
      <c r="E124" s="2966">
        <v>9.8000000000000004E-2</v>
      </c>
      <c r="F124" s="2982"/>
      <c r="G124" s="2967">
        <v>0.1</v>
      </c>
    </row>
    <row r="125" spans="1:7">
      <c r="A125" s="2976" t="s">
        <v>303</v>
      </c>
      <c r="B125" s="2965" t="s">
        <v>3006</v>
      </c>
      <c r="C125" s="2966">
        <v>9.8000000000000004E-2</v>
      </c>
      <c r="D125" s="2966">
        <v>9.8000000000000004E-2</v>
      </c>
      <c r="E125" s="2966">
        <v>9.6000000000000002E-2</v>
      </c>
      <c r="F125" s="2982"/>
      <c r="G125" s="2967">
        <v>0.1</v>
      </c>
    </row>
    <row r="126" spans="1:7" ht="14.25" thickBot="1">
      <c r="A126" s="2979" t="s">
        <v>303</v>
      </c>
      <c r="B126" s="2969" t="s">
        <v>3172</v>
      </c>
      <c r="C126" s="2970">
        <v>0.1</v>
      </c>
      <c r="D126" s="2970">
        <v>0.1</v>
      </c>
      <c r="E126" s="2970">
        <v>9.8000000000000004E-2</v>
      </c>
      <c r="F126" s="2970">
        <v>0.1</v>
      </c>
      <c r="G126" s="2972">
        <v>0.1</v>
      </c>
    </row>
    <row r="127" spans="1:7">
      <c r="A127" s="2975" t="s">
        <v>29</v>
      </c>
      <c r="B127" s="2961" t="s">
        <v>2849</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2919</v>
      </c>
      <c r="C148" s="2966">
        <v>0.13</v>
      </c>
      <c r="D148" s="2966">
        <v>0.13</v>
      </c>
      <c r="E148" s="2966">
        <v>0.13</v>
      </c>
      <c r="F148" s="2977"/>
      <c r="G148" s="2967">
        <v>0.13</v>
      </c>
    </row>
    <row r="149" spans="1:7">
      <c r="A149" s="2976" t="s">
        <v>29</v>
      </c>
      <c r="B149" s="2965" t="s">
        <v>2923</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2942</v>
      </c>
      <c r="C153" s="2966">
        <v>0.13</v>
      </c>
      <c r="D153" s="2966">
        <v>0.13</v>
      </c>
      <c r="E153" s="2966">
        <v>0.13</v>
      </c>
      <c r="F153" s="2966">
        <v>0.13</v>
      </c>
      <c r="G153" s="2967">
        <v>0.13</v>
      </c>
    </row>
    <row r="154" spans="1:7">
      <c r="A154" s="2976" t="s">
        <v>29</v>
      </c>
      <c r="B154" s="2965" t="s">
        <v>2949</v>
      </c>
      <c r="C154" s="2966">
        <v>0.121</v>
      </c>
      <c r="D154" s="2966">
        <v>0.121</v>
      </c>
      <c r="E154" s="2966">
        <v>0.105</v>
      </c>
      <c r="F154" s="2966">
        <v>0.121</v>
      </c>
      <c r="G154" s="2967">
        <v>0.123</v>
      </c>
    </row>
    <row r="155" spans="1:7">
      <c r="A155" s="2976" t="s">
        <v>29</v>
      </c>
      <c r="B155" s="2965" t="s">
        <v>2955</v>
      </c>
      <c r="C155" s="2966">
        <v>0.1</v>
      </c>
      <c r="D155" s="2966">
        <v>0.1</v>
      </c>
      <c r="E155" s="2966">
        <v>0.1</v>
      </c>
      <c r="F155" s="2966">
        <v>0.1</v>
      </c>
      <c r="G155" s="2967">
        <v>0.1</v>
      </c>
    </row>
    <row r="156" spans="1:7">
      <c r="A156" s="2976" t="s">
        <v>29</v>
      </c>
      <c r="B156" s="2965" t="s">
        <v>2962</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2982</v>
      </c>
      <c r="C160" s="2966">
        <v>0.13</v>
      </c>
      <c r="D160" s="2966">
        <v>0.13</v>
      </c>
      <c r="E160" s="2966">
        <v>0.124</v>
      </c>
      <c r="F160" s="2966">
        <v>0.126</v>
      </c>
      <c r="G160" s="2967">
        <v>0.13</v>
      </c>
    </row>
    <row r="161" spans="1:7">
      <c r="A161" s="2976" t="s">
        <v>29</v>
      </c>
      <c r="B161" s="2965" t="s">
        <v>2987</v>
      </c>
      <c r="C161" s="2966">
        <v>0.13</v>
      </c>
      <c r="D161" s="2966">
        <v>0.13</v>
      </c>
      <c r="E161" s="2966">
        <v>0.124</v>
      </c>
      <c r="F161" s="2966">
        <v>0.127</v>
      </c>
      <c r="G161" s="2967">
        <v>0.13</v>
      </c>
    </row>
    <row r="162" spans="1:7">
      <c r="A162" s="2976" t="s">
        <v>29</v>
      </c>
      <c r="B162" s="2965" t="s">
        <v>2992</v>
      </c>
      <c r="C162" s="2966">
        <v>0.1</v>
      </c>
      <c r="D162" s="2966">
        <v>0.1</v>
      </c>
      <c r="E162" s="2966">
        <v>0.1</v>
      </c>
      <c r="F162" s="2966">
        <v>0.121</v>
      </c>
      <c r="G162" s="2967">
        <v>0.105</v>
      </c>
    </row>
    <row r="163" spans="1:7">
      <c r="A163" s="2976" t="s">
        <v>29</v>
      </c>
      <c r="B163" s="2965" t="s">
        <v>2997</v>
      </c>
      <c r="C163" s="2966">
        <v>0.1</v>
      </c>
      <c r="D163" s="2966">
        <v>0.1</v>
      </c>
      <c r="E163" s="2966">
        <v>0.1</v>
      </c>
      <c r="F163" s="2966">
        <v>0.1</v>
      </c>
      <c r="G163" s="2967">
        <v>0.1</v>
      </c>
    </row>
    <row r="164" spans="1:7">
      <c r="A164" s="2976" t="s">
        <v>29</v>
      </c>
      <c r="B164" s="2965" t="s">
        <v>3002</v>
      </c>
      <c r="C164" s="2982"/>
      <c r="D164" s="2982"/>
      <c r="E164" s="2982"/>
      <c r="F164" s="2966">
        <v>0.1</v>
      </c>
      <c r="G164" s="2978"/>
    </row>
    <row r="165" spans="1:7">
      <c r="A165" s="2976" t="s">
        <v>29</v>
      </c>
      <c r="B165" s="2965" t="s">
        <v>3173</v>
      </c>
      <c r="C165" s="2966">
        <v>0.126</v>
      </c>
      <c r="D165" s="2966">
        <v>0.126</v>
      </c>
      <c r="E165" s="2966">
        <v>0.11899999999999999</v>
      </c>
      <c r="F165" s="2966">
        <v>0.13</v>
      </c>
      <c r="G165" s="2967">
        <v>0.128</v>
      </c>
    </row>
    <row r="166" spans="1:7">
      <c r="A166" s="2976" t="s">
        <v>29</v>
      </c>
      <c r="B166" s="2965" t="s">
        <v>3012</v>
      </c>
      <c r="C166" s="2966">
        <v>0.129</v>
      </c>
      <c r="D166" s="2966">
        <v>0.129</v>
      </c>
      <c r="E166" s="2966">
        <v>0.123</v>
      </c>
      <c r="F166" s="2966">
        <v>0.128</v>
      </c>
      <c r="G166" s="2967">
        <v>0.13</v>
      </c>
    </row>
    <row r="167" spans="1:7">
      <c r="A167" s="2976" t="s">
        <v>29</v>
      </c>
      <c r="B167" s="2965" t="s">
        <v>3016</v>
      </c>
      <c r="C167" s="2966">
        <v>0.125</v>
      </c>
      <c r="D167" s="2966">
        <v>0.125</v>
      </c>
      <c r="E167" s="2966">
        <v>0.11700000000000001</v>
      </c>
      <c r="F167" s="2966">
        <v>0.13</v>
      </c>
      <c r="G167" s="2967">
        <v>0.126</v>
      </c>
    </row>
    <row r="168" spans="1:7">
      <c r="A168" s="2976" t="s">
        <v>29</v>
      </c>
      <c r="B168" s="2965" t="s">
        <v>3021</v>
      </c>
      <c r="C168" s="2966">
        <v>0.128</v>
      </c>
      <c r="D168" s="2966">
        <v>0.128</v>
      </c>
      <c r="E168" s="2966">
        <v>0.123</v>
      </c>
      <c r="F168" s="2977"/>
      <c r="G168" s="2967">
        <v>0.13</v>
      </c>
    </row>
    <row r="169" spans="1:7">
      <c r="A169" s="2976" t="s">
        <v>29</v>
      </c>
      <c r="B169" s="2965" t="s">
        <v>3174</v>
      </c>
      <c r="C169" s="2982"/>
      <c r="D169" s="2982"/>
      <c r="E169" s="2982"/>
      <c r="F169" s="2966">
        <v>0.05</v>
      </c>
      <c r="G169" s="2978"/>
    </row>
    <row r="170" spans="1:7">
      <c r="A170" s="2976" t="s">
        <v>29</v>
      </c>
      <c r="B170" s="2965" t="s">
        <v>3175</v>
      </c>
      <c r="C170" s="2982"/>
      <c r="D170" s="2982"/>
      <c r="E170" s="2982"/>
      <c r="F170" s="2966">
        <v>0.05</v>
      </c>
      <c r="G170" s="2978"/>
    </row>
    <row r="171" spans="1:7">
      <c r="A171" s="2976" t="s">
        <v>29</v>
      </c>
      <c r="B171" s="2965" t="s">
        <v>3176</v>
      </c>
      <c r="C171" s="2982"/>
      <c r="D171" s="2982"/>
      <c r="E171" s="2982"/>
      <c r="F171" s="2966">
        <v>0.05</v>
      </c>
      <c r="G171" s="2983"/>
    </row>
    <row r="172" spans="1:7">
      <c r="A172" s="2976" t="s">
        <v>29</v>
      </c>
      <c r="B172" s="2965" t="s">
        <v>3177</v>
      </c>
      <c r="C172" s="2982"/>
      <c r="D172" s="2982"/>
      <c r="E172" s="2982"/>
      <c r="F172" s="2966">
        <v>0.05</v>
      </c>
      <c r="G172" s="2983"/>
    </row>
    <row r="173" spans="1:7">
      <c r="A173" s="2976" t="s">
        <v>29</v>
      </c>
      <c r="B173" s="2965" t="s">
        <v>3178</v>
      </c>
      <c r="C173" s="2982"/>
      <c r="D173" s="2982"/>
      <c r="E173" s="2982"/>
      <c r="F173" s="2966">
        <v>0.05</v>
      </c>
      <c r="G173" s="2978"/>
    </row>
    <row r="174" spans="1:7">
      <c r="A174" s="2976" t="s">
        <v>29</v>
      </c>
      <c r="B174" s="2965" t="s">
        <v>3179</v>
      </c>
      <c r="C174" s="2982"/>
      <c r="D174" s="2982"/>
      <c r="E174" s="2982"/>
      <c r="F174" s="2966">
        <v>0.05</v>
      </c>
      <c r="G174" s="2978"/>
    </row>
    <row r="175" spans="1:7">
      <c r="A175" s="2976" t="s">
        <v>29</v>
      </c>
      <c r="B175" s="2965" t="s">
        <v>3180</v>
      </c>
      <c r="C175" s="2982"/>
      <c r="D175" s="2982"/>
      <c r="E175" s="2982"/>
      <c r="F175" s="2966">
        <v>0.05</v>
      </c>
      <c r="G175" s="2978"/>
    </row>
    <row r="176" spans="1:7">
      <c r="A176" s="2976" t="s">
        <v>29</v>
      </c>
      <c r="B176" s="2965" t="s">
        <v>3181</v>
      </c>
      <c r="C176" s="2982"/>
      <c r="D176" s="2982"/>
      <c r="E176" s="2982"/>
      <c r="F176" s="2966">
        <v>0.05</v>
      </c>
      <c r="G176" s="2978"/>
    </row>
    <row r="177" spans="1:7">
      <c r="A177" s="2976" t="s">
        <v>29</v>
      </c>
      <c r="B177" s="2965" t="s">
        <v>3182</v>
      </c>
      <c r="C177" s="2977"/>
      <c r="D177" s="2977"/>
      <c r="E177" s="2977"/>
      <c r="F177" s="2966">
        <v>0.05</v>
      </c>
      <c r="G177" s="2983"/>
    </row>
    <row r="178" spans="1:7">
      <c r="A178" s="2976" t="s">
        <v>29</v>
      </c>
      <c r="B178" s="2965" t="s">
        <v>3183</v>
      </c>
      <c r="C178" s="2977"/>
      <c r="D178" s="2977"/>
      <c r="E178" s="2977"/>
      <c r="F178" s="2966">
        <v>0.05</v>
      </c>
      <c r="G178" s="2983"/>
    </row>
    <row r="179" spans="1:7">
      <c r="A179" s="2976" t="s">
        <v>29</v>
      </c>
      <c r="B179" s="2965" t="s">
        <v>3184</v>
      </c>
      <c r="C179" s="2977"/>
      <c r="D179" s="2977"/>
      <c r="E179" s="2977"/>
      <c r="F179" s="2966">
        <v>0.05</v>
      </c>
      <c r="G179" s="2983"/>
    </row>
    <row r="180" spans="1:7">
      <c r="A180" s="2976" t="s">
        <v>29</v>
      </c>
      <c r="B180" s="2965" t="s">
        <v>3185</v>
      </c>
      <c r="C180" s="2977"/>
      <c r="D180" s="2977"/>
      <c r="E180" s="2977"/>
      <c r="F180" s="2966">
        <v>0.05</v>
      </c>
      <c r="G180" s="2983"/>
    </row>
    <row r="181" spans="1:7">
      <c r="A181" s="2976" t="s">
        <v>29</v>
      </c>
      <c r="B181" s="2965" t="s">
        <v>3186</v>
      </c>
      <c r="C181" s="2977"/>
      <c r="D181" s="2977"/>
      <c r="E181" s="2977"/>
      <c r="F181" s="2966">
        <v>0.05</v>
      </c>
      <c r="G181" s="2983"/>
    </row>
    <row r="182" spans="1:7">
      <c r="A182" s="2976" t="s">
        <v>29</v>
      </c>
      <c r="B182" s="2965" t="s">
        <v>3187</v>
      </c>
      <c r="C182" s="2977"/>
      <c r="D182" s="2977"/>
      <c r="E182" s="2977"/>
      <c r="F182" s="2966">
        <v>0.05</v>
      </c>
      <c r="G182" s="2983"/>
    </row>
    <row r="183" spans="1:7">
      <c r="A183" s="2976" t="s">
        <v>29</v>
      </c>
      <c r="B183" s="2965" t="s">
        <v>3188</v>
      </c>
      <c r="C183" s="2977"/>
      <c r="D183" s="2977"/>
      <c r="E183" s="2977"/>
      <c r="F183" s="2966">
        <v>0.05</v>
      </c>
      <c r="G183" s="2983"/>
    </row>
    <row r="184" spans="1:7">
      <c r="A184" s="2976" t="s">
        <v>29</v>
      </c>
      <c r="B184" s="2965" t="s">
        <v>3189</v>
      </c>
      <c r="C184" s="2977"/>
      <c r="D184" s="2977"/>
      <c r="E184" s="2977"/>
      <c r="F184" s="2966">
        <v>0.05</v>
      </c>
      <c r="G184" s="2983"/>
    </row>
    <row r="185" spans="1:7">
      <c r="A185" s="2976" t="s">
        <v>29</v>
      </c>
      <c r="B185" s="2965" t="s">
        <v>3190</v>
      </c>
      <c r="C185" s="2977"/>
      <c r="D185" s="2977"/>
      <c r="E185" s="2977"/>
      <c r="F185" s="2966">
        <v>0.05</v>
      </c>
      <c r="G185" s="2983"/>
    </row>
    <row r="186" spans="1:7">
      <c r="A186" s="2976" t="s">
        <v>29</v>
      </c>
      <c r="B186" s="2965" t="s">
        <v>3191</v>
      </c>
      <c r="C186" s="2977"/>
      <c r="D186" s="2977"/>
      <c r="E186" s="2977"/>
      <c r="F186" s="2966">
        <v>0.05</v>
      </c>
      <c r="G186" s="2983"/>
    </row>
    <row r="187" spans="1:7">
      <c r="A187" s="2976" t="s">
        <v>29</v>
      </c>
      <c r="B187" s="2965" t="s">
        <v>3192</v>
      </c>
      <c r="C187" s="2977"/>
      <c r="D187" s="2977"/>
      <c r="E187" s="2977"/>
      <c r="F187" s="2966">
        <v>0.05</v>
      </c>
      <c r="G187" s="2983"/>
    </row>
    <row r="188" spans="1:7">
      <c r="A188" s="2976" t="s">
        <v>29</v>
      </c>
      <c r="B188" s="2965" t="s">
        <v>3193</v>
      </c>
      <c r="C188" s="2977"/>
      <c r="D188" s="2977"/>
      <c r="E188" s="2977"/>
      <c r="F188" s="2966">
        <v>0.05</v>
      </c>
      <c r="G188" s="2983"/>
    </row>
    <row r="189" spans="1:7" ht="14.25" thickBot="1">
      <c r="A189" s="2979" t="s">
        <v>29</v>
      </c>
      <c r="B189" s="2969" t="s">
        <v>3194</v>
      </c>
      <c r="C189" s="2971"/>
      <c r="D189" s="2971"/>
      <c r="E189" s="2971"/>
      <c r="F189" s="2970">
        <v>0.05</v>
      </c>
      <c r="G189" s="2984"/>
    </row>
    <row r="190" spans="1:7">
      <c r="A190" s="2975" t="s">
        <v>304</v>
      </c>
      <c r="B190" s="2961" t="s">
        <v>2850</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2886</v>
      </c>
      <c r="C199" s="2966">
        <v>0.13</v>
      </c>
      <c r="D199" s="2966">
        <v>0.13</v>
      </c>
      <c r="E199" s="2966">
        <v>0.13</v>
      </c>
      <c r="F199" s="2966">
        <v>0.13</v>
      </c>
      <c r="G199" s="2967">
        <v>0.13</v>
      </c>
    </row>
    <row r="200" spans="1:7">
      <c r="A200" s="2976" t="s">
        <v>304</v>
      </c>
      <c r="B200" s="2965" t="s">
        <v>2889</v>
      </c>
      <c r="C200" s="2982"/>
      <c r="D200" s="2982"/>
      <c r="E200" s="2982"/>
      <c r="F200" s="2966">
        <v>0.13</v>
      </c>
      <c r="G200" s="2978"/>
    </row>
    <row r="201" spans="1:7">
      <c r="A201" s="2976" t="s">
        <v>304</v>
      </c>
      <c r="B201" s="2965" t="s">
        <v>2894</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2897</v>
      </c>
      <c r="C203" s="2966">
        <v>0.129</v>
      </c>
      <c r="D203" s="2966">
        <v>0.129</v>
      </c>
      <c r="E203" s="2966">
        <v>0.13</v>
      </c>
      <c r="F203" s="2966">
        <v>0.13</v>
      </c>
      <c r="G203" s="2967">
        <v>0.13</v>
      </c>
    </row>
    <row r="204" spans="1:7">
      <c r="A204" s="2976" t="s">
        <v>304</v>
      </c>
      <c r="B204" s="2965" t="s">
        <v>2900</v>
      </c>
      <c r="C204" s="2966">
        <v>0.129</v>
      </c>
      <c r="D204" s="2966">
        <v>0.129</v>
      </c>
      <c r="E204" s="2966">
        <v>0.123</v>
      </c>
      <c r="F204" s="2966">
        <v>0.13</v>
      </c>
      <c r="G204" s="2967">
        <v>0.13</v>
      </c>
    </row>
    <row r="205" spans="1:7">
      <c r="A205" s="2976" t="s">
        <v>304</v>
      </c>
      <c r="B205" s="2965" t="s">
        <v>2902</v>
      </c>
      <c r="C205" s="2966">
        <v>0.13</v>
      </c>
      <c r="D205" s="2966">
        <v>0.13</v>
      </c>
      <c r="E205" s="2966">
        <v>0.13</v>
      </c>
      <c r="F205" s="2966">
        <v>0.13</v>
      </c>
      <c r="G205" s="2967">
        <v>0.13</v>
      </c>
    </row>
    <row r="206" spans="1:7">
      <c r="A206" s="2976" t="s">
        <v>304</v>
      </c>
      <c r="B206" s="2965" t="s">
        <v>2905</v>
      </c>
      <c r="C206" s="2966">
        <v>0.13</v>
      </c>
      <c r="D206" s="2966">
        <v>0.13</v>
      </c>
      <c r="E206" s="2966">
        <v>0.13</v>
      </c>
      <c r="F206" s="2966">
        <v>0.128</v>
      </c>
      <c r="G206" s="2967">
        <v>0.13</v>
      </c>
    </row>
    <row r="207" spans="1:7">
      <c r="A207" s="2976" t="s">
        <v>304</v>
      </c>
      <c r="B207" s="2965" t="s">
        <v>2907</v>
      </c>
      <c r="C207" s="2966">
        <v>0.13</v>
      </c>
      <c r="D207" s="2966">
        <v>0.13</v>
      </c>
      <c r="E207" s="2966">
        <v>0.13</v>
      </c>
      <c r="F207" s="2966">
        <v>0.13</v>
      </c>
      <c r="G207" s="2967">
        <v>0.13</v>
      </c>
    </row>
    <row r="208" spans="1:7">
      <c r="A208" s="2976" t="s">
        <v>304</v>
      </c>
      <c r="B208" s="2965" t="s">
        <v>2910</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2917</v>
      </c>
      <c r="C210" s="2966">
        <v>0.121</v>
      </c>
      <c r="D210" s="2966">
        <v>0.121</v>
      </c>
      <c r="E210" s="2966">
        <v>0.125</v>
      </c>
      <c r="F210" s="2966">
        <v>0.13</v>
      </c>
      <c r="G210" s="2967">
        <v>0.123</v>
      </c>
    </row>
    <row r="211" spans="1:7">
      <c r="A211" s="2976" t="s">
        <v>304</v>
      </c>
      <c r="B211" s="2965" t="s">
        <v>2920</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2932</v>
      </c>
      <c r="C214" s="2966">
        <v>0.128</v>
      </c>
      <c r="D214" s="2966">
        <v>0.128</v>
      </c>
      <c r="E214" s="2966">
        <v>0.13</v>
      </c>
      <c r="F214" s="2966">
        <v>0.13</v>
      </c>
      <c r="G214" s="2967">
        <v>0.13</v>
      </c>
    </row>
    <row r="215" spans="1:7">
      <c r="A215" s="2976" t="s">
        <v>304</v>
      </c>
      <c r="B215" s="2965" t="s">
        <v>2936</v>
      </c>
      <c r="C215" s="2966">
        <v>0.13</v>
      </c>
      <c r="D215" s="2966">
        <v>0.13</v>
      </c>
      <c r="E215" s="2966">
        <v>0.13</v>
      </c>
      <c r="F215" s="2966">
        <v>0.129</v>
      </c>
      <c r="G215" s="2967">
        <v>0.13</v>
      </c>
    </row>
    <row r="216" spans="1:7">
      <c r="A216" s="2976" t="s">
        <v>304</v>
      </c>
      <c r="B216" s="2965" t="s">
        <v>2943</v>
      </c>
      <c r="C216" s="2966">
        <v>0.13</v>
      </c>
      <c r="D216" s="2966">
        <v>0.13</v>
      </c>
      <c r="E216" s="2966">
        <v>0.13</v>
      </c>
      <c r="F216" s="2966">
        <v>0.13</v>
      </c>
      <c r="G216" s="2967">
        <v>0.13</v>
      </c>
    </row>
    <row r="217" spans="1:7">
      <c r="A217" s="2976" t="s">
        <v>304</v>
      </c>
      <c r="B217" s="2965" t="s">
        <v>2950</v>
      </c>
      <c r="C217" s="2966">
        <v>0.129</v>
      </c>
      <c r="D217" s="2966">
        <v>0.129</v>
      </c>
      <c r="E217" s="2966">
        <v>0.13</v>
      </c>
      <c r="F217" s="2966">
        <v>0.13</v>
      </c>
      <c r="G217" s="2967">
        <v>0.13</v>
      </c>
    </row>
    <row r="218" spans="1:7">
      <c r="A218" s="2976" t="s">
        <v>304</v>
      </c>
      <c r="B218" s="2965" t="s">
        <v>2956</v>
      </c>
      <c r="C218" s="2977"/>
      <c r="D218" s="2977"/>
      <c r="E218" s="2977"/>
      <c r="F218" s="2966">
        <v>0.05</v>
      </c>
      <c r="G218" s="2983"/>
    </row>
    <row r="219" spans="1:7">
      <c r="A219" s="2976" t="s">
        <v>304</v>
      </c>
      <c r="B219" s="2965" t="s">
        <v>2963</v>
      </c>
      <c r="C219" s="2977"/>
      <c r="D219" s="2977"/>
      <c r="E219" s="2977"/>
      <c r="F219" s="2966">
        <v>0.05</v>
      </c>
      <c r="G219" s="2983"/>
    </row>
    <row r="220" spans="1:7">
      <c r="A220" s="2976" t="s">
        <v>304</v>
      </c>
      <c r="B220" s="2965" t="s">
        <v>2969</v>
      </c>
      <c r="C220" s="2977"/>
      <c r="D220" s="2977"/>
      <c r="E220" s="2977"/>
      <c r="F220" s="2966">
        <v>0.05</v>
      </c>
      <c r="G220" s="2983"/>
    </row>
    <row r="221" spans="1:7">
      <c r="A221" s="2976" t="s">
        <v>304</v>
      </c>
      <c r="B221" s="2965" t="s">
        <v>2974</v>
      </c>
      <c r="C221" s="2977"/>
      <c r="D221" s="2977"/>
      <c r="E221" s="2977"/>
      <c r="F221" s="2966">
        <v>0.05</v>
      </c>
      <c r="G221" s="2983"/>
    </row>
    <row r="222" spans="1:7">
      <c r="A222" s="2976" t="s">
        <v>304</v>
      </c>
      <c r="B222" s="2965" t="s">
        <v>2978</v>
      </c>
      <c r="C222" s="2977"/>
      <c r="D222" s="2977"/>
      <c r="E222" s="2977"/>
      <c r="F222" s="2966">
        <v>0.05</v>
      </c>
      <c r="G222" s="2983"/>
    </row>
    <row r="223" spans="1:7">
      <c r="A223" s="2976" t="s">
        <v>304</v>
      </c>
      <c r="B223" s="2965" t="s">
        <v>2983</v>
      </c>
      <c r="C223" s="2977"/>
      <c r="D223" s="2977"/>
      <c r="E223" s="2977"/>
      <c r="F223" s="2966">
        <v>0.05</v>
      </c>
      <c r="G223" s="2983"/>
    </row>
    <row r="224" spans="1:7">
      <c r="A224" s="2976" t="s">
        <v>304</v>
      </c>
      <c r="B224" s="2965" t="s">
        <v>2988</v>
      </c>
      <c r="C224" s="2977"/>
      <c r="D224" s="2977"/>
      <c r="E224" s="2977"/>
      <c r="F224" s="2966">
        <v>0.05</v>
      </c>
      <c r="G224" s="2983"/>
    </row>
    <row r="225" spans="1:7">
      <c r="A225" s="2976" t="s">
        <v>304</v>
      </c>
      <c r="B225" s="2965" t="s">
        <v>2993</v>
      </c>
      <c r="C225" s="2977"/>
      <c r="D225" s="2977"/>
      <c r="E225" s="2977"/>
      <c r="F225" s="2966">
        <v>0.05</v>
      </c>
      <c r="G225" s="2983"/>
    </row>
    <row r="226" spans="1:7">
      <c r="A226" s="2976" t="s">
        <v>304</v>
      </c>
      <c r="B226" s="2965" t="s">
        <v>3195</v>
      </c>
      <c r="C226" s="2977"/>
      <c r="D226" s="2977"/>
      <c r="E226" s="2977"/>
      <c r="F226" s="2966">
        <v>0.05</v>
      </c>
      <c r="G226" s="2983"/>
    </row>
    <row r="227" spans="1:7">
      <c r="A227" s="2976" t="s">
        <v>304</v>
      </c>
      <c r="B227" s="2965" t="s">
        <v>3196</v>
      </c>
      <c r="C227" s="2977"/>
      <c r="D227" s="2977"/>
      <c r="E227" s="2977"/>
      <c r="F227" s="2966">
        <v>0.05</v>
      </c>
      <c r="G227" s="2983"/>
    </row>
    <row r="228" spans="1:7">
      <c r="A228" s="2976" t="s">
        <v>304</v>
      </c>
      <c r="B228" s="2965" t="s">
        <v>3197</v>
      </c>
      <c r="C228" s="2977"/>
      <c r="D228" s="2977"/>
      <c r="E228" s="2977"/>
      <c r="F228" s="2966">
        <v>0.05</v>
      </c>
      <c r="G228" s="2983"/>
    </row>
    <row r="229" spans="1:7">
      <c r="A229" s="2976" t="s">
        <v>304</v>
      </c>
      <c r="B229" s="2965" t="s">
        <v>3198</v>
      </c>
      <c r="C229" s="2977"/>
      <c r="D229" s="2977"/>
      <c r="E229" s="2977"/>
      <c r="F229" s="2966">
        <v>0.05</v>
      </c>
      <c r="G229" s="2983"/>
    </row>
    <row r="230" spans="1:7">
      <c r="A230" s="2976" t="s">
        <v>304</v>
      </c>
      <c r="B230" s="2965" t="s">
        <v>3199</v>
      </c>
      <c r="C230" s="2977"/>
      <c r="D230" s="2977"/>
      <c r="E230" s="2977"/>
      <c r="F230" s="2966">
        <v>0.05</v>
      </c>
      <c r="G230" s="2983"/>
    </row>
    <row r="231" spans="1:7">
      <c r="A231" s="2976" t="s">
        <v>304</v>
      </c>
      <c r="B231" s="2965" t="s">
        <v>3200</v>
      </c>
      <c r="C231" s="2977"/>
      <c r="D231" s="2977"/>
      <c r="E231" s="2977"/>
      <c r="F231" s="2966">
        <v>0.05</v>
      </c>
      <c r="G231" s="2983"/>
    </row>
    <row r="232" spans="1:7">
      <c r="A232" s="2976" t="s">
        <v>304</v>
      </c>
      <c r="B232" s="2965" t="s">
        <v>3201</v>
      </c>
      <c r="C232" s="2977"/>
      <c r="D232" s="2977"/>
      <c r="E232" s="2977"/>
      <c r="F232" s="2966">
        <v>0.05</v>
      </c>
      <c r="G232" s="2983"/>
    </row>
    <row r="233" spans="1:7" ht="14.25" thickBot="1">
      <c r="A233" s="2979" t="s">
        <v>304</v>
      </c>
      <c r="B233" s="2969" t="s">
        <v>3202</v>
      </c>
      <c r="C233" s="2971"/>
      <c r="D233" s="2971"/>
      <c r="E233" s="2971"/>
      <c r="F233" s="2970">
        <v>0.05</v>
      </c>
      <c r="G233" s="2984"/>
    </row>
    <row r="234" spans="1:7">
      <c r="A234" s="2975" t="s">
        <v>305</v>
      </c>
      <c r="B234" s="2961" t="s">
        <v>2851</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2871</v>
      </c>
      <c r="C238" s="2966">
        <v>0.14899999999999999</v>
      </c>
      <c r="D238" s="2966">
        <v>0.14899999999999999</v>
      </c>
      <c r="E238" s="2966">
        <v>0.15</v>
      </c>
      <c r="F238" s="2966">
        <v>0.15</v>
      </c>
      <c r="G238" s="2967">
        <v>0.15</v>
      </c>
    </row>
    <row r="239" spans="1:7">
      <c r="A239" s="2976" t="s">
        <v>305</v>
      </c>
      <c r="B239" s="2965" t="s">
        <v>2875</v>
      </c>
      <c r="C239" s="2966">
        <v>0.15</v>
      </c>
      <c r="D239" s="2966">
        <v>0.15</v>
      </c>
      <c r="E239" s="2966">
        <v>0.15</v>
      </c>
      <c r="F239" s="2966">
        <v>0.15</v>
      </c>
      <c r="G239" s="2967">
        <v>0.15</v>
      </c>
    </row>
    <row r="240" spans="1:7">
      <c r="A240" s="2976" t="s">
        <v>305</v>
      </c>
      <c r="B240" s="2965" t="s">
        <v>2880</v>
      </c>
      <c r="C240" s="2966">
        <v>0.15</v>
      </c>
      <c r="D240" s="2966">
        <v>0.15</v>
      </c>
      <c r="E240" s="2966">
        <v>0.15</v>
      </c>
      <c r="F240" s="2966">
        <v>0.15</v>
      </c>
      <c r="G240" s="2967">
        <v>0.15</v>
      </c>
    </row>
    <row r="241" spans="1:7">
      <c r="A241" s="2976" t="s">
        <v>305</v>
      </c>
      <c r="B241" s="2965" t="s">
        <v>2884</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2890</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2898</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2903</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2911</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2924</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2933</v>
      </c>
      <c r="C258" s="2966">
        <v>0.14299999999999999</v>
      </c>
      <c r="D258" s="2966">
        <v>0.14299999999999999</v>
      </c>
      <c r="E258" s="2966">
        <v>0.15</v>
      </c>
      <c r="F258" s="2966">
        <v>0.14799999999999999</v>
      </c>
      <c r="G258" s="2967">
        <v>0.14599999999999999</v>
      </c>
    </row>
    <row r="259" spans="1:7">
      <c r="A259" s="2976" t="s">
        <v>305</v>
      </c>
      <c r="B259" s="2965" t="s">
        <v>2937</v>
      </c>
      <c r="C259" s="2966">
        <v>0.14399999999999999</v>
      </c>
      <c r="D259" s="2966">
        <v>0.14399999999999999</v>
      </c>
      <c r="E259" s="2966">
        <v>0.14899999999999999</v>
      </c>
      <c r="F259" s="2966">
        <v>0.14699999999999999</v>
      </c>
      <c r="G259" s="2967">
        <v>0.14599999999999999</v>
      </c>
    </row>
    <row r="260" spans="1:7">
      <c r="A260" s="2976" t="s">
        <v>305</v>
      </c>
      <c r="B260" s="2965" t="s">
        <v>2944</v>
      </c>
      <c r="C260" s="2966">
        <v>0.109</v>
      </c>
      <c r="D260" s="2966">
        <v>0.111</v>
      </c>
      <c r="E260" s="2966">
        <v>0.13100000000000001</v>
      </c>
      <c r="F260" s="2966">
        <v>0.126</v>
      </c>
      <c r="G260" s="2967">
        <v>0.11899999999999999</v>
      </c>
    </row>
    <row r="261" spans="1:7">
      <c r="A261" s="2976" t="s">
        <v>305</v>
      </c>
      <c r="B261" s="2965" t="s">
        <v>2951</v>
      </c>
      <c r="C261" s="2966">
        <v>0.1</v>
      </c>
      <c r="D261" s="2966">
        <v>0.1</v>
      </c>
      <c r="E261" s="2966">
        <v>0.11799999999999999</v>
      </c>
      <c r="F261" s="2966">
        <v>0.108</v>
      </c>
      <c r="G261" s="2967">
        <v>0.107</v>
      </c>
    </row>
    <row r="262" spans="1:7">
      <c r="A262" s="2976" t="s">
        <v>305</v>
      </c>
      <c r="B262" s="2965" t="s">
        <v>2957</v>
      </c>
      <c r="C262" s="2966">
        <v>0.1</v>
      </c>
      <c r="D262" s="2966">
        <v>0.1</v>
      </c>
      <c r="E262" s="2966">
        <v>0.1</v>
      </c>
      <c r="F262" s="2966">
        <v>0.14099999999999999</v>
      </c>
      <c r="G262" s="2967">
        <v>0.1</v>
      </c>
    </row>
    <row r="263" spans="1:7">
      <c r="A263" s="2976" t="s">
        <v>305</v>
      </c>
      <c r="B263" s="2965" t="s">
        <v>2964</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2975</v>
      </c>
      <c r="C265" s="2977"/>
      <c r="D265" s="2977"/>
      <c r="E265" s="2977"/>
      <c r="F265" s="2966">
        <v>0.05</v>
      </c>
      <c r="G265" s="2983"/>
    </row>
    <row r="266" spans="1:7">
      <c r="A266" s="2976" t="s">
        <v>305</v>
      </c>
      <c r="B266" s="2965" t="s">
        <v>2979</v>
      </c>
      <c r="C266" s="2977"/>
      <c r="D266" s="2977"/>
      <c r="E266" s="2977"/>
      <c r="F266" s="2966">
        <v>0.05</v>
      </c>
      <c r="G266" s="2983"/>
    </row>
    <row r="267" spans="1:7">
      <c r="A267" s="2976" t="s">
        <v>305</v>
      </c>
      <c r="B267" s="2965" t="s">
        <v>2984</v>
      </c>
      <c r="C267" s="2977"/>
      <c r="D267" s="2977"/>
      <c r="E267" s="2977"/>
      <c r="F267" s="2966">
        <v>0.05</v>
      </c>
      <c r="G267" s="2983"/>
    </row>
    <row r="268" spans="1:7">
      <c r="A268" s="2976" t="s">
        <v>305</v>
      </c>
      <c r="B268" s="2965" t="s">
        <v>2989</v>
      </c>
      <c r="C268" s="2977"/>
      <c r="D268" s="2977"/>
      <c r="E268" s="2977"/>
      <c r="F268" s="2966">
        <v>0.05</v>
      </c>
      <c r="G268" s="2983"/>
    </row>
    <row r="269" spans="1:7">
      <c r="A269" s="2976" t="s">
        <v>305</v>
      </c>
      <c r="B269" s="2965" t="s">
        <v>2994</v>
      </c>
      <c r="C269" s="2977"/>
      <c r="D269" s="2977"/>
      <c r="E269" s="2977"/>
      <c r="F269" s="2966">
        <v>0.05</v>
      </c>
      <c r="G269" s="2983"/>
    </row>
    <row r="270" spans="1:7">
      <c r="A270" s="2976" t="s">
        <v>305</v>
      </c>
      <c r="B270" s="2965" t="s">
        <v>2999</v>
      </c>
      <c r="C270" s="2977"/>
      <c r="D270" s="2977"/>
      <c r="E270" s="2977"/>
      <c r="F270" s="2966">
        <v>0.05</v>
      </c>
      <c r="G270" s="2983"/>
    </row>
    <row r="271" spans="1:7">
      <c r="A271" s="2976" t="s">
        <v>305</v>
      </c>
      <c r="B271" s="2965" t="s">
        <v>3203</v>
      </c>
      <c r="C271" s="2977"/>
      <c r="D271" s="2977"/>
      <c r="E271" s="2977"/>
      <c r="F271" s="2966">
        <v>0.05</v>
      </c>
      <c r="G271" s="2983"/>
    </row>
    <row r="272" spans="1:7">
      <c r="A272" s="2976" t="s">
        <v>305</v>
      </c>
      <c r="B272" s="2965" t="s">
        <v>3204</v>
      </c>
      <c r="C272" s="2977"/>
      <c r="D272" s="2977"/>
      <c r="E272" s="2977"/>
      <c r="F272" s="2966">
        <v>0.05</v>
      </c>
      <c r="G272" s="2983"/>
    </row>
    <row r="273" spans="1:7">
      <c r="A273" s="2976" t="s">
        <v>305</v>
      </c>
      <c r="B273" s="2965" t="s">
        <v>3205</v>
      </c>
      <c r="C273" s="2977"/>
      <c r="D273" s="2977"/>
      <c r="E273" s="2977"/>
      <c r="F273" s="2966">
        <v>0.05</v>
      </c>
      <c r="G273" s="2983"/>
    </row>
    <row r="274" spans="1:7">
      <c r="A274" s="2976" t="s">
        <v>305</v>
      </c>
      <c r="B274" s="2965" t="s">
        <v>3206</v>
      </c>
      <c r="C274" s="2977"/>
      <c r="D274" s="2977"/>
      <c r="E274" s="2977"/>
      <c r="F274" s="2966">
        <v>0.05</v>
      </c>
      <c r="G274" s="2983"/>
    </row>
    <row r="275" spans="1:7">
      <c r="A275" s="2976" t="s">
        <v>305</v>
      </c>
      <c r="B275" s="2965" t="s">
        <v>3207</v>
      </c>
      <c r="C275" s="2977"/>
      <c r="D275" s="2977"/>
      <c r="E275" s="2977"/>
      <c r="F275" s="2966">
        <v>0.05</v>
      </c>
      <c r="G275" s="2983"/>
    </row>
    <row r="276" spans="1:7" ht="14.25" thickBot="1">
      <c r="A276" s="2979" t="s">
        <v>305</v>
      </c>
      <c r="B276" s="2969" t="s">
        <v>3208</v>
      </c>
      <c r="C276" s="2971"/>
      <c r="D276" s="2971"/>
      <c r="E276" s="2971"/>
      <c r="F276" s="2970">
        <v>0.05</v>
      </c>
      <c r="G276" s="2984"/>
    </row>
    <row r="277" spans="1:7">
      <c r="A277" s="2975" t="s">
        <v>306</v>
      </c>
      <c r="B277" s="2961" t="s">
        <v>2852</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2864</v>
      </c>
      <c r="C279" s="2966">
        <v>0.15</v>
      </c>
      <c r="D279" s="2966">
        <v>0.15</v>
      </c>
      <c r="E279" s="2966">
        <v>0.15</v>
      </c>
      <c r="F279" s="2966">
        <v>0.15</v>
      </c>
      <c r="G279" s="2967">
        <v>0.15</v>
      </c>
    </row>
    <row r="280" spans="1:7">
      <c r="A280" s="2976" t="s">
        <v>306</v>
      </c>
      <c r="B280" s="2965" t="s">
        <v>2868</v>
      </c>
      <c r="C280" s="2966">
        <v>0.15</v>
      </c>
      <c r="D280" s="2966">
        <v>0.15</v>
      </c>
      <c r="E280" s="2966">
        <v>0.15</v>
      </c>
      <c r="F280" s="2966">
        <v>0.15</v>
      </c>
      <c r="G280" s="2967">
        <v>0.15</v>
      </c>
    </row>
    <row r="281" spans="1:7">
      <c r="A281" s="2976" t="s">
        <v>306</v>
      </c>
      <c r="B281" s="2965" t="s">
        <v>2872</v>
      </c>
      <c r="C281" s="2966">
        <v>0.15</v>
      </c>
      <c r="D281" s="2966">
        <v>0.15</v>
      </c>
      <c r="E281" s="2966">
        <v>0.15</v>
      </c>
      <c r="F281" s="2966">
        <v>0.15</v>
      </c>
      <c r="G281" s="2967">
        <v>0.15</v>
      </c>
    </row>
    <row r="282" spans="1:7">
      <c r="A282" s="2976" t="s">
        <v>306</v>
      </c>
      <c r="B282" s="2965" t="s">
        <v>2876</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2891</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2896</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2906</v>
      </c>
      <c r="C293" s="2966">
        <v>0.15</v>
      </c>
      <c r="D293" s="2966">
        <v>0.15</v>
      </c>
      <c r="E293" s="2966">
        <v>0.15</v>
      </c>
      <c r="F293" s="2966">
        <v>0.14499999999999999</v>
      </c>
      <c r="G293" s="2967">
        <v>0.15</v>
      </c>
    </row>
    <row r="294" spans="1:7">
      <c r="A294" s="2976" t="s">
        <v>306</v>
      </c>
      <c r="B294" s="2965" t="s">
        <v>2908</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2925</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2938</v>
      </c>
      <c r="C302" s="2966">
        <v>0.15</v>
      </c>
      <c r="D302" s="2966">
        <v>0.15</v>
      </c>
      <c r="E302" s="2966">
        <v>0.15</v>
      </c>
      <c r="F302" s="2966">
        <v>0.14699999999999999</v>
      </c>
      <c r="G302" s="2967">
        <v>0.15</v>
      </c>
    </row>
    <row r="303" spans="1:7">
      <c r="A303" s="2976" t="s">
        <v>306</v>
      </c>
      <c r="B303" s="2965" t="s">
        <v>2945</v>
      </c>
      <c r="C303" s="2966">
        <v>0.15</v>
      </c>
      <c r="D303" s="2966">
        <v>0.15</v>
      </c>
      <c r="E303" s="2966">
        <v>0.15</v>
      </c>
      <c r="F303" s="2966">
        <v>0.14199999999999999</v>
      </c>
      <c r="G303" s="2967">
        <v>0.15</v>
      </c>
    </row>
    <row r="304" spans="1:7">
      <c r="A304" s="2976" t="s">
        <v>306</v>
      </c>
      <c r="B304" s="2965" t="s">
        <v>2952</v>
      </c>
      <c r="C304" s="2966">
        <v>0.15</v>
      </c>
      <c r="D304" s="2966">
        <v>0.15</v>
      </c>
      <c r="E304" s="2966">
        <v>0.15</v>
      </c>
      <c r="F304" s="2966">
        <v>0.14499999999999999</v>
      </c>
      <c r="G304" s="2967">
        <v>0.15</v>
      </c>
    </row>
    <row r="305" spans="1:7">
      <c r="A305" s="2976" t="s">
        <v>306</v>
      </c>
      <c r="B305" s="2965" t="s">
        <v>2958</v>
      </c>
      <c r="C305" s="2966">
        <v>0.15</v>
      </c>
      <c r="D305" s="2966">
        <v>0.15</v>
      </c>
      <c r="E305" s="2966">
        <v>0.15</v>
      </c>
      <c r="F305" s="2966">
        <v>0.111</v>
      </c>
      <c r="G305" s="2967">
        <v>0.15</v>
      </c>
    </row>
    <row r="306" spans="1:7">
      <c r="A306" s="2976" t="s">
        <v>306</v>
      </c>
      <c r="B306" s="2965" t="s">
        <v>2965</v>
      </c>
      <c r="C306" s="2966">
        <v>0.15</v>
      </c>
      <c r="D306" s="2966">
        <v>0.15</v>
      </c>
      <c r="E306" s="2966">
        <v>0.15</v>
      </c>
      <c r="F306" s="2966">
        <v>0.126</v>
      </c>
      <c r="G306" s="2967">
        <v>0.15</v>
      </c>
    </row>
    <row r="307" spans="1:7">
      <c r="A307" s="2976" t="s">
        <v>306</v>
      </c>
      <c r="B307" s="2965" t="s">
        <v>2970</v>
      </c>
      <c r="C307" s="2966">
        <v>0.15</v>
      </c>
      <c r="D307" s="2966">
        <v>0.15</v>
      </c>
      <c r="E307" s="2966">
        <v>0.15</v>
      </c>
      <c r="F307" s="2966">
        <v>0.12</v>
      </c>
      <c r="G307" s="2967">
        <v>0.15</v>
      </c>
    </row>
    <row r="308" spans="1:7">
      <c r="A308" s="2976" t="s">
        <v>306</v>
      </c>
      <c r="B308" s="2965" t="s">
        <v>2976</v>
      </c>
      <c r="C308" s="2966">
        <v>0.15</v>
      </c>
      <c r="D308" s="2966">
        <v>0.15</v>
      </c>
      <c r="E308" s="2966">
        <v>0.15</v>
      </c>
      <c r="F308" s="2966">
        <v>0.13</v>
      </c>
      <c r="G308" s="2967">
        <v>0.15</v>
      </c>
    </row>
    <row r="309" spans="1:7">
      <c r="A309" s="2976" t="s">
        <v>306</v>
      </c>
      <c r="B309" s="2965" t="s">
        <v>2980</v>
      </c>
      <c r="C309" s="2966">
        <v>0.15</v>
      </c>
      <c r="D309" s="2966">
        <v>0.15</v>
      </c>
      <c r="E309" s="2966">
        <v>0.15</v>
      </c>
      <c r="F309" s="2966">
        <v>0.14099999999999999</v>
      </c>
      <c r="G309" s="2967">
        <v>0.15</v>
      </c>
    </row>
    <row r="310" spans="1:7">
      <c r="A310" s="2976" t="s">
        <v>306</v>
      </c>
      <c r="B310" s="2965" t="s">
        <v>2985</v>
      </c>
      <c r="C310" s="2966">
        <v>0.15</v>
      </c>
      <c r="D310" s="2966">
        <v>0.15</v>
      </c>
      <c r="E310" s="2966">
        <v>0.15</v>
      </c>
      <c r="F310" s="2966">
        <v>0.15</v>
      </c>
      <c r="G310" s="2967">
        <v>0.15</v>
      </c>
    </row>
    <row r="311" spans="1:7">
      <c r="A311" s="2976" t="s">
        <v>306</v>
      </c>
      <c r="B311" s="2965" t="s">
        <v>2990</v>
      </c>
      <c r="C311" s="2966">
        <v>0.13200000000000001</v>
      </c>
      <c r="D311" s="2966">
        <v>0.13300000000000001</v>
      </c>
      <c r="E311" s="2966">
        <v>0.14499999999999999</v>
      </c>
      <c r="F311" s="2966">
        <v>0.14199999999999999</v>
      </c>
      <c r="G311" s="2967">
        <v>0.14000000000000001</v>
      </c>
    </row>
    <row r="312" spans="1:7">
      <c r="A312" s="2976" t="s">
        <v>306</v>
      </c>
      <c r="B312" s="2965" t="s">
        <v>2995</v>
      </c>
      <c r="C312" s="2966">
        <v>0.13800000000000001</v>
      </c>
      <c r="D312" s="2966">
        <v>0.14000000000000001</v>
      </c>
      <c r="E312" s="2966">
        <v>0.14599999999999999</v>
      </c>
      <c r="F312" s="2966">
        <v>0.14899999999999999</v>
      </c>
      <c r="G312" s="2967">
        <v>0.14199999999999999</v>
      </c>
    </row>
    <row r="313" spans="1:7">
      <c r="A313" s="2976" t="s">
        <v>306</v>
      </c>
      <c r="B313" s="2965" t="s">
        <v>3000</v>
      </c>
      <c r="C313" s="2966">
        <v>0.125</v>
      </c>
      <c r="D313" s="2966">
        <v>0.127</v>
      </c>
      <c r="E313" s="2966">
        <v>0.14399999999999999</v>
      </c>
      <c r="F313" s="2966">
        <v>0.115</v>
      </c>
      <c r="G313" s="2967">
        <v>0.13600000000000001</v>
      </c>
    </row>
    <row r="314" spans="1:7">
      <c r="A314" s="2976" t="s">
        <v>306</v>
      </c>
      <c r="B314" s="2965" t="s">
        <v>3209</v>
      </c>
      <c r="C314" s="2982"/>
      <c r="D314" s="2982"/>
      <c r="E314" s="2982"/>
      <c r="F314" s="2966">
        <v>0.05</v>
      </c>
      <c r="G314" s="2983"/>
    </row>
    <row r="315" spans="1:7">
      <c r="A315" s="2976" t="s">
        <v>306</v>
      </c>
      <c r="B315" s="2965" t="s">
        <v>3210</v>
      </c>
      <c r="C315" s="2982"/>
      <c r="D315" s="2982"/>
      <c r="E315" s="2982"/>
      <c r="F315" s="2966">
        <v>0.05</v>
      </c>
      <c r="G315" s="2983"/>
    </row>
    <row r="316" spans="1:7">
      <c r="A316" s="2976" t="s">
        <v>306</v>
      </c>
      <c r="B316" s="2965" t="s">
        <v>3211</v>
      </c>
      <c r="C316" s="2977"/>
      <c r="D316" s="2977"/>
      <c r="E316" s="2977"/>
      <c r="F316" s="2966">
        <v>0.05</v>
      </c>
      <c r="G316" s="2983"/>
    </row>
    <row r="317" spans="1:7">
      <c r="A317" s="2976" t="s">
        <v>306</v>
      </c>
      <c r="B317" s="2965" t="s">
        <v>3212</v>
      </c>
      <c r="C317" s="2977"/>
      <c r="D317" s="2977"/>
      <c r="E317" s="2977"/>
      <c r="F317" s="2966">
        <v>0.05</v>
      </c>
      <c r="G317" s="2983"/>
    </row>
    <row r="318" spans="1:7">
      <c r="A318" s="2976" t="s">
        <v>306</v>
      </c>
      <c r="B318" s="2965" t="s">
        <v>3213</v>
      </c>
      <c r="C318" s="2977"/>
      <c r="D318" s="2977"/>
      <c r="E318" s="2977"/>
      <c r="F318" s="2966">
        <v>0.05</v>
      </c>
      <c r="G318" s="2983"/>
    </row>
    <row r="319" spans="1:7">
      <c r="A319" s="2976" t="s">
        <v>306</v>
      </c>
      <c r="B319" s="2965" t="s">
        <v>3214</v>
      </c>
      <c r="C319" s="2977"/>
      <c r="D319" s="2977"/>
      <c r="E319" s="2977"/>
      <c r="F319" s="2966">
        <v>0.05</v>
      </c>
      <c r="G319" s="2983"/>
    </row>
    <row r="320" spans="1:7">
      <c r="A320" s="2976" t="s">
        <v>306</v>
      </c>
      <c r="B320" s="2965" t="s">
        <v>3215</v>
      </c>
      <c r="C320" s="2977"/>
      <c r="D320" s="2977"/>
      <c r="E320" s="2977"/>
      <c r="F320" s="2966">
        <v>0.05</v>
      </c>
      <c r="G320" s="2983"/>
    </row>
    <row r="321" spans="1:7">
      <c r="A321" s="2976" t="s">
        <v>306</v>
      </c>
      <c r="B321" s="2965" t="s">
        <v>3216</v>
      </c>
      <c r="C321" s="2977"/>
      <c r="D321" s="2977"/>
      <c r="E321" s="2977"/>
      <c r="F321" s="2966">
        <v>0.05</v>
      </c>
      <c r="G321" s="2983"/>
    </row>
    <row r="322" spans="1:7">
      <c r="A322" s="2976" t="s">
        <v>306</v>
      </c>
      <c r="B322" s="2965" t="s">
        <v>3217</v>
      </c>
      <c r="C322" s="2977"/>
      <c r="D322" s="2977"/>
      <c r="E322" s="2977"/>
      <c r="F322" s="2966">
        <v>0.05</v>
      </c>
      <c r="G322" s="2983"/>
    </row>
    <row r="323" spans="1:7">
      <c r="A323" s="2976" t="s">
        <v>306</v>
      </c>
      <c r="B323" s="2965" t="s">
        <v>3218</v>
      </c>
      <c r="C323" s="2977"/>
      <c r="D323" s="2977"/>
      <c r="E323" s="2977"/>
      <c r="F323" s="2966">
        <v>0.05</v>
      </c>
      <c r="G323" s="2983"/>
    </row>
    <row r="324" spans="1:7">
      <c r="A324" s="2976" t="s">
        <v>306</v>
      </c>
      <c r="B324" s="2965" t="s">
        <v>3219</v>
      </c>
      <c r="C324" s="2977"/>
      <c r="D324" s="2977"/>
      <c r="E324" s="2977"/>
      <c r="F324" s="2966">
        <v>0.05</v>
      </c>
      <c r="G324" s="2983"/>
    </row>
    <row r="325" spans="1:7">
      <c r="A325" s="2976" t="s">
        <v>306</v>
      </c>
      <c r="B325" s="2965" t="s">
        <v>3220</v>
      </c>
      <c r="C325" s="2977"/>
      <c r="D325" s="2977"/>
      <c r="E325" s="2977"/>
      <c r="F325" s="2966">
        <v>0.05</v>
      </c>
      <c r="G325" s="2983"/>
    </row>
    <row r="326" spans="1:7" ht="14.25" thickBot="1">
      <c r="A326" s="2979" t="s">
        <v>306</v>
      </c>
      <c r="B326" s="2969" t="s">
        <v>3221</v>
      </c>
      <c r="C326" s="2971"/>
      <c r="D326" s="2971"/>
      <c r="E326" s="2971"/>
      <c r="F326" s="2970">
        <v>0.05</v>
      </c>
      <c r="G326" s="2984"/>
    </row>
    <row r="327" spans="1:7">
      <c r="A327" s="2975" t="s">
        <v>307</v>
      </c>
      <c r="B327" s="2961" t="s">
        <v>2853</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2865</v>
      </c>
      <c r="C329" s="2966">
        <v>0.15</v>
      </c>
      <c r="D329" s="2966">
        <v>0.15</v>
      </c>
      <c r="E329" s="2966">
        <v>0.15</v>
      </c>
      <c r="F329" s="2966">
        <v>0.15</v>
      </c>
      <c r="G329" s="2967">
        <v>0.15</v>
      </c>
    </row>
    <row r="330" spans="1:7">
      <c r="A330" s="2976" t="s">
        <v>307</v>
      </c>
      <c r="B330" s="2965" t="s">
        <v>2869</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2877</v>
      </c>
      <c r="C332" s="2966">
        <v>0.15</v>
      </c>
      <c r="D332" s="2966">
        <v>0.15</v>
      </c>
      <c r="E332" s="2966">
        <v>0.15</v>
      </c>
      <c r="F332" s="2966">
        <v>0.15</v>
      </c>
      <c r="G332" s="2967">
        <v>0.15</v>
      </c>
    </row>
    <row r="333" spans="1:7">
      <c r="A333" s="2976" t="s">
        <v>307</v>
      </c>
      <c r="B333" s="2965" t="s">
        <v>2881</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2887</v>
      </c>
      <c r="C336" s="2966">
        <v>0.15</v>
      </c>
      <c r="D336" s="2966">
        <v>0.15</v>
      </c>
      <c r="E336" s="2966">
        <v>0.15</v>
      </c>
      <c r="F336" s="2966">
        <v>0.14199999999999999</v>
      </c>
      <c r="G336" s="2967">
        <v>0.15</v>
      </c>
    </row>
    <row r="337" spans="1:7">
      <c r="A337" s="2976" t="s">
        <v>307</v>
      </c>
      <c r="B337" s="2965" t="s">
        <v>2892</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2899</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2904</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2912</v>
      </c>
      <c r="C345" s="2966">
        <v>0.15</v>
      </c>
      <c r="D345" s="2966">
        <v>0.15</v>
      </c>
      <c r="E345" s="2966">
        <v>0.15</v>
      </c>
      <c r="F345" s="2966">
        <v>0.13800000000000001</v>
      </c>
      <c r="G345" s="2967">
        <v>0.15</v>
      </c>
    </row>
    <row r="346" spans="1:7">
      <c r="A346" s="2976" t="s">
        <v>307</v>
      </c>
      <c r="B346" s="2965" t="s">
        <v>2914</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2921</v>
      </c>
      <c r="C348" s="2966">
        <v>0.15</v>
      </c>
      <c r="D348" s="2966">
        <v>0.15</v>
      </c>
      <c r="E348" s="2966">
        <v>0.15</v>
      </c>
      <c r="F348" s="2966">
        <v>0.14399999999999999</v>
      </c>
      <c r="G348" s="2967">
        <v>0.15</v>
      </c>
    </row>
    <row r="349" spans="1:7">
      <c r="A349" s="2976" t="s">
        <v>307</v>
      </c>
      <c r="B349" s="2965" t="s">
        <v>2926</v>
      </c>
      <c r="C349" s="2966">
        <v>0.15</v>
      </c>
      <c r="D349" s="2966">
        <v>0.15</v>
      </c>
      <c r="E349" s="2966">
        <v>0.15</v>
      </c>
      <c r="F349" s="2966">
        <v>0.15</v>
      </c>
      <c r="G349" s="2967">
        <v>0.15</v>
      </c>
    </row>
    <row r="350" spans="1:7">
      <c r="A350" s="2976" t="s">
        <v>307</v>
      </c>
      <c r="B350" s="2965" t="s">
        <v>2929</v>
      </c>
      <c r="C350" s="2966">
        <v>0.15</v>
      </c>
      <c r="D350" s="2966">
        <v>0.15</v>
      </c>
      <c r="E350" s="2966">
        <v>0.15</v>
      </c>
      <c r="F350" s="2966">
        <v>0.14699999999999999</v>
      </c>
      <c r="G350" s="2967">
        <v>0.15</v>
      </c>
    </row>
    <row r="351" spans="1:7">
      <c r="A351" s="2976" t="s">
        <v>307</v>
      </c>
      <c r="B351" s="2965" t="s">
        <v>2934</v>
      </c>
      <c r="C351" s="2966">
        <v>0.15</v>
      </c>
      <c r="D351" s="2966">
        <v>0.15</v>
      </c>
      <c r="E351" s="2966">
        <v>0.15</v>
      </c>
      <c r="F351" s="2966">
        <v>0.13</v>
      </c>
      <c r="G351" s="2967">
        <v>0.15</v>
      </c>
    </row>
    <row r="352" spans="1:7">
      <c r="A352" s="2976" t="s">
        <v>307</v>
      </c>
      <c r="B352" s="2965" t="s">
        <v>2939</v>
      </c>
      <c r="C352" s="2966">
        <v>0.15</v>
      </c>
      <c r="D352" s="2966">
        <v>0.15</v>
      </c>
      <c r="E352" s="2966">
        <v>0.15</v>
      </c>
      <c r="F352" s="2966">
        <v>0.14599999999999999</v>
      </c>
      <c r="G352" s="2967">
        <v>0.15</v>
      </c>
    </row>
    <row r="353" spans="1:7">
      <c r="A353" s="2976" t="s">
        <v>307</v>
      </c>
      <c r="B353" s="2965" t="s">
        <v>2946</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2959</v>
      </c>
      <c r="C355" s="2966">
        <v>0.15</v>
      </c>
      <c r="D355" s="2966">
        <v>0.15</v>
      </c>
      <c r="E355" s="2966">
        <v>0.15</v>
      </c>
      <c r="F355" s="2966">
        <v>0.15</v>
      </c>
      <c r="G355" s="2967">
        <v>0.15</v>
      </c>
    </row>
    <row r="356" spans="1:7">
      <c r="A356" s="2976" t="s">
        <v>307</v>
      </c>
      <c r="B356" s="2965" t="s">
        <v>2966</v>
      </c>
      <c r="C356" s="2966">
        <v>0.15</v>
      </c>
      <c r="D356" s="2966">
        <v>0.15</v>
      </c>
      <c r="E356" s="2966">
        <v>0.15</v>
      </c>
      <c r="F356" s="2966">
        <v>0.15</v>
      </c>
      <c r="G356" s="2967">
        <v>0.15</v>
      </c>
    </row>
    <row r="357" spans="1:7" ht="14.25" thickBot="1">
      <c r="A357" s="2979" t="s">
        <v>307</v>
      </c>
      <c r="B357" s="2969" t="s">
        <v>2971</v>
      </c>
      <c r="C357" s="2970">
        <v>0.126</v>
      </c>
      <c r="D357" s="2970">
        <v>0.127</v>
      </c>
      <c r="E357" s="2970">
        <v>0.14299999999999999</v>
      </c>
      <c r="F357" s="2970">
        <v>0.125</v>
      </c>
      <c r="G357" s="2972">
        <v>0.129</v>
      </c>
    </row>
    <row r="358" spans="1:7">
      <c r="A358" s="2975" t="s">
        <v>2840</v>
      </c>
      <c r="B358" s="2961" t="s">
        <v>2854</v>
      </c>
      <c r="C358" s="2962">
        <v>0.15</v>
      </c>
      <c r="D358" s="2962">
        <v>0.15</v>
      </c>
      <c r="E358" s="2962">
        <v>0.15</v>
      </c>
      <c r="F358" s="2962">
        <v>0.15</v>
      </c>
      <c r="G358" s="2963">
        <v>0.15</v>
      </c>
    </row>
    <row r="359" spans="1:7">
      <c r="A359" s="2976" t="s">
        <v>2840</v>
      </c>
      <c r="B359" s="2965" t="s">
        <v>2860</v>
      </c>
      <c r="C359" s="2966">
        <v>0.1</v>
      </c>
      <c r="D359" s="2966">
        <v>0.1</v>
      </c>
      <c r="E359" s="2966">
        <v>0.1</v>
      </c>
      <c r="F359" s="2966">
        <v>0.1</v>
      </c>
      <c r="G359" s="2967">
        <v>0.1</v>
      </c>
    </row>
    <row r="360" spans="1:7">
      <c r="A360" s="2976" t="s">
        <v>2840</v>
      </c>
      <c r="B360" s="2965" t="s">
        <v>2866</v>
      </c>
      <c r="C360" s="2966">
        <v>0.15</v>
      </c>
      <c r="D360" s="2966">
        <v>0.15</v>
      </c>
      <c r="E360" s="2966">
        <v>0.15</v>
      </c>
      <c r="F360" s="2966">
        <v>0.14899999999999999</v>
      </c>
      <c r="G360" s="2967">
        <v>0.15</v>
      </c>
    </row>
    <row r="361" spans="1:7">
      <c r="A361" s="2976" t="s">
        <v>2840</v>
      </c>
      <c r="B361" s="2965" t="s">
        <v>153</v>
      </c>
      <c r="C361" s="2966">
        <v>0.15</v>
      </c>
      <c r="D361" s="2966">
        <v>0.15</v>
      </c>
      <c r="E361" s="2966">
        <v>0.15</v>
      </c>
      <c r="F361" s="2966">
        <v>0.115</v>
      </c>
      <c r="G361" s="2967">
        <v>0.15</v>
      </c>
    </row>
    <row r="362" spans="1:7">
      <c r="A362" s="2976" t="s">
        <v>2840</v>
      </c>
      <c r="B362" s="2965" t="s">
        <v>2873</v>
      </c>
      <c r="C362" s="2966">
        <v>0.15</v>
      </c>
      <c r="D362" s="2966">
        <v>0.15</v>
      </c>
      <c r="E362" s="2966">
        <v>0.15</v>
      </c>
      <c r="F362" s="2966">
        <v>0.106</v>
      </c>
      <c r="G362" s="2967">
        <v>0.15</v>
      </c>
    </row>
    <row r="363" spans="1:7">
      <c r="A363" s="2976" t="s">
        <v>2840</v>
      </c>
      <c r="B363" s="2965" t="s">
        <v>2878</v>
      </c>
      <c r="C363" s="2966">
        <v>0.15</v>
      </c>
      <c r="D363" s="2966">
        <v>0.15</v>
      </c>
      <c r="E363" s="2966">
        <v>0.15</v>
      </c>
      <c r="F363" s="2966">
        <v>0.14699999999999999</v>
      </c>
      <c r="G363" s="2967">
        <v>0.15</v>
      </c>
    </row>
    <row r="364" spans="1:7">
      <c r="A364" s="2976" t="s">
        <v>2840</v>
      </c>
      <c r="B364" s="2965" t="s">
        <v>2882</v>
      </c>
      <c r="C364" s="2966">
        <v>0.15</v>
      </c>
      <c r="D364" s="2966">
        <v>0.15</v>
      </c>
      <c r="E364" s="2966">
        <v>0.15</v>
      </c>
      <c r="F364" s="2966">
        <v>0.14799999999999999</v>
      </c>
      <c r="G364" s="2967">
        <v>0.15</v>
      </c>
    </row>
    <row r="365" spans="1:7">
      <c r="A365" s="2976" t="s">
        <v>2840</v>
      </c>
      <c r="B365" s="2965" t="s">
        <v>200</v>
      </c>
      <c r="C365" s="2966">
        <v>0.15</v>
      </c>
      <c r="D365" s="2966">
        <v>0.15</v>
      </c>
      <c r="E365" s="2966">
        <v>0.15</v>
      </c>
      <c r="F365" s="2966">
        <v>0.15</v>
      </c>
      <c r="G365" s="2967">
        <v>0.15</v>
      </c>
    </row>
    <row r="366" spans="1:7">
      <c r="A366" s="2976" t="s">
        <v>2840</v>
      </c>
      <c r="B366" s="2965" t="s">
        <v>2885</v>
      </c>
      <c r="C366" s="2966">
        <v>0.15</v>
      </c>
      <c r="D366" s="2966">
        <v>0.15</v>
      </c>
      <c r="E366" s="2966">
        <v>0.15</v>
      </c>
      <c r="F366" s="2966">
        <v>0.15</v>
      </c>
      <c r="G366" s="2967">
        <v>0.15</v>
      </c>
    </row>
    <row r="367" spans="1:7">
      <c r="A367" s="2976" t="s">
        <v>2840</v>
      </c>
      <c r="B367" s="2965" t="s">
        <v>2888</v>
      </c>
      <c r="C367" s="2966">
        <v>0.15</v>
      </c>
      <c r="D367" s="2966">
        <v>0.15</v>
      </c>
      <c r="E367" s="2966">
        <v>0.15</v>
      </c>
      <c r="F367" s="2966">
        <v>0.14699999999999999</v>
      </c>
      <c r="G367" s="2967">
        <v>0.15</v>
      </c>
    </row>
    <row r="368" spans="1:7">
      <c r="A368" s="2976" t="s">
        <v>2840</v>
      </c>
      <c r="B368" s="2965" t="s">
        <v>2893</v>
      </c>
      <c r="C368" s="2966">
        <v>0.15</v>
      </c>
      <c r="D368" s="2966">
        <v>0.15</v>
      </c>
      <c r="E368" s="2966">
        <v>0.15</v>
      </c>
      <c r="F368" s="2966">
        <v>0.13600000000000001</v>
      </c>
      <c r="G368" s="2967">
        <v>0.15</v>
      </c>
    </row>
    <row r="369" spans="1:7">
      <c r="A369" s="2976" t="s">
        <v>2840</v>
      </c>
      <c r="B369" s="2965" t="s">
        <v>214</v>
      </c>
      <c r="C369" s="2966">
        <v>0.15</v>
      </c>
      <c r="D369" s="2966">
        <v>0.15</v>
      </c>
      <c r="E369" s="2966">
        <v>0.15</v>
      </c>
      <c r="F369" s="2966">
        <v>0.14399999999999999</v>
      </c>
      <c r="G369" s="2967">
        <v>0.15</v>
      </c>
    </row>
    <row r="370" spans="1:7">
      <c r="A370" s="2976" t="s">
        <v>2840</v>
      </c>
      <c r="B370" s="2965" t="s">
        <v>221</v>
      </c>
      <c r="C370" s="2966">
        <v>0.15</v>
      </c>
      <c r="D370" s="2966">
        <v>0.15</v>
      </c>
      <c r="E370" s="2966">
        <v>0.15</v>
      </c>
      <c r="F370" s="2966">
        <v>0.14599999999999999</v>
      </c>
      <c r="G370" s="2967">
        <v>0.15</v>
      </c>
    </row>
    <row r="371" spans="1:7">
      <c r="A371" s="2976" t="s">
        <v>2840</v>
      </c>
      <c r="B371" s="2965" t="s">
        <v>229</v>
      </c>
      <c r="C371" s="2966">
        <v>0.15</v>
      </c>
      <c r="D371" s="2966">
        <v>0.15</v>
      </c>
      <c r="E371" s="2966">
        <v>0.15</v>
      </c>
      <c r="F371" s="2966">
        <v>0.12</v>
      </c>
      <c r="G371" s="2967">
        <v>0.15</v>
      </c>
    </row>
    <row r="372" spans="1:7">
      <c r="A372" s="2976" t="s">
        <v>2840</v>
      </c>
      <c r="B372" s="2965" t="s">
        <v>2901</v>
      </c>
      <c r="C372" s="2966">
        <v>0.15</v>
      </c>
      <c r="D372" s="2966">
        <v>0.15</v>
      </c>
      <c r="E372" s="2966">
        <v>0.15</v>
      </c>
      <c r="F372" s="2966">
        <v>0.14299999999999999</v>
      </c>
      <c r="G372" s="2967">
        <v>0.15</v>
      </c>
    </row>
    <row r="373" spans="1:7">
      <c r="A373" s="2976" t="s">
        <v>2840</v>
      </c>
      <c r="B373" s="2965" t="s">
        <v>258</v>
      </c>
      <c r="C373" s="2966">
        <v>0.15</v>
      </c>
      <c r="D373" s="2966">
        <v>0.15</v>
      </c>
      <c r="E373" s="2966">
        <v>0.15</v>
      </c>
      <c r="F373" s="2966">
        <v>0.14599999999999999</v>
      </c>
      <c r="G373" s="2967">
        <v>0.15</v>
      </c>
    </row>
    <row r="374" spans="1:7">
      <c r="A374" s="2976" t="s">
        <v>2840</v>
      </c>
      <c r="B374" s="2965" t="s">
        <v>266</v>
      </c>
      <c r="C374" s="2966">
        <v>0.15</v>
      </c>
      <c r="D374" s="2966">
        <v>0.15</v>
      </c>
      <c r="E374" s="2966">
        <v>0.15</v>
      </c>
      <c r="F374" s="2966">
        <v>0.14399999999999999</v>
      </c>
      <c r="G374" s="2967">
        <v>0.15</v>
      </c>
    </row>
    <row r="375" spans="1:7">
      <c r="A375" s="2976" t="s">
        <v>2840</v>
      </c>
      <c r="B375" s="2965" t="s">
        <v>2909</v>
      </c>
      <c r="C375" s="2966">
        <v>0.15</v>
      </c>
      <c r="D375" s="2966">
        <v>0.15</v>
      </c>
      <c r="E375" s="2966">
        <v>0.15</v>
      </c>
      <c r="F375" s="2966">
        <v>0.13</v>
      </c>
      <c r="G375" s="2967">
        <v>0.15</v>
      </c>
    </row>
    <row r="376" spans="1:7">
      <c r="A376" s="2976" t="s">
        <v>2840</v>
      </c>
      <c r="B376" s="2965" t="s">
        <v>277</v>
      </c>
      <c r="C376" s="2966">
        <v>0.15</v>
      </c>
      <c r="D376" s="2966">
        <v>0.15</v>
      </c>
      <c r="E376" s="2966">
        <v>0.15</v>
      </c>
      <c r="F376" s="2966">
        <v>0.14199999999999999</v>
      </c>
      <c r="G376" s="2967">
        <v>0.15</v>
      </c>
    </row>
    <row r="377" spans="1:7" ht="14.25" thickBot="1">
      <c r="A377" s="2979" t="s">
        <v>2840</v>
      </c>
      <c r="B377" s="2969" t="s">
        <v>2915</v>
      </c>
      <c r="C377" s="2970">
        <v>0.15</v>
      </c>
      <c r="D377" s="2970">
        <v>0.15</v>
      </c>
      <c r="E377" s="2970">
        <v>0.15</v>
      </c>
      <c r="F377" s="2970">
        <v>0.14000000000000001</v>
      </c>
      <c r="G377" s="2972">
        <v>0.15</v>
      </c>
    </row>
    <row r="378" spans="1:7">
      <c r="A378" s="2975" t="s">
        <v>2841</v>
      </c>
      <c r="B378" s="2961" t="s">
        <v>2855</v>
      </c>
      <c r="C378" s="2962">
        <v>0.15</v>
      </c>
      <c r="D378" s="2962">
        <v>0.15</v>
      </c>
      <c r="E378" s="2962">
        <v>0.15</v>
      </c>
      <c r="F378" s="2962">
        <v>0.107</v>
      </c>
      <c r="G378" s="2963">
        <v>0.15</v>
      </c>
    </row>
    <row r="379" spans="1:7">
      <c r="A379" s="2976" t="s">
        <v>2841</v>
      </c>
      <c r="B379" s="2965" t="s">
        <v>2861</v>
      </c>
      <c r="C379" s="2966">
        <v>0.15</v>
      </c>
      <c r="D379" s="2966">
        <v>0.15</v>
      </c>
      <c r="E379" s="2966">
        <v>0.15</v>
      </c>
      <c r="F379" s="2966">
        <v>0.115</v>
      </c>
      <c r="G379" s="2967">
        <v>0.14899999999999999</v>
      </c>
    </row>
    <row r="380" spans="1:7">
      <c r="A380" s="2976" t="s">
        <v>2841</v>
      </c>
      <c r="B380" s="2965" t="s">
        <v>2867</v>
      </c>
      <c r="C380" s="2966">
        <v>0.15</v>
      </c>
      <c r="D380" s="2966">
        <v>0.15</v>
      </c>
      <c r="E380" s="2966">
        <v>0.15</v>
      </c>
      <c r="F380" s="2966">
        <v>0.1</v>
      </c>
      <c r="G380" s="2967">
        <v>0.14799999999999999</v>
      </c>
    </row>
    <row r="381" spans="1:7">
      <c r="A381" s="2976" t="s">
        <v>2841</v>
      </c>
      <c r="B381" s="2965" t="s">
        <v>2870</v>
      </c>
      <c r="C381" s="2966">
        <v>0.15</v>
      </c>
      <c r="D381" s="2966">
        <v>0.15</v>
      </c>
      <c r="E381" s="2966">
        <v>0.15</v>
      </c>
      <c r="F381" s="2966">
        <v>0.126</v>
      </c>
      <c r="G381" s="2967">
        <v>0.15</v>
      </c>
    </row>
    <row r="382" spans="1:7">
      <c r="A382" s="2976" t="s">
        <v>2841</v>
      </c>
      <c r="B382" s="2965" t="s">
        <v>2874</v>
      </c>
      <c r="C382" s="2966">
        <v>0.15</v>
      </c>
      <c r="D382" s="2966">
        <v>0.15</v>
      </c>
      <c r="E382" s="2966">
        <v>0.15</v>
      </c>
      <c r="F382" s="2966">
        <v>0.15</v>
      </c>
      <c r="G382" s="2967">
        <v>0.15</v>
      </c>
    </row>
    <row r="383" spans="1:7">
      <c r="A383" s="2976" t="s">
        <v>2841</v>
      </c>
      <c r="B383" s="2965" t="s">
        <v>2879</v>
      </c>
      <c r="C383" s="2966">
        <v>0.15</v>
      </c>
      <c r="D383" s="2966">
        <v>0.15</v>
      </c>
      <c r="E383" s="2966">
        <v>0.15</v>
      </c>
      <c r="F383" s="2966">
        <v>0.14699999999999999</v>
      </c>
      <c r="G383" s="2967">
        <v>0.15</v>
      </c>
    </row>
    <row r="384" spans="1:7" ht="14.25" thickBot="1">
      <c r="A384" s="2986" t="s">
        <v>2841</v>
      </c>
      <c r="B384" s="2987" t="s">
        <v>2883</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01"/>
  </cols>
  <sheetData>
    <row r="1" spans="1:6">
      <c r="A1" s="3526" t="s">
        <v>3222</v>
      </c>
      <c r="B1" s="3526"/>
      <c r="C1" s="3526"/>
      <c r="D1" s="3526"/>
      <c r="E1" s="3526"/>
      <c r="F1" s="3527"/>
    </row>
    <row r="2" spans="1:6">
      <c r="A2" s="2990" t="s">
        <v>3223</v>
      </c>
    </row>
    <row r="3" spans="1:6">
      <c r="A3" s="2990" t="s">
        <v>3224</v>
      </c>
      <c r="F3" s="2991" t="s">
        <v>3225</v>
      </c>
    </row>
    <row r="4" spans="1:6">
      <c r="A4" s="2992" t="s">
        <v>669</v>
      </c>
      <c r="B4" s="2992" t="s">
        <v>670</v>
      </c>
      <c r="C4" s="2992" t="s">
        <v>21</v>
      </c>
      <c r="D4" s="2992" t="s">
        <v>671</v>
      </c>
      <c r="E4" s="2992" t="s">
        <v>3</v>
      </c>
      <c r="F4" s="2992" t="s">
        <v>3226</v>
      </c>
    </row>
    <row r="5" spans="1:6">
      <c r="A5" s="2993" t="s">
        <v>672</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12" t="str">
        <f>IF(项目基本情况!B9="房地产市场价值","估价结果一览表","结果表-2")</f>
        <v>估价结果一览表</v>
      </c>
      <c r="B1" s="3212"/>
      <c r="C1" s="3212"/>
      <c r="D1" s="3212"/>
      <c r="E1" s="3212"/>
      <c r="F1" s="3212"/>
      <c r="G1" s="3212"/>
      <c r="H1" s="3212"/>
      <c r="I1" s="3212"/>
    </row>
    <row r="2" spans="1:9" ht="30" customHeight="1" thickTop="1">
      <c r="A2" s="3213" t="s">
        <v>925</v>
      </c>
      <c r="B2" s="3213" t="s">
        <v>926</v>
      </c>
      <c r="C2" s="3213" t="s">
        <v>927</v>
      </c>
      <c r="D2" s="3213" t="str">
        <f>结果表!D116</f>
        <v>出让国有建设用地使用权价值</v>
      </c>
      <c r="E2" s="3213"/>
      <c r="F2" s="3213" t="str">
        <f>结果表!F116</f>
        <v>在建建筑物价值</v>
      </c>
      <c r="G2" s="3213"/>
      <c r="H2" s="3213" t="str">
        <f>IF(项目基本情况!B9="房地产市场价值","房地产市场价值","房地产价值")</f>
        <v>房地产市场价值</v>
      </c>
      <c r="I2" s="3213"/>
    </row>
    <row r="3" spans="1:9" ht="15">
      <c r="A3" s="3214"/>
      <c r="B3" s="3214"/>
      <c r="C3" s="3214"/>
      <c r="D3" s="795" t="s">
        <v>922</v>
      </c>
      <c r="E3" s="795" t="s">
        <v>928</v>
      </c>
      <c r="F3" s="795" t="s">
        <v>922</v>
      </c>
      <c r="G3" s="795" t="s">
        <v>923</v>
      </c>
      <c r="H3" s="795" t="s">
        <v>922</v>
      </c>
      <c r="I3" s="795" t="s">
        <v>923</v>
      </c>
    </row>
    <row r="4" spans="1:9" ht="15">
      <c r="A4" s="1392" t="str">
        <f>项目基本情况!S2</f>
        <v>北京市房地产</v>
      </c>
      <c r="B4" s="795">
        <f>项目基本情况!C17</f>
        <v>51111.68000000059</v>
      </c>
      <c r="C4" s="795">
        <f>项目基本情况!C18</f>
        <v>0</v>
      </c>
      <c r="D4" s="795" t="e">
        <f ca="1">结果表!D118</f>
        <v>#REF!</v>
      </c>
      <c r="E4" s="795" t="e">
        <f ca="1">结果表!E118</f>
        <v>#REF!</v>
      </c>
      <c r="F4" s="795" t="e">
        <f ca="1">结果表!F118</f>
        <v>#REF!</v>
      </c>
      <c r="G4" s="795" t="e">
        <f ca="1">结果表!G118</f>
        <v>#REF!</v>
      </c>
      <c r="H4" s="795" t="e">
        <f ca="1">结果表!H118</f>
        <v>#REF!</v>
      </c>
      <c r="I4" s="795" t="e">
        <f ca="1">结果表!I118</f>
        <v>#REF!</v>
      </c>
    </row>
    <row r="5" spans="1:9" ht="30" customHeight="1">
      <c r="A5" s="3214" t="s">
        <v>924</v>
      </c>
      <c r="B5" s="3214"/>
      <c r="C5" s="3214"/>
      <c r="D5" s="3214" t="e">
        <f ca="1">结果表!D119</f>
        <v>#REF!</v>
      </c>
      <c r="E5" s="3214"/>
      <c r="F5" s="3214" t="e">
        <f ca="1">结果表!F119</f>
        <v>#REF!</v>
      </c>
      <c r="G5" s="3214"/>
      <c r="H5" s="3214" t="e">
        <f ca="1">结果表!H119</f>
        <v>#REF!</v>
      </c>
      <c r="I5" s="3214"/>
    </row>
    <row r="6" spans="1:9" ht="15.75">
      <c r="A6" s="3215" t="str">
        <f>结果表!A120</f>
        <v/>
      </c>
      <c r="B6" s="3215"/>
      <c r="C6" s="3215"/>
      <c r="D6" s="3215">
        <f>结果表!D120</f>
        <v>0</v>
      </c>
      <c r="E6" s="3215"/>
      <c r="F6" s="3215"/>
      <c r="G6" s="3215"/>
      <c r="H6" s="3215"/>
      <c r="I6" s="3215"/>
    </row>
    <row r="7" spans="1:9" ht="15">
      <c r="A7" s="3214" t="s">
        <v>924</v>
      </c>
      <c r="B7" s="3214"/>
      <c r="C7" s="3214"/>
      <c r="D7" s="3216" t="str">
        <f>结果表!D121</f>
        <v>零元整</v>
      </c>
      <c r="E7" s="3217"/>
      <c r="F7" s="3217"/>
      <c r="G7" s="3217"/>
      <c r="H7" s="3217"/>
      <c r="I7" s="3218"/>
    </row>
    <row r="8" spans="1:9" ht="15.75">
      <c r="A8" s="3215" t="str">
        <f>结果表!A122</f>
        <v/>
      </c>
      <c r="B8" s="3215"/>
      <c r="C8" s="3215"/>
      <c r="D8" s="3215" t="e">
        <f ca="1">结果表!D122</f>
        <v>#REF!</v>
      </c>
      <c r="E8" s="3215"/>
      <c r="F8" s="3215"/>
      <c r="G8" s="3215"/>
      <c r="H8" s="3215"/>
      <c r="I8" s="3215"/>
    </row>
    <row r="9" spans="1:9" ht="15">
      <c r="A9" s="3214" t="s">
        <v>924</v>
      </c>
      <c r="B9" s="3214"/>
      <c r="C9" s="3214"/>
      <c r="D9" s="3214" t="e">
        <f ca="1">结果表!D123</f>
        <v>#REF!</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4" t="s">
        <v>924</v>
      </c>
      <c r="B11" s="3214"/>
      <c r="C11" s="3214"/>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75" thickBot="1">
      <c r="A13" s="3219" t="s">
        <v>924</v>
      </c>
      <c r="B13" s="3219"/>
      <c r="C13" s="3219"/>
      <c r="D13" s="3219" t="e">
        <f>结果表!D127</f>
        <v>#VALUE!</v>
      </c>
      <c r="E13" s="3219"/>
      <c r="F13" s="3219"/>
      <c r="G13" s="3219"/>
      <c r="H13" s="3219"/>
      <c r="I13" s="3219"/>
    </row>
    <row r="14" spans="1:9" ht="15" thickTop="1">
      <c r="A14" s="3220" t="s">
        <v>929</v>
      </c>
      <c r="B14" s="3220"/>
      <c r="C14" s="3220"/>
      <c r="D14" s="3220"/>
      <c r="E14" s="3220"/>
      <c r="F14" s="3220"/>
      <c r="G14" s="3220"/>
      <c r="H14" s="3220"/>
      <c r="I14" s="3220"/>
    </row>
    <row r="16" spans="1:9" ht="18.75">
      <c r="A16" s="1393" t="s">
        <v>912</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25">
        <f>基准地价修正!G23</f>
        <v>45596</v>
      </c>
      <c r="B1" s="2917" t="s">
        <v>3372</v>
      </c>
      <c r="C1" s="2918"/>
      <c r="D1" s="2918"/>
      <c r="E1" s="2918"/>
      <c r="F1" s="2918"/>
      <c r="G1" s="2918"/>
      <c r="H1" s="2918"/>
      <c r="I1" s="2918"/>
      <c r="J1" s="2884"/>
      <c r="K1" s="2918" t="s">
        <v>454</v>
      </c>
      <c r="L1" s="2918"/>
      <c r="M1" s="2918"/>
      <c r="N1" s="2918"/>
      <c r="O1" s="2918"/>
      <c r="P1" s="2918"/>
      <c r="Q1" s="2884"/>
      <c r="R1" s="3528" t="s">
        <v>456</v>
      </c>
      <c r="S1" s="3529"/>
      <c r="T1" s="3529"/>
      <c r="U1" s="3529"/>
      <c r="V1" s="3529"/>
      <c r="W1" s="3529"/>
      <c r="X1" s="2884"/>
      <c r="Y1" s="3528" t="s">
        <v>457</v>
      </c>
      <c r="Z1" s="3529"/>
      <c r="AA1" s="3529"/>
      <c r="AB1" s="3529"/>
      <c r="AC1" s="3529"/>
      <c r="AD1" s="3529"/>
    </row>
    <row r="2" spans="1:30" s="1999" customFormat="1" ht="14.25" thickBot="1">
      <c r="B2" s="2869"/>
      <c r="C2" s="2870"/>
      <c r="D2" s="2000" t="s">
        <v>2800</v>
      </c>
      <c r="E2" s="2001" t="s">
        <v>2801</v>
      </c>
      <c r="F2" s="2001" t="s">
        <v>2802</v>
      </c>
      <c r="G2" s="2001" t="s">
        <v>2803</v>
      </c>
      <c r="H2" s="2001" t="s">
        <v>2804</v>
      </c>
      <c r="I2" s="2001" t="s">
        <v>2621</v>
      </c>
      <c r="J2" s="2871"/>
      <c r="K2" s="2000" t="s">
        <v>2800</v>
      </c>
      <c r="L2" s="2001" t="s">
        <v>2801</v>
      </c>
      <c r="M2" s="2001" t="s">
        <v>2802</v>
      </c>
      <c r="N2" s="2001" t="s">
        <v>2803</v>
      </c>
      <c r="O2" s="2001" t="s">
        <v>2805</v>
      </c>
      <c r="P2" s="2001" t="s">
        <v>2621</v>
      </c>
      <c r="Q2" s="2871"/>
      <c r="R2" s="2000" t="s">
        <v>2800</v>
      </c>
      <c r="S2" s="2001" t="s">
        <v>2801</v>
      </c>
      <c r="T2" s="2001" t="s">
        <v>2802</v>
      </c>
      <c r="U2" s="2001" t="s">
        <v>2806</v>
      </c>
      <c r="V2" s="2001" t="s">
        <v>2807</v>
      </c>
      <c r="W2" s="2001" t="s">
        <v>2621</v>
      </c>
      <c r="X2" s="2871"/>
      <c r="Y2" s="2000" t="s">
        <v>2800</v>
      </c>
      <c r="Z2" s="2001" t="s">
        <v>2801</v>
      </c>
      <c r="AA2" s="2001" t="s">
        <v>2802</v>
      </c>
      <c r="AB2" s="2001" t="s">
        <v>2808</v>
      </c>
      <c r="AC2" s="2001" t="s">
        <v>2807</v>
      </c>
      <c r="AD2" s="2001" t="s">
        <v>2621</v>
      </c>
    </row>
    <row r="3" spans="1:30" s="2874" customFormat="1" ht="12.75">
      <c r="A3" s="2872" t="s">
        <v>2809</v>
      </c>
      <c r="B3" s="2873"/>
      <c r="D3" s="2874">
        <f>ROUND(AVERAGEIF(D4:D21,"&lt;&gt;0"),2)</f>
        <v>0.47</v>
      </c>
      <c r="E3" s="2874">
        <f t="shared" ref="E3:H3" si="0">ROUND(AVERAGEIF(E4:E21,"&lt;&gt;0"),2)</f>
        <v>0.3</v>
      </c>
      <c r="F3" s="2874">
        <f t="shared" si="0"/>
        <v>0.04</v>
      </c>
      <c r="G3" s="2874">
        <f t="shared" si="0"/>
        <v>0.51</v>
      </c>
      <c r="H3" s="2874">
        <f t="shared" si="0"/>
        <v>0.55000000000000004</v>
      </c>
      <c r="I3" s="2874">
        <f>F3</f>
        <v>0.04</v>
      </c>
      <c r="J3" s="2875"/>
      <c r="K3" s="2876">
        <f>ROUND(AVERAGEIF(K4:K21,"&lt;&gt;0"),4)</f>
        <v>4.7000000000000002E-3</v>
      </c>
      <c r="L3" s="2877">
        <f t="shared" ref="L3:O3" si="1">ROUND(AVERAGEIF(L4:L21,"&lt;&gt;0"),4)</f>
        <v>3.0000000000000001E-3</v>
      </c>
      <c r="M3" s="2877">
        <f t="shared" si="1"/>
        <v>4.0000000000000002E-4</v>
      </c>
      <c r="N3" s="2877">
        <f t="shared" si="1"/>
        <v>5.1000000000000004E-3</v>
      </c>
      <c r="O3" s="2877">
        <f t="shared" si="1"/>
        <v>5.4999999999999997E-3</v>
      </c>
      <c r="P3" s="2877">
        <f>M3</f>
        <v>4.0000000000000002E-4</v>
      </c>
      <c r="Q3" s="2875"/>
      <c r="R3" s="2878">
        <f>ROUND(SUMPRODUCT(PRODUCT(1+K4:K21)),4)</f>
        <v>1.0723</v>
      </c>
      <c r="S3" s="2879">
        <f t="shared" ref="S3:V3" si="2">ROUND(SUMPRODUCT(PRODUCT(1+L4:L21)),4)</f>
        <v>1.0465</v>
      </c>
      <c r="T3" s="2879">
        <f t="shared" si="2"/>
        <v>1.0054000000000001</v>
      </c>
      <c r="U3" s="2879">
        <f t="shared" si="2"/>
        <v>1.0790999999999999</v>
      </c>
      <c r="V3" s="2879">
        <f t="shared" si="2"/>
        <v>1.0857000000000001</v>
      </c>
      <c r="W3" s="2878">
        <f>T3</f>
        <v>1.0054000000000001</v>
      </c>
      <c r="X3" s="2875"/>
      <c r="Y3" s="2880">
        <f>ROUND(AVERAGEIF(Y8:Y21,"&lt;&gt;0"),4)</f>
        <v>8.3999999999999995E-3</v>
      </c>
      <c r="Z3" s="2881">
        <f t="shared" ref="Z3:AC3" si="3">ROUND(AVERAGEIF(Z8:Z21,"&lt;&gt;0"),4)</f>
        <v>3.5000000000000001E-3</v>
      </c>
      <c r="AA3" s="2882">
        <f t="shared" si="3"/>
        <v>8.0000000000000004E-4</v>
      </c>
      <c r="AB3" s="2880">
        <f t="shared" si="3"/>
        <v>9.1000000000000004E-3</v>
      </c>
      <c r="AC3" s="2883">
        <f t="shared" si="3"/>
        <v>6.1000000000000004E-3</v>
      </c>
      <c r="AD3" s="2880">
        <f>AA3</f>
        <v>8.0000000000000004E-4</v>
      </c>
    </row>
    <row r="4" spans="1:30" s="1998" customFormat="1" ht="12.75">
      <c r="B4" s="2014"/>
      <c r="J4" s="2884"/>
      <c r="K4" s="2885"/>
      <c r="L4" s="2886"/>
      <c r="M4" s="2886"/>
      <c r="N4" s="2886"/>
      <c r="O4" s="2886"/>
      <c r="P4" s="2886"/>
      <c r="Q4" s="2884"/>
      <c r="R4" s="2016"/>
      <c r="S4" s="2887"/>
      <c r="T4" s="2888"/>
      <c r="U4" s="2016"/>
      <c r="V4" s="2889"/>
      <c r="W4" s="2016"/>
      <c r="X4" s="2884"/>
      <c r="Y4" s="2017"/>
      <c r="Z4" s="2890"/>
      <c r="AA4" s="2891"/>
      <c r="AB4" s="2017"/>
      <c r="AC4" s="2892"/>
      <c r="AD4" s="2017"/>
    </row>
    <row r="5" spans="1:30" s="2034" customFormat="1" ht="12.75">
      <c r="A5" s="2029" t="s">
        <v>3368</v>
      </c>
      <c r="B5" s="2020">
        <v>2025</v>
      </c>
      <c r="C5" s="2031">
        <v>1</v>
      </c>
      <c r="D5" s="1996">
        <v>0</v>
      </c>
      <c r="E5" s="1996">
        <v>0</v>
      </c>
      <c r="F5" s="1996">
        <v>0</v>
      </c>
      <c r="G5" s="1996">
        <v>0</v>
      </c>
      <c r="H5" s="1996">
        <v>0</v>
      </c>
      <c r="I5" s="1997">
        <f t="shared" ref="I5" si="4">F5</f>
        <v>0</v>
      </c>
      <c r="J5" s="2894"/>
      <c r="K5" s="2032">
        <f t="shared" ref="K5" si="5">D5/100</f>
        <v>0</v>
      </c>
      <c r="L5" s="2017">
        <f t="shared" ref="L5" si="6">E5/100</f>
        <v>0</v>
      </c>
      <c r="M5" s="2017">
        <f t="shared" ref="M5" si="7">F5/100</f>
        <v>0</v>
      </c>
      <c r="N5" s="2017">
        <f t="shared" ref="N5" si="8">G5/100</f>
        <v>0</v>
      </c>
      <c r="O5" s="2017">
        <f t="shared" ref="O5" si="9">H5/100</f>
        <v>0</v>
      </c>
      <c r="P5" s="2017">
        <f>M5</f>
        <v>0</v>
      </c>
      <c r="Q5" s="2894"/>
      <c r="R5" s="2016">
        <f>ROUND(IF(项目基本情况!$B$8="出让",SUMPRODUCT(PRODUCT(1+K5:$K$21)),SUMPRODUCT(PRODUCT(1+K5:$K$20))),4)</f>
        <v>1.0620000000000001</v>
      </c>
      <c r="S5" s="2016">
        <f>ROUND(IF(项目基本情况!$B$8="出让",SUMPRODUCT(PRODUCT(1+L5:$L$21)),SUMPRODUCT(PRODUCT(1+L5:$L$20))),4)</f>
        <v>1.0448</v>
      </c>
      <c r="T5" s="2016">
        <f>ROUND(IF(项目基本情况!$B$8="出让",SUMPRODUCT(PRODUCT(1+M5:$M$21)),SUMPRODUCT(PRODUCT(1+M5:$M$20))),4)</f>
        <v>1.0079</v>
      </c>
      <c r="U5" s="2016">
        <f>ROUND(IF(项目基本情况!$B$8="出让",SUMPRODUCT(PRODUCT(1+N5:$N$21)),SUMPRODUCT(PRODUCT(1+N5:$N$20))),4)</f>
        <v>1.0672999999999999</v>
      </c>
      <c r="V5" s="2016">
        <f>ROUND(IF(项目基本情况!$B$8="出让",SUMPRODUCT(PRODUCT(1+O5:$O$21)),SUMPRODUCT(PRODUCT(1+O5:$O$20))),4)</f>
        <v>1.0818000000000001</v>
      </c>
      <c r="W5" s="2016">
        <f>T5</f>
        <v>1.0079</v>
      </c>
      <c r="X5" s="2894"/>
      <c r="Y5" s="2017">
        <f>IF(D5=0,0,ROUND(AVERAGE(D5:D18)/100,4))</f>
        <v>0</v>
      </c>
      <c r="Z5" s="2017">
        <f t="shared" ref="Z5" si="10">IF(E5=0,0,ROUND(AVERAGE(E5:E18)/100,4))</f>
        <v>0</v>
      </c>
      <c r="AA5" s="2017">
        <f t="shared" ref="AA5" si="11">IF(F5=0,0,ROUND(AVERAGE(F5:F18)/100,4))</f>
        <v>0</v>
      </c>
      <c r="AB5" s="2017">
        <f t="shared" ref="AB5" si="12">IF(G5=0,0,ROUND(AVERAGE(G5:G18)/100,4))</f>
        <v>0</v>
      </c>
      <c r="AC5" s="2017">
        <f t="shared" ref="AC5" si="13">IF(H5=0,0,ROUND(AVERAGE(H5:H18)/100,4))</f>
        <v>0</v>
      </c>
      <c r="AD5" s="2017">
        <f t="shared" ref="AD5" si="14">AA5</f>
        <v>0</v>
      </c>
    </row>
    <row r="6" spans="1:30" s="2904" customFormat="1" ht="12.75">
      <c r="A6" s="2895" t="s">
        <v>3377</v>
      </c>
      <c r="B6" s="2896">
        <v>2024</v>
      </c>
      <c r="C6" s="2897">
        <v>4</v>
      </c>
      <c r="D6" s="2898">
        <v>0</v>
      </c>
      <c r="E6" s="2898">
        <v>0</v>
      </c>
      <c r="F6" s="2898">
        <v>0</v>
      </c>
      <c r="G6" s="2898">
        <v>0</v>
      </c>
      <c r="H6" s="2899">
        <v>0</v>
      </c>
      <c r="I6" s="2900">
        <f t="shared" ref="I6" si="15">F6</f>
        <v>0</v>
      </c>
      <c r="J6" s="2901"/>
      <c r="K6" s="2902">
        <f t="shared" ref="K6" si="16">D6/100</f>
        <v>0</v>
      </c>
      <c r="L6" s="2903">
        <f t="shared" ref="L6" si="17">E6/100</f>
        <v>0</v>
      </c>
      <c r="M6" s="2903">
        <f t="shared" ref="M6" si="18">F6/100</f>
        <v>0</v>
      </c>
      <c r="N6" s="2903">
        <f t="shared" ref="N6" si="19">G6/100</f>
        <v>0</v>
      </c>
      <c r="O6" s="2903">
        <f t="shared" ref="O6" si="20">H6/100</f>
        <v>0</v>
      </c>
      <c r="P6" s="2903">
        <f>M6</f>
        <v>0</v>
      </c>
      <c r="Q6" s="2901"/>
      <c r="R6" s="2901">
        <f>ROUND(IF(项目基本情况!$B$8="出让",SUMPRODUCT(PRODUCT(1+K6:$K$21)),SUMPRODUCT(PRODUCT(1+K6:$K$20))),4)</f>
        <v>1.0620000000000001</v>
      </c>
      <c r="S6" s="2901">
        <f>ROUND(IF(项目基本情况!$B$8="出让",SUMPRODUCT(PRODUCT(1+L6:$L$21)),SUMPRODUCT(PRODUCT(1+L6:$L$20))),4)</f>
        <v>1.0448</v>
      </c>
      <c r="T6" s="2901">
        <f>ROUND(IF(项目基本情况!$B$8="出让",SUMPRODUCT(PRODUCT(1+M6:$M$21)),SUMPRODUCT(PRODUCT(1+M6:$M$20))),4)</f>
        <v>1.0079</v>
      </c>
      <c r="U6" s="2901">
        <f>ROUND(IF(项目基本情况!$B$8="出让",SUMPRODUCT(PRODUCT(1+N6:$N$21)),SUMPRODUCT(PRODUCT(1+N6:$N$20))),4)</f>
        <v>1.0672999999999999</v>
      </c>
      <c r="V6" s="2901">
        <f>ROUND(IF(项目基本情况!$B$8="出让",SUMPRODUCT(PRODUCT(1+O6:$O$21)),SUMPRODUCT(PRODUCT(1+O6:$O$20))),4)</f>
        <v>1.0818000000000001</v>
      </c>
      <c r="W6" s="2901">
        <f>T6</f>
        <v>1.0079</v>
      </c>
      <c r="X6" s="2901"/>
      <c r="Y6" s="2903">
        <f>IF(D6=0,0,ROUND(AVERAGE(D6:D19)/100,4))</f>
        <v>0</v>
      </c>
      <c r="Z6" s="2903">
        <f t="shared" ref="Z6" si="21">IF(E6=0,0,ROUND(AVERAGE(E6:E19)/100,4))</f>
        <v>0</v>
      </c>
      <c r="AA6" s="2903">
        <f t="shared" ref="AA6" si="22">IF(F6=0,0,ROUND(AVERAGE(F6:F19)/100,4))</f>
        <v>0</v>
      </c>
      <c r="AB6" s="2903">
        <f t="shared" ref="AB6" si="23">IF(G6=0,0,ROUND(AVERAGE(G6:G19)/100,4))</f>
        <v>0</v>
      </c>
      <c r="AC6" s="2903">
        <f t="shared" ref="AC6" si="24">IF(H6=0,0,ROUND(AVERAGE(H6:H19)/100,4))</f>
        <v>0</v>
      </c>
      <c r="AD6" s="2903">
        <f t="shared" ref="AD6" si="25">AA6</f>
        <v>0</v>
      </c>
    </row>
    <row r="7" spans="1:30" s="2034" customFormat="1" ht="12.75">
      <c r="A7" s="2029" t="s">
        <v>3376</v>
      </c>
      <c r="B7" s="2020">
        <v>2024</v>
      </c>
      <c r="C7" s="2031">
        <v>3</v>
      </c>
      <c r="D7" s="1996">
        <v>-1.19</v>
      </c>
      <c r="E7" s="1996">
        <v>-0.47</v>
      </c>
      <c r="F7" s="1996">
        <v>-0.28999999999999998</v>
      </c>
      <c r="G7" s="1996">
        <v>-0.74</v>
      </c>
      <c r="H7" s="1996">
        <v>-0.21</v>
      </c>
      <c r="I7" s="1997">
        <f t="shared" ref="I7" si="26">F7</f>
        <v>-0.28999999999999998</v>
      </c>
      <c r="J7" s="2894"/>
      <c r="K7" s="2032">
        <f t="shared" ref="K7" si="27">D7/100</f>
        <v>-1.1899999999999999E-2</v>
      </c>
      <c r="L7" s="2017">
        <f t="shared" ref="L7" si="28">E7/100</f>
        <v>-4.6999999999999993E-3</v>
      </c>
      <c r="M7" s="2017">
        <f t="shared" ref="M7" si="29">F7/100</f>
        <v>-2.8999999999999998E-3</v>
      </c>
      <c r="N7" s="2017">
        <f t="shared" ref="N7" si="30">G7/100</f>
        <v>-7.4000000000000003E-3</v>
      </c>
      <c r="O7" s="2017">
        <f t="shared" ref="O7" si="31">H7/100</f>
        <v>-2.0999999999999999E-3</v>
      </c>
      <c r="P7" s="2017">
        <f>M7</f>
        <v>-2.8999999999999998E-3</v>
      </c>
      <c r="Q7" s="2894"/>
      <c r="R7" s="2016">
        <f>ROUND(IF(项目基本情况!$B$8="出让",SUMPRODUCT(PRODUCT(1+K7:$K$21)),SUMPRODUCT(PRODUCT(1+K7:$K$20))),4)</f>
        <v>1.0620000000000001</v>
      </c>
      <c r="S7" s="2016">
        <f>ROUND(IF(项目基本情况!$B$8="出让",SUMPRODUCT(PRODUCT(1+L7:$L$21)),SUMPRODUCT(PRODUCT(1+L7:$L$20))),4)</f>
        <v>1.0448</v>
      </c>
      <c r="T7" s="2016">
        <f>ROUND(IF(项目基本情况!$B$8="出让",SUMPRODUCT(PRODUCT(1+M7:$M$21)),SUMPRODUCT(PRODUCT(1+M7:$M$20))),4)</f>
        <v>1.0079</v>
      </c>
      <c r="U7" s="2016">
        <f>ROUND(IF(项目基本情况!$B$8="出让",SUMPRODUCT(PRODUCT(1+N7:$N$21)),SUMPRODUCT(PRODUCT(1+N7:$N$20))),4)</f>
        <v>1.0672999999999999</v>
      </c>
      <c r="V7" s="2016">
        <f>ROUND(IF(项目基本情况!$B$8="出让",SUMPRODUCT(PRODUCT(1+O7:$O$21)),SUMPRODUCT(PRODUCT(1+O7:$O$20))),4)</f>
        <v>1.0818000000000001</v>
      </c>
      <c r="W7" s="2016">
        <f>T7</f>
        <v>1.0079</v>
      </c>
      <c r="X7" s="2894"/>
      <c r="Y7" s="2017">
        <f>IF(D7=0,0,ROUND(AVERAGE(D7:D20)/100,4))</f>
        <v>4.3E-3</v>
      </c>
      <c r="Z7" s="2017">
        <f t="shared" ref="Z7" si="32">IF(E7=0,0,ROUND(AVERAGE(E7:E20)/100,4))</f>
        <v>3.0999999999999999E-3</v>
      </c>
      <c r="AA7" s="2017">
        <f t="shared" ref="AA7" si="33">IF(F7=0,0,ROUND(AVERAGE(F7:F20)/100,4))</f>
        <v>5.9999999999999995E-4</v>
      </c>
      <c r="AB7" s="2017">
        <f t="shared" ref="AB7" si="34">IF(G7=0,0,ROUND(AVERAGE(G7:G20)/100,4))</f>
        <v>4.7000000000000002E-3</v>
      </c>
      <c r="AC7" s="2017">
        <f t="shared" ref="AC7" si="35">IF(H7=0,0,ROUND(AVERAGE(H7:H20)/100,4))</f>
        <v>5.5999999999999999E-3</v>
      </c>
      <c r="AD7" s="2017">
        <f t="shared" ref="AD7" si="36">AA7</f>
        <v>5.9999999999999995E-4</v>
      </c>
    </row>
    <row r="8" spans="1:30" s="2034" customFormat="1" ht="12.75">
      <c r="A8" s="2893" t="s">
        <v>3369</v>
      </c>
      <c r="B8" s="2020">
        <v>2024</v>
      </c>
      <c r="C8" s="2031">
        <v>2</v>
      </c>
      <c r="D8" s="1996">
        <v>-0.59</v>
      </c>
      <c r="E8" s="1996">
        <v>-0.21</v>
      </c>
      <c r="F8" s="1996">
        <v>-1.38</v>
      </c>
      <c r="G8" s="1996">
        <v>-1.24</v>
      </c>
      <c r="H8" s="2905">
        <v>0.34</v>
      </c>
      <c r="I8" s="1997">
        <f t="shared" ref="I8:I21" si="37">F8</f>
        <v>-1.38</v>
      </c>
      <c r="J8" s="2894"/>
      <c r="K8" s="2032">
        <f t="shared" ref="K8:O21" si="38">D8/100</f>
        <v>-5.8999999999999999E-3</v>
      </c>
      <c r="L8" s="2017">
        <f t="shared" si="38"/>
        <v>-2.0999999999999999E-3</v>
      </c>
      <c r="M8" s="2017">
        <f t="shared" si="38"/>
        <v>-1.38E-2</v>
      </c>
      <c r="N8" s="2017">
        <f t="shared" si="38"/>
        <v>-1.24E-2</v>
      </c>
      <c r="O8" s="2017">
        <f t="shared" si="38"/>
        <v>3.4000000000000002E-3</v>
      </c>
      <c r="P8" s="2017">
        <f>M8</f>
        <v>-1.38E-2</v>
      </c>
      <c r="Q8" s="2894"/>
      <c r="R8" s="2016">
        <f>ROUND(IF(项目基本情况!$B$8="出让",SUMPRODUCT(PRODUCT(1+K8:$K$21)),SUMPRODUCT(PRODUCT(1+K8:$K$20))),4)</f>
        <v>1.0748</v>
      </c>
      <c r="S8" s="2016">
        <f>ROUND(IF(项目基本情况!$B$8="出让",SUMPRODUCT(PRODUCT(1+L8:$L$21)),SUMPRODUCT(PRODUCT(1+L8:$L$20))),4)</f>
        <v>1.0498000000000001</v>
      </c>
      <c r="T8" s="2016">
        <f>ROUND(IF(项目基本情况!$B$8="出让",SUMPRODUCT(PRODUCT(1+M8:$M$21)),SUMPRODUCT(PRODUCT(1+M8:$M$20))),4)</f>
        <v>1.0107999999999999</v>
      </c>
      <c r="U8" s="2016">
        <f>ROUND(IF(项目基本情况!$B$8="出让",SUMPRODUCT(PRODUCT(1+N8:$N$21)),SUMPRODUCT(PRODUCT(1+N8:$N$20))),4)</f>
        <v>1.0752999999999999</v>
      </c>
      <c r="V8" s="2016">
        <f>ROUND(IF(项目基本情况!$B$8="出让",SUMPRODUCT(PRODUCT(1+O8:$O$21)),SUMPRODUCT(PRODUCT(1+O8:$O$20))),4)</f>
        <v>1.0841000000000001</v>
      </c>
      <c r="W8" s="2016">
        <f>T8</f>
        <v>1.0107999999999999</v>
      </c>
      <c r="X8" s="2894"/>
      <c r="Y8" s="2017">
        <f>IF(D8=0,0,ROUND(AVERAGE(D8:D21)/100,4))</f>
        <v>5.8999999999999999E-3</v>
      </c>
      <c r="Z8" s="2017">
        <f t="shared" ref="Z8:AC8" si="39">IF(E8=0,0,ROUND(AVERAGE(E8:E21)/100,4))</f>
        <v>3.5999999999999999E-3</v>
      </c>
      <c r="AA8" s="2017">
        <f t="shared" si="39"/>
        <v>5.9999999999999995E-4</v>
      </c>
      <c r="AB8" s="2017">
        <f t="shared" si="39"/>
        <v>6.0000000000000001E-3</v>
      </c>
      <c r="AC8" s="2017">
        <f t="shared" si="39"/>
        <v>6.0000000000000001E-3</v>
      </c>
      <c r="AD8" s="2017">
        <f t="shared" ref="AD8:AD20" si="40">AA8</f>
        <v>5.9999999999999995E-4</v>
      </c>
    </row>
    <row r="9" spans="1:30" s="2034" customFormat="1" ht="12.75">
      <c r="A9" s="2893" t="s">
        <v>3365</v>
      </c>
      <c r="B9" s="2020">
        <v>2024</v>
      </c>
      <c r="C9" s="2031">
        <v>1</v>
      </c>
      <c r="D9" s="1996">
        <v>0.08</v>
      </c>
      <c r="E9" s="1996">
        <v>0.46</v>
      </c>
      <c r="F9" s="1996">
        <v>-0.16</v>
      </c>
      <c r="G9" s="1996">
        <v>0.26</v>
      </c>
      <c r="H9" s="2905">
        <v>0.59</v>
      </c>
      <c r="I9" s="1997">
        <v>0</v>
      </c>
      <c r="J9" s="2894"/>
      <c r="K9" s="2032">
        <f t="shared" ref="K9" si="41">D9/100</f>
        <v>8.0000000000000004E-4</v>
      </c>
      <c r="L9" s="2017">
        <f t="shared" ref="L9" si="42">E9/100</f>
        <v>4.5999999999999999E-3</v>
      </c>
      <c r="M9" s="2017">
        <f t="shared" ref="M9" si="43">F9/100</f>
        <v>-1.6000000000000001E-3</v>
      </c>
      <c r="N9" s="2017">
        <f t="shared" ref="N9" si="44">G9/100</f>
        <v>2.5999999999999999E-3</v>
      </c>
      <c r="O9" s="2017">
        <f t="shared" ref="O9" si="45">H9/100</f>
        <v>5.8999999999999999E-3</v>
      </c>
      <c r="P9" s="2017">
        <f t="shared" ref="P9" si="46">M9</f>
        <v>-1.6000000000000001E-3</v>
      </c>
      <c r="Q9" s="2894"/>
      <c r="R9" s="2016">
        <f>ROUND(IF(项目基本情况!$B$8="出让",SUMPRODUCT(PRODUCT(1+K9:$K$21)),SUMPRODUCT(PRODUCT(1+K9:$K$20))),4)</f>
        <v>1.0811999999999999</v>
      </c>
      <c r="S9" s="2016">
        <f>ROUND(IF(项目基本情况!$B$8="出让",SUMPRODUCT(PRODUCT(1+L9:$L$21)),SUMPRODUCT(PRODUCT(1+L9:$L$20))),4)</f>
        <v>1.052</v>
      </c>
      <c r="T9" s="2016">
        <f>ROUND(IF(项目基本情况!$B$8="出让",SUMPRODUCT(PRODUCT(1+M9:$M$21)),SUMPRODUCT(PRODUCT(1+M9:$M$20))),4)</f>
        <v>1.0249999999999999</v>
      </c>
      <c r="U9" s="2016">
        <f>ROUND(IF(项目基本情况!$B$8="出让",SUMPRODUCT(PRODUCT(1+N9:$N$21)),SUMPRODUCT(PRODUCT(1+N9:$N$20))),4)</f>
        <v>1.0888</v>
      </c>
      <c r="V9" s="2016">
        <f>ROUND(IF(项目基本情况!$B$8="出让",SUMPRODUCT(PRODUCT(1+O9:$O$21)),SUMPRODUCT(PRODUCT(1+O9:$O$20))),4)</f>
        <v>1.0804</v>
      </c>
      <c r="W9" s="2016">
        <f t="shared" ref="W9" si="47">T9</f>
        <v>1.0249999999999999</v>
      </c>
      <c r="X9" s="2894"/>
      <c r="Y9" s="2017"/>
      <c r="Z9" s="2017"/>
      <c r="AA9" s="2017"/>
      <c r="AB9" s="2017"/>
      <c r="AC9" s="2017"/>
      <c r="AD9" s="2017"/>
    </row>
    <row r="10" spans="1:30" s="2034" customFormat="1" ht="12.75">
      <c r="A10" s="2893" t="s">
        <v>3361</v>
      </c>
      <c r="B10" s="2020">
        <v>2023</v>
      </c>
      <c r="C10" s="2031">
        <v>4</v>
      </c>
      <c r="D10" s="1996">
        <v>0.19</v>
      </c>
      <c r="E10" s="1996">
        <v>0.24</v>
      </c>
      <c r="F10" s="1996">
        <v>-0.16</v>
      </c>
      <c r="G10" s="1996">
        <v>0.17</v>
      </c>
      <c r="H10" s="2905">
        <v>0.61</v>
      </c>
      <c r="I10" s="1997">
        <f>F10</f>
        <v>-0.16</v>
      </c>
      <c r="J10" s="2894"/>
      <c r="K10" s="2032">
        <f t="shared" si="38"/>
        <v>1.9E-3</v>
      </c>
      <c r="L10" s="2017">
        <f t="shared" si="38"/>
        <v>2.3999999999999998E-3</v>
      </c>
      <c r="M10" s="2017">
        <f t="shared" si="38"/>
        <v>-1.6000000000000001E-3</v>
      </c>
      <c r="N10" s="2017">
        <f t="shared" si="38"/>
        <v>1.7000000000000001E-3</v>
      </c>
      <c r="O10" s="2017">
        <f t="shared" si="38"/>
        <v>6.0999999999999995E-3</v>
      </c>
      <c r="P10" s="2017">
        <f t="shared" ref="P10" si="48">M10</f>
        <v>-1.6000000000000001E-3</v>
      </c>
      <c r="Q10" s="2894"/>
      <c r="R10" s="2016">
        <f>ROUND(IF(项目基本情况!$B$8="出让",SUMPRODUCT(PRODUCT(1+K10:$K$21)),SUMPRODUCT(PRODUCT(1+K10:$K$20))),4)</f>
        <v>1.0804</v>
      </c>
      <c r="S10" s="2016">
        <f>ROUND(IF(项目基本情况!$B$8="出让",SUMPRODUCT(PRODUCT(1+L10:$L$21)),SUMPRODUCT(PRODUCT(1+L10:$L$20))),4)</f>
        <v>1.0471999999999999</v>
      </c>
      <c r="T10" s="2016">
        <f>ROUND(IF(项目基本情况!$B$8="出让",SUMPRODUCT(PRODUCT(1+M10:$M$21)),SUMPRODUCT(PRODUCT(1+M10:$M$20))),4)</f>
        <v>1.0266</v>
      </c>
      <c r="U10" s="2016">
        <f>ROUND(IF(项目基本情况!$B$8="出让",SUMPRODUCT(PRODUCT(1+N10:$N$21)),SUMPRODUCT(PRODUCT(1+N10:$N$20))),4)</f>
        <v>1.0859000000000001</v>
      </c>
      <c r="V10" s="2016">
        <f>ROUND(IF(项目基本情况!$B$8="出让",SUMPRODUCT(PRODUCT(1+O10:$O$21)),SUMPRODUCT(PRODUCT(1+O10:$O$20))),4)</f>
        <v>1.0741000000000001</v>
      </c>
      <c r="W10" s="2016">
        <f t="shared" ref="W10" si="49">T10</f>
        <v>1.0266</v>
      </c>
      <c r="X10" s="2894"/>
      <c r="Y10" s="2017"/>
      <c r="Z10" s="2017"/>
      <c r="AA10" s="2017"/>
      <c r="AB10" s="2017"/>
      <c r="AC10" s="2017"/>
      <c r="AD10" s="2017"/>
    </row>
    <row r="11" spans="1:30" s="2034" customFormat="1" ht="12.75">
      <c r="A11" s="2893" t="s">
        <v>3360</v>
      </c>
      <c r="B11" s="2020">
        <v>2023</v>
      </c>
      <c r="C11" s="2031">
        <v>3</v>
      </c>
      <c r="D11" s="1996">
        <v>0.25</v>
      </c>
      <c r="E11" s="1996">
        <v>0.5</v>
      </c>
      <c r="F11" s="1996">
        <v>0.31</v>
      </c>
      <c r="G11" s="1996">
        <v>0.21</v>
      </c>
      <c r="H11" s="2905">
        <v>0.43</v>
      </c>
      <c r="I11" s="1997">
        <f t="shared" si="37"/>
        <v>0.31</v>
      </c>
      <c r="J11" s="2894"/>
      <c r="K11" s="2032">
        <f t="shared" ref="K11:K13" si="50">D11/100</f>
        <v>2.5000000000000001E-3</v>
      </c>
      <c r="L11" s="2017">
        <f t="shared" ref="L11:L13" si="51">E11/100</f>
        <v>5.0000000000000001E-3</v>
      </c>
      <c r="M11" s="2017">
        <f t="shared" ref="M11:M13" si="52">F11/100</f>
        <v>3.0999999999999999E-3</v>
      </c>
      <c r="N11" s="2017">
        <f t="shared" ref="N11:N13" si="53">G11/100</f>
        <v>2.0999999999999999E-3</v>
      </c>
      <c r="O11" s="2017">
        <f t="shared" ref="O11:O13" si="54">H11/100</f>
        <v>4.3E-3</v>
      </c>
      <c r="P11" s="2017">
        <f t="shared" ref="P11:P13" si="55">M11</f>
        <v>3.0999999999999999E-3</v>
      </c>
      <c r="Q11" s="2894"/>
      <c r="R11" s="2016">
        <f>ROUND(IF(项目基本情况!$B$8="出让",SUMPRODUCT(PRODUCT(1+K11:$K$21)),SUMPRODUCT(PRODUCT(1+K11:$K$20))),4)</f>
        <v>1.0783</v>
      </c>
      <c r="S11" s="2016">
        <f>ROUND(IF(项目基本情况!$B$8="出让",SUMPRODUCT(PRODUCT(1+L11:$L$21)),SUMPRODUCT(PRODUCT(1+L11:$L$20))),4)</f>
        <v>1.0447</v>
      </c>
      <c r="T11" s="2016">
        <f>ROUND(IF(项目基本情况!$B$8="出让",SUMPRODUCT(PRODUCT(1+M11:$M$21)),SUMPRODUCT(PRODUCT(1+M11:$M$20))),4)</f>
        <v>1.0282</v>
      </c>
      <c r="U11" s="2016">
        <f>ROUND(IF(项目基本情况!$B$8="出让",SUMPRODUCT(PRODUCT(1+N11:$N$21)),SUMPRODUCT(PRODUCT(1+N11:$N$20))),4)</f>
        <v>1.0841000000000001</v>
      </c>
      <c r="V11" s="2016">
        <f>ROUND(IF(项目基本情况!$B$8="出让",SUMPRODUCT(PRODUCT(1+O11:$O$21)),SUMPRODUCT(PRODUCT(1+O11:$O$20))),4)</f>
        <v>1.0674999999999999</v>
      </c>
      <c r="W11" s="2016">
        <f t="shared" ref="W11:W12" si="56">T11</f>
        <v>1.0282</v>
      </c>
      <c r="X11" s="2894"/>
      <c r="Y11" s="2017"/>
      <c r="Z11" s="2017"/>
      <c r="AA11" s="2017"/>
      <c r="AB11" s="2017"/>
      <c r="AC11" s="2017"/>
      <c r="AD11" s="2017"/>
    </row>
    <row r="12" spans="1:30" s="2034" customFormat="1" ht="12.75">
      <c r="A12" s="2893" t="s">
        <v>3358</v>
      </c>
      <c r="B12" s="2020">
        <v>2023</v>
      </c>
      <c r="C12" s="2031">
        <v>2</v>
      </c>
      <c r="D12" s="1996">
        <v>0.91</v>
      </c>
      <c r="E12" s="1996">
        <v>0.66</v>
      </c>
      <c r="F12" s="1996">
        <v>0.47</v>
      </c>
      <c r="G12" s="1996">
        <v>0.96</v>
      </c>
      <c r="H12" s="2905">
        <v>0.71</v>
      </c>
      <c r="I12" s="1997">
        <f t="shared" si="37"/>
        <v>0.47</v>
      </c>
      <c r="J12" s="2894"/>
      <c r="K12" s="2032">
        <f t="shared" si="50"/>
        <v>9.1000000000000004E-3</v>
      </c>
      <c r="L12" s="2017">
        <f t="shared" si="51"/>
        <v>6.6E-3</v>
      </c>
      <c r="M12" s="2017">
        <f t="shared" si="52"/>
        <v>4.6999999999999993E-3</v>
      </c>
      <c r="N12" s="2017">
        <f t="shared" si="53"/>
        <v>9.5999999999999992E-3</v>
      </c>
      <c r="O12" s="2017">
        <f t="shared" si="54"/>
        <v>7.0999999999999995E-3</v>
      </c>
      <c r="P12" s="2017">
        <f t="shared" si="55"/>
        <v>4.6999999999999993E-3</v>
      </c>
      <c r="Q12" s="2894"/>
      <c r="R12" s="2016">
        <f>ROUND(IF(项目基本情况!$B$8="出让",SUMPRODUCT(PRODUCT(1+K12:$K$21)),SUMPRODUCT(PRODUCT(1+K12:$K$20))),4)</f>
        <v>1.0755999999999999</v>
      </c>
      <c r="S12" s="2016">
        <f>ROUND(IF(项目基本情况!$B$8="出让",SUMPRODUCT(PRODUCT(1+L12:$L$21)),SUMPRODUCT(PRODUCT(1+L12:$L$20))),4)</f>
        <v>1.0395000000000001</v>
      </c>
      <c r="T12" s="2016">
        <f>ROUND(IF(项目基本情况!$B$8="出让",SUMPRODUCT(PRODUCT(1+M12:$M$21)),SUMPRODUCT(PRODUCT(1+M12:$M$20))),4)</f>
        <v>1.0250999999999999</v>
      </c>
      <c r="U12" s="2016">
        <f>ROUND(IF(项目基本情况!$B$8="出让",SUMPRODUCT(PRODUCT(1+N12:$N$21)),SUMPRODUCT(PRODUCT(1+N12:$N$20))),4)</f>
        <v>1.0818000000000001</v>
      </c>
      <c r="V12" s="2016">
        <f>ROUND(IF(项目基本情况!$B$8="出让",SUMPRODUCT(PRODUCT(1+O12:$O$21)),SUMPRODUCT(PRODUCT(1+O12:$O$20))),4)</f>
        <v>1.0629999999999999</v>
      </c>
      <c r="W12" s="2016">
        <f t="shared" si="56"/>
        <v>1.0250999999999999</v>
      </c>
      <c r="X12" s="2894"/>
      <c r="Y12" s="2017"/>
      <c r="Z12" s="2017"/>
      <c r="AA12" s="2017"/>
      <c r="AB12" s="2017"/>
      <c r="AC12" s="2017"/>
      <c r="AD12" s="2017"/>
    </row>
    <row r="13" spans="1:30" s="2034" customFormat="1" ht="12.75">
      <c r="A13" s="2893" t="s">
        <v>3357</v>
      </c>
      <c r="B13" s="2020">
        <v>2023</v>
      </c>
      <c r="C13" s="2031">
        <v>1</v>
      </c>
      <c r="D13" s="1996">
        <v>0.89</v>
      </c>
      <c r="E13" s="1996">
        <v>0.74</v>
      </c>
      <c r="F13" s="1996">
        <v>0.56999999999999995</v>
      </c>
      <c r="G13" s="1996">
        <v>0.92</v>
      </c>
      <c r="H13" s="2905">
        <v>0.5</v>
      </c>
      <c r="I13" s="1997">
        <f t="shared" si="37"/>
        <v>0.56999999999999995</v>
      </c>
      <c r="J13" s="2894"/>
      <c r="K13" s="2032">
        <f t="shared" si="50"/>
        <v>8.8999999999999999E-3</v>
      </c>
      <c r="L13" s="2017">
        <f t="shared" si="51"/>
        <v>7.4000000000000003E-3</v>
      </c>
      <c r="M13" s="2017">
        <f t="shared" si="52"/>
        <v>5.6999999999999993E-3</v>
      </c>
      <c r="N13" s="2017">
        <f t="shared" si="53"/>
        <v>9.1999999999999998E-3</v>
      </c>
      <c r="O13" s="2017">
        <f t="shared" si="54"/>
        <v>5.0000000000000001E-3</v>
      </c>
      <c r="P13" s="2017">
        <f t="shared" si="55"/>
        <v>5.6999999999999993E-3</v>
      </c>
      <c r="Q13" s="2894"/>
      <c r="R13" s="2016">
        <f>ROUND(IF(项目基本情况!$B$8="出让",SUMPRODUCT(PRODUCT(1+K13:$K$21)),SUMPRODUCT(PRODUCT(1+K13:$K$20))),4)</f>
        <v>1.0659000000000001</v>
      </c>
      <c r="S13" s="2016">
        <f>ROUND(IF(项目基本情况!$B$8="出让",SUMPRODUCT(PRODUCT(1+L13:$L$21)),SUMPRODUCT(PRODUCT(1+L13:$L$20))),4)</f>
        <v>1.0326</v>
      </c>
      <c r="T13" s="2016">
        <f>ROUND(IF(项目基本情况!$B$8="出让",SUMPRODUCT(PRODUCT(1+M13:$M$21)),SUMPRODUCT(PRODUCT(1+M13:$M$20))),4)</f>
        <v>1.0203</v>
      </c>
      <c r="U13" s="2016">
        <f>ROUND(IF(项目基本情况!$B$8="出让",SUMPRODUCT(PRODUCT(1+N13:$N$21)),SUMPRODUCT(PRODUCT(1+N13:$N$20))),4)</f>
        <v>1.0714999999999999</v>
      </c>
      <c r="V13" s="2016">
        <f>ROUND(IF(项目基本情况!$B$8="出让",SUMPRODUCT(PRODUCT(1+O13:$O$21)),SUMPRODUCT(PRODUCT(1+O13:$O$20))),4)</f>
        <v>1.0555000000000001</v>
      </c>
      <c r="W13" s="2016">
        <f t="shared" ref="W13:W20" si="57">T13</f>
        <v>1.0203</v>
      </c>
      <c r="X13" s="2894"/>
      <c r="Y13" s="2017"/>
      <c r="Z13" s="2017"/>
      <c r="AA13" s="2017"/>
      <c r="AB13" s="2017"/>
      <c r="AC13" s="2017"/>
      <c r="AD13" s="2017"/>
    </row>
    <row r="14" spans="1:30" s="2034" customFormat="1" ht="12.75">
      <c r="A14" s="2893" t="s">
        <v>3356</v>
      </c>
      <c r="B14" s="2020">
        <v>2022</v>
      </c>
      <c r="C14" s="2031">
        <v>4</v>
      </c>
      <c r="D14" s="1996">
        <v>0.62</v>
      </c>
      <c r="E14" s="1996">
        <v>0.2</v>
      </c>
      <c r="F14" s="1996">
        <v>0.11</v>
      </c>
      <c r="G14" s="1996">
        <v>0.69</v>
      </c>
      <c r="H14" s="2905">
        <v>0.53</v>
      </c>
      <c r="I14" s="1997">
        <f t="shared" si="37"/>
        <v>0.11</v>
      </c>
      <c r="J14" s="2894"/>
      <c r="K14" s="2032">
        <f t="shared" si="38"/>
        <v>6.1999999999999998E-3</v>
      </c>
      <c r="L14" s="2017">
        <f t="shared" si="38"/>
        <v>2E-3</v>
      </c>
      <c r="M14" s="2017">
        <f t="shared" si="38"/>
        <v>1.1000000000000001E-3</v>
      </c>
      <c r="N14" s="2017">
        <f t="shared" si="38"/>
        <v>6.8999999999999999E-3</v>
      </c>
      <c r="O14" s="2017">
        <f t="shared" si="38"/>
        <v>5.3E-3</v>
      </c>
      <c r="P14" s="2017">
        <f t="shared" ref="P14:P21" si="58">M14</f>
        <v>1.1000000000000001E-3</v>
      </c>
      <c r="Q14" s="2894"/>
      <c r="R14" s="2016">
        <f>ROUND(IF(项目基本情况!$B$8="出让",SUMPRODUCT(PRODUCT(1+K14:$K$21)),SUMPRODUCT(PRODUCT(1+K14:$K$20))),4)</f>
        <v>1.0565</v>
      </c>
      <c r="S14" s="2016">
        <f>ROUND(IF(项目基本情况!$B$8="出让",SUMPRODUCT(PRODUCT(1+L14:$L$21)),SUMPRODUCT(PRODUCT(1+L14:$L$20))),4)</f>
        <v>1.0250999999999999</v>
      </c>
      <c r="T14" s="2016">
        <f>ROUND(IF(项目基本情况!$B$8="出让",SUMPRODUCT(PRODUCT(1+M14:$M$21)),SUMPRODUCT(PRODUCT(1+M14:$M$20))),4)</f>
        <v>1.0145</v>
      </c>
      <c r="U14" s="2016">
        <f>ROUND(IF(项目基本情况!$B$8="出让",SUMPRODUCT(PRODUCT(1+N14:$N$21)),SUMPRODUCT(PRODUCT(1+N14:$N$20))),4)</f>
        <v>1.0618000000000001</v>
      </c>
      <c r="V14" s="2016">
        <f>ROUND(IF(项目基本情况!$B$8="出让",SUMPRODUCT(PRODUCT(1+O14:$O$21)),SUMPRODUCT(PRODUCT(1+O14:$O$20))),4)</f>
        <v>1.0502</v>
      </c>
      <c r="W14" s="2016">
        <f t="shared" si="57"/>
        <v>1.0145</v>
      </c>
      <c r="X14" s="2894"/>
      <c r="Y14" s="2017">
        <f>IF(D14=0,0,ROUND(AVERAGE(D14:D22)/100,4))</f>
        <v>8.0999999999999996E-3</v>
      </c>
      <c r="Z14" s="2017">
        <f t="shared" ref="Z14:AC14" si="59">IF(E14=0,0,ROUND(AVERAGE(E14:E21)/100,4))</f>
        <v>3.3E-3</v>
      </c>
      <c r="AA14" s="2017">
        <f t="shared" si="59"/>
        <v>1.5E-3</v>
      </c>
      <c r="AB14" s="2017">
        <f t="shared" si="59"/>
        <v>8.8999999999999999E-3</v>
      </c>
      <c r="AC14" s="2017">
        <f t="shared" si="59"/>
        <v>6.6E-3</v>
      </c>
      <c r="AD14" s="2017">
        <f t="shared" si="40"/>
        <v>1.5E-3</v>
      </c>
    </row>
    <row r="15" spans="1:30" s="2034" customFormat="1" ht="12.75">
      <c r="A15" s="2893" t="s">
        <v>3354</v>
      </c>
      <c r="B15" s="2020">
        <v>2022</v>
      </c>
      <c r="C15" s="2031">
        <v>3</v>
      </c>
      <c r="D15" s="1996">
        <v>0.66</v>
      </c>
      <c r="E15" s="1996">
        <v>0.32</v>
      </c>
      <c r="F15" s="1996">
        <v>0.23</v>
      </c>
      <c r="G15" s="1996">
        <v>0.72</v>
      </c>
      <c r="H15" s="2905">
        <v>0.63</v>
      </c>
      <c r="I15" s="1997">
        <f t="shared" si="37"/>
        <v>0.23</v>
      </c>
      <c r="J15" s="2894"/>
      <c r="K15" s="2032">
        <f t="shared" si="38"/>
        <v>6.6E-3</v>
      </c>
      <c r="L15" s="2017">
        <f t="shared" si="38"/>
        <v>3.2000000000000002E-3</v>
      </c>
      <c r="M15" s="2017">
        <f t="shared" si="38"/>
        <v>2.3E-3</v>
      </c>
      <c r="N15" s="2017">
        <f t="shared" si="38"/>
        <v>7.1999999999999998E-3</v>
      </c>
      <c r="O15" s="2017">
        <f t="shared" si="38"/>
        <v>6.3E-3</v>
      </c>
      <c r="P15" s="2017">
        <f t="shared" si="58"/>
        <v>2.3E-3</v>
      </c>
      <c r="Q15" s="2894"/>
      <c r="R15" s="2016">
        <f>ROUND(IF(项目基本情况!$B$8="出让",SUMPRODUCT(PRODUCT(1+K15:$K$21)),SUMPRODUCT(PRODUCT(1+K15:$K$20))),4)</f>
        <v>1.05</v>
      </c>
      <c r="S15" s="2016">
        <f>ROUND(IF(项目基本情况!$B$8="出让",SUMPRODUCT(PRODUCT(1+L15:$L$21)),SUMPRODUCT(PRODUCT(1+L15:$L$20))),4)</f>
        <v>1.0229999999999999</v>
      </c>
      <c r="T15" s="2016">
        <f>ROUND(IF(项目基本情况!$B$8="出让",SUMPRODUCT(PRODUCT(1+M15:$M$21)),SUMPRODUCT(PRODUCT(1+M15:$M$20))),4)</f>
        <v>1.0134000000000001</v>
      </c>
      <c r="U15" s="2016">
        <f>ROUND(IF(项目基本情况!$B$8="出让",SUMPRODUCT(PRODUCT(1+N15:$N$21)),SUMPRODUCT(PRODUCT(1+N15:$N$20))),4)</f>
        <v>1.0545</v>
      </c>
      <c r="V15" s="2016">
        <f>ROUND(IF(项目基本情况!$B$8="出让",SUMPRODUCT(PRODUCT(1+O15:$O$21)),SUMPRODUCT(PRODUCT(1+O15:$O$20))),4)</f>
        <v>1.0447</v>
      </c>
      <c r="W15" s="2016">
        <f t="shared" si="57"/>
        <v>1.0134000000000001</v>
      </c>
      <c r="X15" s="2894"/>
      <c r="Y15" s="2017">
        <f>IF(D15=0,0,ROUND(AVERAGE(D15:D21)/100,4))</f>
        <v>8.3999999999999995E-3</v>
      </c>
      <c r="Z15" s="2017">
        <f t="shared" ref="Z15:AC15" si="60">IF(E15=0,0,ROUND(AVERAGE(E15:E21)/100,4))</f>
        <v>3.5000000000000001E-3</v>
      </c>
      <c r="AA15" s="2017">
        <f t="shared" si="60"/>
        <v>1.5E-3</v>
      </c>
      <c r="AB15" s="2017">
        <f t="shared" si="60"/>
        <v>9.1999999999999998E-3</v>
      </c>
      <c r="AC15" s="2017">
        <f t="shared" si="60"/>
        <v>6.7999999999999996E-3</v>
      </c>
      <c r="AD15" s="2017">
        <f t="shared" si="40"/>
        <v>1.5E-3</v>
      </c>
    </row>
    <row r="16" spans="1:30" s="2034" customFormat="1" ht="12.75">
      <c r="A16" s="2893" t="s">
        <v>3345</v>
      </c>
      <c r="B16" s="2020">
        <v>2022</v>
      </c>
      <c r="C16" s="2031">
        <v>2</v>
      </c>
      <c r="D16" s="1996">
        <v>0.93</v>
      </c>
      <c r="E16" s="1996">
        <v>0.15</v>
      </c>
      <c r="F16" s="1996">
        <v>0.01</v>
      </c>
      <c r="G16" s="1996">
        <v>1.05</v>
      </c>
      <c r="H16" s="2905">
        <v>1.08</v>
      </c>
      <c r="I16" s="1997">
        <f t="shared" si="37"/>
        <v>0.01</v>
      </c>
      <c r="J16" s="2894"/>
      <c r="K16" s="2032">
        <f t="shared" si="38"/>
        <v>9.300000000000001E-3</v>
      </c>
      <c r="L16" s="2017">
        <f t="shared" si="38"/>
        <v>1.5E-3</v>
      </c>
      <c r="M16" s="2017">
        <f t="shared" si="38"/>
        <v>1E-4</v>
      </c>
      <c r="N16" s="2017">
        <f t="shared" si="38"/>
        <v>1.0500000000000001E-2</v>
      </c>
      <c r="O16" s="2017">
        <f t="shared" si="38"/>
        <v>1.0800000000000001E-2</v>
      </c>
      <c r="P16" s="2017">
        <f t="shared" si="58"/>
        <v>1E-4</v>
      </c>
      <c r="Q16" s="2894"/>
      <c r="R16" s="2016">
        <f>ROUND(IF(项目基本情况!$B$8="出让",SUMPRODUCT(PRODUCT(1+K16:$K$21)),SUMPRODUCT(PRODUCT(1+K16:$K$20))),4)</f>
        <v>1.0430999999999999</v>
      </c>
      <c r="S16" s="2016">
        <f>ROUND(IF(项目基本情况!$B$8="出让",SUMPRODUCT(PRODUCT(1+L16:$L$21)),SUMPRODUCT(PRODUCT(1+L16:$L$20))),4)</f>
        <v>1.0197000000000001</v>
      </c>
      <c r="T16" s="2016">
        <f>ROUND(IF(项目基本情况!$B$8="出让",SUMPRODUCT(PRODUCT(1+M16:$M$21)),SUMPRODUCT(PRODUCT(1+M16:$M$20))),4)</f>
        <v>1.0109999999999999</v>
      </c>
      <c r="U16" s="2016">
        <f>ROUND(IF(项目基本情况!$B$8="出让",SUMPRODUCT(PRODUCT(1+N16:$N$21)),SUMPRODUCT(PRODUCT(1+N16:$N$20))),4)</f>
        <v>1.0468999999999999</v>
      </c>
      <c r="V16" s="2016">
        <f>ROUND(IF(项目基本情况!$B$8="出让",SUMPRODUCT(PRODUCT(1+O16:$O$21)),SUMPRODUCT(PRODUCT(1+O16:$O$20))),4)</f>
        <v>1.0382</v>
      </c>
      <c r="W16" s="2016">
        <f t="shared" si="57"/>
        <v>1.0109999999999999</v>
      </c>
      <c r="X16" s="2894"/>
      <c r="Y16" s="2017">
        <f>IF(D16=0,0,ROUND(AVERAGE(D16:D21)/100,4))</f>
        <v>8.6999999999999994E-3</v>
      </c>
      <c r="Z16" s="2017">
        <f t="shared" ref="Z16:AC16" si="61">IF(E16=0,0,ROUND(AVERAGE(E16:E21)/100,4))</f>
        <v>3.5000000000000001E-3</v>
      </c>
      <c r="AA16" s="2017">
        <f t="shared" si="61"/>
        <v>1.4E-3</v>
      </c>
      <c r="AB16" s="2017">
        <f t="shared" si="61"/>
        <v>9.4999999999999998E-3</v>
      </c>
      <c r="AC16" s="2017">
        <f t="shared" si="61"/>
        <v>6.8999999999999999E-3</v>
      </c>
      <c r="AD16" s="2017">
        <f t="shared" si="40"/>
        <v>1.4E-3</v>
      </c>
    </row>
    <row r="17" spans="1:30" s="2034" customFormat="1" ht="12.75">
      <c r="A17" s="2893" t="s">
        <v>2810</v>
      </c>
      <c r="B17" s="2020">
        <v>2022</v>
      </c>
      <c r="C17" s="2031">
        <v>1</v>
      </c>
      <c r="D17" s="1996">
        <v>0.89</v>
      </c>
      <c r="E17" s="1996">
        <v>0.44</v>
      </c>
      <c r="F17" s="1996">
        <v>0.37</v>
      </c>
      <c r="G17" s="1996">
        <v>0.96</v>
      </c>
      <c r="H17" s="2905">
        <v>0.64</v>
      </c>
      <c r="I17" s="1997">
        <f t="shared" si="37"/>
        <v>0.37</v>
      </c>
      <c r="J17" s="2894"/>
      <c r="K17" s="2032">
        <f t="shared" si="38"/>
        <v>8.8999999999999999E-3</v>
      </c>
      <c r="L17" s="2017">
        <f t="shared" si="38"/>
        <v>4.4000000000000003E-3</v>
      </c>
      <c r="M17" s="2017">
        <f t="shared" si="38"/>
        <v>3.7000000000000002E-3</v>
      </c>
      <c r="N17" s="2017">
        <f t="shared" si="38"/>
        <v>9.5999999999999992E-3</v>
      </c>
      <c r="O17" s="2017">
        <f t="shared" si="38"/>
        <v>6.4000000000000003E-3</v>
      </c>
      <c r="P17" s="2017">
        <f t="shared" si="58"/>
        <v>3.7000000000000002E-3</v>
      </c>
      <c r="Q17" s="2894"/>
      <c r="R17" s="2016">
        <f>ROUND(IF(项目基本情况!$B$8="出让",SUMPRODUCT(PRODUCT(1+K17:$K$21)),SUMPRODUCT(PRODUCT(1+K17:$K$20))),4)</f>
        <v>1.0335000000000001</v>
      </c>
      <c r="S17" s="2016">
        <f>ROUND(IF(项目基本情况!$B$8="出让",SUMPRODUCT(PRODUCT(1+L17:$L$21)),SUMPRODUCT(PRODUCT(1+L17:$L$20))),4)</f>
        <v>1.0182</v>
      </c>
      <c r="T17" s="2016">
        <f>ROUND(IF(项目基本情况!$B$8="出让",SUMPRODUCT(PRODUCT(1+M17:$M$21)),SUMPRODUCT(PRODUCT(1+M17:$M$20))),4)</f>
        <v>1.0108999999999999</v>
      </c>
      <c r="U17" s="2016">
        <f>ROUND(IF(项目基本情况!$B$8="出让",SUMPRODUCT(PRODUCT(1+N17:$N$21)),SUMPRODUCT(PRODUCT(1+N17:$N$20))),4)</f>
        <v>1.0361</v>
      </c>
      <c r="V17" s="2016">
        <f>ROUND(IF(项目基本情况!$B$8="出让",SUMPRODUCT(PRODUCT(1+O17:$O$21)),SUMPRODUCT(PRODUCT(1+O17:$O$20))),4)</f>
        <v>1.0270999999999999</v>
      </c>
      <c r="W17" s="2016">
        <f t="shared" si="57"/>
        <v>1.0108999999999999</v>
      </c>
      <c r="X17" s="2894"/>
      <c r="Y17" s="2017">
        <f>IF(D17=0,0,ROUND(AVERAGE(D17:D21)/100,4))</f>
        <v>8.6E-3</v>
      </c>
      <c r="Z17" s="2017">
        <f t="shared" ref="Z17:AC17" si="62">IF(E17=0,0,ROUND(AVERAGE(E17:E21)/100,4))</f>
        <v>3.8999999999999998E-3</v>
      </c>
      <c r="AA17" s="2017">
        <f t="shared" si="62"/>
        <v>1.6999999999999999E-3</v>
      </c>
      <c r="AB17" s="2017">
        <f t="shared" si="62"/>
        <v>9.2999999999999992E-3</v>
      </c>
      <c r="AC17" s="2017">
        <f t="shared" si="62"/>
        <v>6.1000000000000004E-3</v>
      </c>
      <c r="AD17" s="2017">
        <f t="shared" si="40"/>
        <v>1.6999999999999999E-3</v>
      </c>
    </row>
    <row r="18" spans="1:30" s="2034" customFormat="1" ht="12.75">
      <c r="A18" s="2893" t="s">
        <v>2811</v>
      </c>
      <c r="B18" s="2020">
        <v>2021</v>
      </c>
      <c r="C18" s="2031">
        <v>4</v>
      </c>
      <c r="D18" s="1996">
        <v>1.03</v>
      </c>
      <c r="E18" s="1996">
        <v>0.24</v>
      </c>
      <c r="F18" s="1996">
        <v>7.0000000000000007E-2</v>
      </c>
      <c r="G18" s="1996">
        <v>1.17</v>
      </c>
      <c r="H18" s="2905">
        <v>0.55000000000000004</v>
      </c>
      <c r="I18" s="1997">
        <f t="shared" si="37"/>
        <v>7.0000000000000007E-2</v>
      </c>
      <c r="J18" s="2894"/>
      <c r="K18" s="2032">
        <f t="shared" si="38"/>
        <v>1.03E-2</v>
      </c>
      <c r="L18" s="2017">
        <f t="shared" si="38"/>
        <v>2.3999999999999998E-3</v>
      </c>
      <c r="M18" s="2017">
        <f t="shared" si="38"/>
        <v>7.000000000000001E-4</v>
      </c>
      <c r="N18" s="2017">
        <f t="shared" si="38"/>
        <v>1.1699999999999999E-2</v>
      </c>
      <c r="O18" s="2017">
        <f t="shared" si="38"/>
        <v>5.5000000000000005E-3</v>
      </c>
      <c r="P18" s="2017">
        <f t="shared" si="58"/>
        <v>7.000000000000001E-4</v>
      </c>
      <c r="Q18" s="2894"/>
      <c r="R18" s="2016">
        <f>ROUND(IF(项目基本情况!$B$8="出让",SUMPRODUCT(PRODUCT(1+K18:$K$21)),SUMPRODUCT(PRODUCT(1+K18:$K$20))),4)</f>
        <v>1.0244</v>
      </c>
      <c r="S18" s="2016">
        <f>ROUND(IF(项目基本情况!$B$8="出让",SUMPRODUCT(PRODUCT(1+L18:$L$21)),SUMPRODUCT(PRODUCT(1+L18:$L$20))),4)</f>
        <v>1.0138</v>
      </c>
      <c r="T18" s="2016">
        <f>ROUND(IF(项目基本情况!$B$8="出让",SUMPRODUCT(PRODUCT(1+M18:$M$21)),SUMPRODUCT(PRODUCT(1+M18:$M$20))),4)</f>
        <v>1.0072000000000001</v>
      </c>
      <c r="U18" s="2016">
        <f>ROUND(IF(项目基本情况!$B$8="出让",SUMPRODUCT(PRODUCT(1+N18:$N$21)),SUMPRODUCT(PRODUCT(1+N18:$N$20))),4)</f>
        <v>1.0262</v>
      </c>
      <c r="V18" s="2016">
        <f>ROUND(IF(项目基本情况!$B$8="出让",SUMPRODUCT(PRODUCT(1+O18:$O$21)),SUMPRODUCT(PRODUCT(1+O18:$O$20))),4)</f>
        <v>1.0205</v>
      </c>
      <c r="W18" s="2016">
        <f t="shared" si="57"/>
        <v>1.0072000000000001</v>
      </c>
      <c r="X18" s="2894"/>
      <c r="Y18" s="2017">
        <f>IF(D18=0,0,ROUND(AVERAGE(D18:D21)/100,4))</f>
        <v>8.5000000000000006E-3</v>
      </c>
      <c r="Z18" s="2017">
        <f t="shared" ref="Z18:AC18" si="63">IF(E18=0,0,ROUND(AVERAGE(E18:E21)/100,4))</f>
        <v>3.8E-3</v>
      </c>
      <c r="AA18" s="2017">
        <f t="shared" si="63"/>
        <v>1.1999999999999999E-3</v>
      </c>
      <c r="AB18" s="2017">
        <f t="shared" si="63"/>
        <v>9.2999999999999992E-3</v>
      </c>
      <c r="AC18" s="2017">
        <f t="shared" si="63"/>
        <v>6.0000000000000001E-3</v>
      </c>
      <c r="AD18" s="2017">
        <f t="shared" si="40"/>
        <v>1.1999999999999999E-3</v>
      </c>
    </row>
    <row r="19" spans="1:30" s="2034" customFormat="1" ht="12.75">
      <c r="A19" s="2893" t="s">
        <v>2812</v>
      </c>
      <c r="B19" s="2020">
        <v>2021</v>
      </c>
      <c r="C19" s="2031">
        <v>3</v>
      </c>
      <c r="D19" s="1996">
        <v>0.47</v>
      </c>
      <c r="E19" s="1996">
        <v>0.41</v>
      </c>
      <c r="F19" s="1996">
        <v>0.24</v>
      </c>
      <c r="G19" s="1996">
        <v>0.48</v>
      </c>
      <c r="H19" s="2905">
        <v>0.48</v>
      </c>
      <c r="I19" s="1997">
        <f t="shared" si="37"/>
        <v>0.24</v>
      </c>
      <c r="J19" s="2894"/>
      <c r="K19" s="2032">
        <f t="shared" si="38"/>
        <v>4.6999999999999993E-3</v>
      </c>
      <c r="L19" s="2017">
        <f t="shared" si="38"/>
        <v>4.0999999999999995E-3</v>
      </c>
      <c r="M19" s="2017">
        <f t="shared" si="38"/>
        <v>2.3999999999999998E-3</v>
      </c>
      <c r="N19" s="2017">
        <f t="shared" si="38"/>
        <v>4.7999999999999996E-3</v>
      </c>
      <c r="O19" s="2017">
        <f t="shared" si="38"/>
        <v>4.7999999999999996E-3</v>
      </c>
      <c r="P19" s="2017">
        <f t="shared" si="58"/>
        <v>2.3999999999999998E-3</v>
      </c>
      <c r="Q19" s="2894"/>
      <c r="R19" s="2016">
        <f>ROUND(IF(项目基本情况!$B$8="出让",SUMPRODUCT(PRODUCT(1+K19:$K$21)),SUMPRODUCT(PRODUCT(1+K19:$K$20))),4)</f>
        <v>1.0139</v>
      </c>
      <c r="S19" s="2016">
        <f>ROUND(IF(项目基本情况!$B$8="出让",SUMPRODUCT(PRODUCT(1+L19:$L$21)),SUMPRODUCT(PRODUCT(1+L19:$L$20))),4)</f>
        <v>1.0113000000000001</v>
      </c>
      <c r="T19" s="2016">
        <f>ROUND(IF(项目基本情况!$B$8="出让",SUMPRODUCT(PRODUCT(1+M19:$M$21)),SUMPRODUCT(PRODUCT(1+M19:$M$20))),4)</f>
        <v>1.0065</v>
      </c>
      <c r="U19" s="2016">
        <f>ROUND(IF(项目基本情况!$B$8="出让",SUMPRODUCT(PRODUCT(1+N19:$N$21)),SUMPRODUCT(PRODUCT(1+N19:$N$20))),4)</f>
        <v>1.0143</v>
      </c>
      <c r="V19" s="2016">
        <f>ROUND(IF(项目基本情况!$B$8="出让",SUMPRODUCT(PRODUCT(1+O19:$O$21)),SUMPRODUCT(PRODUCT(1+O19:$O$20))),4)</f>
        <v>1.0148999999999999</v>
      </c>
      <c r="W19" s="2016">
        <f t="shared" si="57"/>
        <v>1.0065</v>
      </c>
      <c r="X19" s="2894"/>
      <c r="Y19" s="2017">
        <f>IF(D19=0,0,ROUND(AVERAGE(D19:D21)/100,4))</f>
        <v>7.9000000000000008E-3</v>
      </c>
      <c r="Z19" s="2017">
        <f>IF(E19=0,0,ROUND(AVERAGE(E19:E21)/100,4))</f>
        <v>4.3E-3</v>
      </c>
      <c r="AA19" s="2017">
        <f>IF(F19=0,0,ROUND(AVERAGE(F19:F21)/100,4))</f>
        <v>1.2999999999999999E-3</v>
      </c>
      <c r="AB19" s="2017">
        <f>IF(G19=0,0,ROUND(AVERAGE(G19:G21)/100,4))</f>
        <v>8.5000000000000006E-3</v>
      </c>
      <c r="AC19" s="2017">
        <f>IF(H19=0,0,ROUND(AVERAGE(H19:H21)/100,4))</f>
        <v>6.1999999999999998E-3</v>
      </c>
      <c r="AD19" s="2017">
        <f t="shared" si="40"/>
        <v>1.2999999999999999E-3</v>
      </c>
    </row>
    <row r="20" spans="1:30" s="2034" customFormat="1" ht="12.75">
      <c r="A20" s="2893" t="s">
        <v>2813</v>
      </c>
      <c r="B20" s="2020">
        <v>2021</v>
      </c>
      <c r="C20" s="2031">
        <v>2</v>
      </c>
      <c r="D20" s="1996">
        <v>0.92</v>
      </c>
      <c r="E20" s="1996">
        <v>0.72</v>
      </c>
      <c r="F20" s="1996">
        <v>0.41</v>
      </c>
      <c r="G20" s="1996">
        <v>0.95</v>
      </c>
      <c r="H20" s="2905">
        <v>1.01</v>
      </c>
      <c r="I20" s="1997">
        <f t="shared" si="37"/>
        <v>0.41</v>
      </c>
      <c r="J20" s="2894"/>
      <c r="K20" s="2032">
        <f t="shared" si="38"/>
        <v>9.1999999999999998E-3</v>
      </c>
      <c r="L20" s="2017">
        <f t="shared" si="38"/>
        <v>7.1999999999999998E-3</v>
      </c>
      <c r="M20" s="2017">
        <f t="shared" si="38"/>
        <v>4.0999999999999995E-3</v>
      </c>
      <c r="N20" s="2017">
        <f t="shared" si="38"/>
        <v>9.4999999999999998E-3</v>
      </c>
      <c r="O20" s="2017">
        <f t="shared" si="38"/>
        <v>1.01E-2</v>
      </c>
      <c r="P20" s="2017">
        <f t="shared" si="58"/>
        <v>4.0999999999999995E-3</v>
      </c>
      <c r="Q20" s="2894"/>
      <c r="R20" s="2016">
        <f>ROUND(IF(项目基本情况!$B$8="出让",SUMPRODUCT(PRODUCT(1+K20:$K$21)),SUMPRODUCT(PRODUCT(1+K20:$K$20))),4)</f>
        <v>1.0092000000000001</v>
      </c>
      <c r="S20" s="2016">
        <f>ROUND(IF(项目基本情况!$B$8="出让",SUMPRODUCT(PRODUCT(1+L20:$L$21)),SUMPRODUCT(PRODUCT(1+L20:$L$20))),4)</f>
        <v>1.0072000000000001</v>
      </c>
      <c r="T20" s="2016">
        <f>ROUND(IF(项目基本情况!$B$8="出让",SUMPRODUCT(PRODUCT(1+M20:$M$21)),SUMPRODUCT(PRODUCT(1+M20:$M$20))),4)</f>
        <v>1.0041</v>
      </c>
      <c r="U20" s="2016">
        <f>ROUND(IF(项目基本情况!$B$8="出让",SUMPRODUCT(PRODUCT(1+N20:$N$21)),SUMPRODUCT(PRODUCT(1+N20:$N$20))),4)</f>
        <v>1.0095000000000001</v>
      </c>
      <c r="V20" s="2016">
        <f>ROUND(IF(项目基本情况!$B$8="出让",SUMPRODUCT(PRODUCT(1+O20:$O$21)),SUMPRODUCT(PRODUCT(1+O20:$O$20))),4)</f>
        <v>1.0101</v>
      </c>
      <c r="W20" s="2016">
        <f t="shared" si="57"/>
        <v>1.0041</v>
      </c>
      <c r="X20" s="2894"/>
      <c r="Y20" s="2017">
        <f>IF(D20=0,0,ROUND(AVERAGE(D20:D21)/100,4))</f>
        <v>9.4999999999999998E-3</v>
      </c>
      <c r="Z20" s="2017">
        <f>IF(E20=0,0,ROUND(AVERAGE(E20:E21)/100,4))</f>
        <v>4.4000000000000003E-3</v>
      </c>
      <c r="AA20" s="2017">
        <f>IF(F20=0,0,ROUND(AVERAGE(F20:F21)/100,4))</f>
        <v>8.0000000000000004E-4</v>
      </c>
      <c r="AB20" s="2017">
        <f>IF(G20=0,0,ROUND(AVERAGE(G20:G21)/100,4))</f>
        <v>1.03E-2</v>
      </c>
      <c r="AC20" s="2017">
        <f>IF(H20=0,0,ROUND(AVERAGE(H20:H21)/100,4))</f>
        <v>6.8999999999999999E-3</v>
      </c>
      <c r="AD20" s="2017">
        <f t="shared" si="40"/>
        <v>8.0000000000000004E-4</v>
      </c>
    </row>
    <row r="21" spans="1:30" s="2916" customFormat="1" thickBot="1">
      <c r="A21" s="2906" t="s">
        <v>2814</v>
      </c>
      <c r="B21" s="2907">
        <v>2021</v>
      </c>
      <c r="C21" s="2908">
        <v>1</v>
      </c>
      <c r="D21" s="2909">
        <v>0.97</v>
      </c>
      <c r="E21" s="2909">
        <v>0.16</v>
      </c>
      <c r="F21" s="2909">
        <v>-0.25</v>
      </c>
      <c r="G21" s="2909">
        <v>1.1100000000000001</v>
      </c>
      <c r="H21" s="2910">
        <v>0.36</v>
      </c>
      <c r="I21" s="2911">
        <f t="shared" si="37"/>
        <v>-0.25</v>
      </c>
      <c r="J21" s="2912"/>
      <c r="K21" s="2913">
        <f t="shared" si="38"/>
        <v>9.7000000000000003E-3</v>
      </c>
      <c r="L21" s="2914">
        <f t="shared" si="38"/>
        <v>1.6000000000000001E-3</v>
      </c>
      <c r="M21" s="2914">
        <f>F21/100</f>
        <v>-2.5000000000000001E-3</v>
      </c>
      <c r="N21" s="2914">
        <f t="shared" si="38"/>
        <v>1.11E-2</v>
      </c>
      <c r="O21" s="2914">
        <f t="shared" si="38"/>
        <v>3.5999999999999999E-3</v>
      </c>
      <c r="P21" s="2914">
        <f t="shared" si="58"/>
        <v>-2.5000000000000001E-3</v>
      </c>
      <c r="Q21" s="2912"/>
      <c r="R21" s="2915">
        <v>1</v>
      </c>
      <c r="S21" s="2915">
        <v>1</v>
      </c>
      <c r="T21" s="2915">
        <v>1</v>
      </c>
      <c r="U21" s="2915">
        <v>1</v>
      </c>
      <c r="V21" s="2915">
        <v>1</v>
      </c>
      <c r="W21" s="2915">
        <f t="shared" ref="W21" si="64">T21</f>
        <v>1</v>
      </c>
      <c r="X21" s="2912"/>
      <c r="Y21" s="2914">
        <f>IF(D21=0,0,ROUND(AVERAGE(D21:D21)/100,4))</f>
        <v>9.7000000000000003E-3</v>
      </c>
      <c r="Z21" s="2914">
        <f>IF(E21=0,0,ROUND(AVERAGE(E21:E21)/100,4))</f>
        <v>1.6000000000000001E-3</v>
      </c>
      <c r="AA21" s="2914">
        <f>IF(F21=0,0,ROUND(AVERAGE(F21:F21)/100,4))</f>
        <v>-2.5000000000000001E-3</v>
      </c>
      <c r="AB21" s="2914">
        <f>IF(G21=0,0,ROUND(AVERAGE(G21:G21)/100,4))</f>
        <v>1.11E-2</v>
      </c>
      <c r="AC21" s="2914">
        <f>IF(H21=0,0,ROUND(AVERAGE(H21:H21)/100,4))</f>
        <v>3.5999999999999999E-3</v>
      </c>
      <c r="AD21" s="2914">
        <f>AA21</f>
        <v>-2.5000000000000001E-3</v>
      </c>
    </row>
    <row r="22" spans="1:30" ht="14.25" thickTop="1"/>
    <row r="23" spans="1:30">
      <c r="A23" s="3130" t="s">
        <v>3375</v>
      </c>
    </row>
    <row r="24" spans="1:30">
      <c r="I24" s="1394" t="s">
        <v>2815</v>
      </c>
    </row>
    <row r="26" spans="1:30" s="1998" customFormat="1" ht="12.75">
      <c r="B26" s="2917" t="s">
        <v>3373</v>
      </c>
      <c r="C26" s="2918"/>
      <c r="D26" s="2918"/>
      <c r="E26" s="2918"/>
      <c r="F26" s="2918"/>
      <c r="G26" s="2918"/>
      <c r="H26" s="2918"/>
      <c r="I26" s="2918"/>
      <c r="J26" s="2884"/>
      <c r="K26" s="2918" t="s">
        <v>2816</v>
      </c>
      <c r="L26" s="2918"/>
      <c r="M26" s="2918"/>
      <c r="N26" s="2918"/>
      <c r="O26" s="2918"/>
      <c r="P26" s="2918"/>
      <c r="Q26" s="2884"/>
      <c r="R26" s="3528" t="s">
        <v>2817</v>
      </c>
      <c r="S26" s="3529"/>
      <c r="T26" s="3529"/>
      <c r="U26" s="3529"/>
      <c r="V26" s="3529"/>
      <c r="W26" s="3529"/>
      <c r="X26" s="2884"/>
      <c r="Y26" s="3528" t="s">
        <v>2818</v>
      </c>
      <c r="Z26" s="3529"/>
      <c r="AA26" s="3529"/>
      <c r="AB26" s="3529"/>
      <c r="AC26" s="3529"/>
      <c r="AD26" s="3529"/>
    </row>
    <row r="27" spans="1:30" s="1999" customFormat="1" ht="14.25" thickBot="1">
      <c r="B27" s="2869"/>
      <c r="C27" s="2870"/>
      <c r="D27" s="2000" t="s">
        <v>2819</v>
      </c>
      <c r="E27" s="2001" t="s">
        <v>2820</v>
      </c>
      <c r="F27" s="2001" t="s">
        <v>2821</v>
      </c>
      <c r="G27" s="2001" t="s">
        <v>2822</v>
      </c>
      <c r="H27" s="2001"/>
      <c r="I27" s="2001" t="s">
        <v>2823</v>
      </c>
      <c r="J27" s="2871"/>
      <c r="K27" s="2000" t="s">
        <v>2819</v>
      </c>
      <c r="L27" s="2001" t="s">
        <v>2820</v>
      </c>
      <c r="M27" s="2001" t="s">
        <v>2821</v>
      </c>
      <c r="N27" s="2001" t="s">
        <v>2822</v>
      </c>
      <c r="O27" s="2001"/>
      <c r="P27" s="2001" t="s">
        <v>2823</v>
      </c>
      <c r="Q27" s="2871"/>
      <c r="R27" s="2000" t="s">
        <v>2819</v>
      </c>
      <c r="S27" s="2001" t="s">
        <v>2820</v>
      </c>
      <c r="T27" s="2001" t="s">
        <v>2821</v>
      </c>
      <c r="U27" s="2001" t="s">
        <v>2822</v>
      </c>
      <c r="V27" s="2001"/>
      <c r="W27" s="2001" t="s">
        <v>2823</v>
      </c>
      <c r="X27" s="2871"/>
      <c r="Y27" s="2000" t="s">
        <v>2819</v>
      </c>
      <c r="Z27" s="2001" t="s">
        <v>2820</v>
      </c>
      <c r="AA27" s="2001" t="s">
        <v>2821</v>
      </c>
      <c r="AB27" s="2001" t="s">
        <v>2822</v>
      </c>
      <c r="AC27" s="2001"/>
      <c r="AD27" s="2001" t="s">
        <v>2823</v>
      </c>
    </row>
    <row r="28" spans="1:30" s="2874" customFormat="1" ht="12.75">
      <c r="A28" s="2872" t="s">
        <v>2824</v>
      </c>
      <c r="B28" s="2873"/>
      <c r="E28" s="2874">
        <f t="shared" ref="E28:G28" si="65">ROUND(AVERAGEIF(E29:E46,"&lt;&gt;0"),2)</f>
        <v>0.26</v>
      </c>
      <c r="F28" s="2874">
        <f t="shared" si="65"/>
        <v>0.19</v>
      </c>
      <c r="G28" s="2874">
        <f t="shared" si="65"/>
        <v>0.38</v>
      </c>
      <c r="I28" s="2874">
        <f>F28</f>
        <v>0.19</v>
      </c>
      <c r="J28" s="2875"/>
      <c r="K28" s="2876"/>
      <c r="L28" s="2877">
        <f t="shared" ref="L28:N28" si="66">ROUND(AVERAGEIF(L29:L46,"&lt;&gt;0"),4)</f>
        <v>2.5999999999999999E-3</v>
      </c>
      <c r="M28" s="2877">
        <f t="shared" si="66"/>
        <v>1.9E-3</v>
      </c>
      <c r="N28" s="2877">
        <f t="shared" si="66"/>
        <v>3.8E-3</v>
      </c>
      <c r="O28" s="2877"/>
      <c r="P28" s="2877">
        <f>M28</f>
        <v>1.9E-3</v>
      </c>
      <c r="Q28" s="2875"/>
      <c r="R28" s="2878"/>
      <c r="S28" s="2879">
        <f>ROUND(SUMPRODUCT(PRODUCT(1+L29:L46)),4)</f>
        <v>1.04</v>
      </c>
      <c r="T28" s="2879">
        <f t="shared" ref="T28:U28" si="67">ROUND(SUMPRODUCT(PRODUCT(1+M29:M46)),4)</f>
        <v>1.0293000000000001</v>
      </c>
      <c r="U28" s="2879">
        <f t="shared" si="67"/>
        <v>1.0583</v>
      </c>
      <c r="V28" s="2879"/>
      <c r="W28" s="2878">
        <f>T28</f>
        <v>1.0293000000000001</v>
      </c>
      <c r="X28" s="2875"/>
      <c r="Y28" s="2880"/>
      <c r="Z28" s="2881">
        <f t="shared" ref="Z28:AB28" si="68">ROUND(AVERAGEIF(Z29:Z46,"&lt;&gt;0"),4)</f>
        <v>4.1000000000000003E-3</v>
      </c>
      <c r="AA28" s="2882">
        <f t="shared" si="68"/>
        <v>3.3E-3</v>
      </c>
      <c r="AB28" s="2880">
        <f t="shared" si="68"/>
        <v>8.0999999999999996E-3</v>
      </c>
      <c r="AC28" s="2883"/>
      <c r="AD28" s="2880">
        <f>AA28</f>
        <v>3.3E-3</v>
      </c>
    </row>
    <row r="29" spans="1:30" s="1998" customFormat="1" ht="12.75">
      <c r="B29" s="2014"/>
      <c r="J29" s="2884"/>
      <c r="K29" s="2885"/>
      <c r="L29" s="2886"/>
      <c r="M29" s="2886"/>
      <c r="N29" s="2886"/>
      <c r="O29" s="2886"/>
      <c r="P29" s="2886"/>
      <c r="Q29" s="2884"/>
      <c r="R29" s="2016"/>
      <c r="S29" s="2887"/>
      <c r="T29" s="2888"/>
      <c r="U29" s="2016"/>
      <c r="V29" s="2889"/>
      <c r="W29" s="2016"/>
      <c r="X29" s="2884"/>
      <c r="Y29" s="2017"/>
      <c r="Z29" s="2890"/>
      <c r="AA29" s="2891"/>
      <c r="AB29" s="2017"/>
      <c r="AC29" s="2892"/>
      <c r="AD29" s="2017"/>
    </row>
    <row r="30" spans="1:30" s="2034" customFormat="1" ht="12.75">
      <c r="A30" s="2029" t="s">
        <v>3368</v>
      </c>
      <c r="B30" s="2020">
        <v>2025</v>
      </c>
      <c r="C30" s="2031">
        <v>1</v>
      </c>
      <c r="D30" s="1996"/>
      <c r="E30" s="1996">
        <v>0</v>
      </c>
      <c r="F30" s="1996">
        <v>0</v>
      </c>
      <c r="G30" s="1996">
        <v>0</v>
      </c>
      <c r="H30" s="1996"/>
      <c r="I30" s="1997">
        <f t="shared" ref="I30" si="69">F30</f>
        <v>0</v>
      </c>
      <c r="J30" s="2894"/>
      <c r="K30" s="2032"/>
      <c r="L30" s="2017">
        <f t="shared" ref="L30" si="70">E30/100</f>
        <v>0</v>
      </c>
      <c r="M30" s="2017">
        <f t="shared" ref="M30" si="71">F30/100</f>
        <v>0</v>
      </c>
      <c r="N30" s="2017">
        <f t="shared" ref="N30" si="72">G30/100</f>
        <v>0</v>
      </c>
      <c r="O30" s="2017"/>
      <c r="P30" s="2017">
        <f>M30</f>
        <v>0</v>
      </c>
      <c r="Q30" s="2894"/>
      <c r="R30" s="2016"/>
      <c r="S30" s="2016">
        <f>ROUND(IF(项目基本情况!$B$8="出让",SUMPRODUCT(PRODUCT(1+L30:L$46)),SUMPRODUCT(PRODUCT(1+L30:L$45))),4)</f>
        <v>1.0364</v>
      </c>
      <c r="T30" s="2016">
        <f>ROUND(IF(项目基本情况!$B$8="出让",SUMPRODUCT(PRODUCT(1+M30:M$46)),SUMPRODUCT(PRODUCT(1+M30:M$45))),4)</f>
        <v>1.0244</v>
      </c>
      <c r="U30" s="2016">
        <f>ROUND(IF(项目基本情况!$B$8="出让",SUMPRODUCT(PRODUCT(1+N30:N$46)),SUMPRODUCT(PRODUCT(1+N30:N$45))),4)</f>
        <v>1.048</v>
      </c>
      <c r="V30" s="2016"/>
      <c r="W30" s="2016">
        <f>T30</f>
        <v>1.0244</v>
      </c>
      <c r="X30" s="2894"/>
      <c r="Y30" s="2017"/>
      <c r="Z30" s="2890">
        <f t="shared" ref="Z30" si="73">IF(E30=0,0,ROUND(AVERAGE(E30:E43)/100,4))</f>
        <v>0</v>
      </c>
      <c r="AA30" s="2890">
        <f t="shared" ref="AA30" si="74">IF(F30=0,0,ROUND(AVERAGE(F30:F43)/100,4))</f>
        <v>0</v>
      </c>
      <c r="AB30" s="2890">
        <f t="shared" ref="AB30" si="75">IF(G30=0,0,ROUND(AVERAGE(G30:G43)/100,4))</f>
        <v>0</v>
      </c>
      <c r="AC30" s="2892"/>
      <c r="AD30" s="2017">
        <f>IF(I30=0,0,ROUND(AVERAGE(I30:I43)/100,4))</f>
        <v>0</v>
      </c>
    </row>
    <row r="31" spans="1:30" s="2904" customFormat="1" ht="12.75">
      <c r="A31" s="2895" t="s">
        <v>3370</v>
      </c>
      <c r="B31" s="2896">
        <v>2024</v>
      </c>
      <c r="C31" s="2897">
        <v>4</v>
      </c>
      <c r="D31" s="2898"/>
      <c r="E31" s="2898">
        <v>0</v>
      </c>
      <c r="F31" s="2898">
        <v>0</v>
      </c>
      <c r="G31" s="2898">
        <v>0</v>
      </c>
      <c r="H31" s="2899"/>
      <c r="I31" s="2900">
        <f t="shared" ref="I31" si="76">F31</f>
        <v>0</v>
      </c>
      <c r="J31" s="2901"/>
      <c r="K31" s="2902"/>
      <c r="L31" s="2903">
        <f t="shared" ref="L31" si="77">E31/100</f>
        <v>0</v>
      </c>
      <c r="M31" s="2903">
        <f t="shared" ref="M31" si="78">F31/100</f>
        <v>0</v>
      </c>
      <c r="N31" s="2903">
        <f t="shared" ref="N31" si="79">G31/100</f>
        <v>0</v>
      </c>
      <c r="O31" s="2903"/>
      <c r="P31" s="2903">
        <f>M31</f>
        <v>0</v>
      </c>
      <c r="Q31" s="2901"/>
      <c r="R31" s="2901"/>
      <c r="S31" s="2901">
        <f>ROUND(IF(项目基本情况!$B$8="出让",SUMPRODUCT(PRODUCT(1+L31:L$46)),SUMPRODUCT(PRODUCT(1+L31:L$45))),4)</f>
        <v>1.0364</v>
      </c>
      <c r="T31" s="2901">
        <f>ROUND(IF(项目基本情况!$B$8="出让",SUMPRODUCT(PRODUCT(1+M31:M$46)),SUMPRODUCT(PRODUCT(1+M31:M$45))),4)</f>
        <v>1.0244</v>
      </c>
      <c r="U31" s="2901">
        <f>ROUND(IF(项目基本情况!$B$8="出让",SUMPRODUCT(PRODUCT(1+N31:N$46)),SUMPRODUCT(PRODUCT(1+N31:N$45))),4)</f>
        <v>1.048</v>
      </c>
      <c r="V31" s="2901"/>
      <c r="W31" s="2901">
        <f>T31</f>
        <v>1.0244</v>
      </c>
      <c r="X31" s="2901"/>
      <c r="Y31" s="2903"/>
      <c r="Z31" s="2919">
        <f t="shared" ref="Z31" si="80">IF(E31=0,0,ROUND(AVERAGE(E31:E44)/100,4))</f>
        <v>0</v>
      </c>
      <c r="AA31" s="2920">
        <f t="shared" ref="AA31" si="81">IF(F31=0,0,ROUND(AVERAGE(F31:F44)/100,4))</f>
        <v>0</v>
      </c>
      <c r="AB31" s="2903">
        <f t="shared" ref="AB31" si="82">IF(G31=0,0,ROUND(AVERAGE(G31:G44)/100,4))</f>
        <v>0</v>
      </c>
      <c r="AC31" s="2921"/>
      <c r="AD31" s="2903">
        <f>IF(I31=0,0,ROUND(AVERAGE(I31:I44)/100,4))</f>
        <v>0</v>
      </c>
    </row>
    <row r="32" spans="1:30" s="2034" customFormat="1" ht="12.75">
      <c r="A32" s="2029" t="s">
        <v>3363</v>
      </c>
      <c r="B32" s="2020">
        <v>2024</v>
      </c>
      <c r="C32" s="2031">
        <v>3</v>
      </c>
      <c r="D32" s="1996"/>
      <c r="E32" s="1996">
        <v>-0.66</v>
      </c>
      <c r="F32" s="1996">
        <v>-0.52</v>
      </c>
      <c r="G32" s="1996">
        <v>-2.87</v>
      </c>
      <c r="H32" s="1996"/>
      <c r="I32" s="1997">
        <f t="shared" ref="I32" si="83">F32</f>
        <v>-0.52</v>
      </c>
      <c r="J32" s="2894"/>
      <c r="K32" s="2032"/>
      <c r="L32" s="2017">
        <f t="shared" ref="L32" si="84">E32/100</f>
        <v>-6.6E-3</v>
      </c>
      <c r="M32" s="2017">
        <f t="shared" ref="M32" si="85">F32/100</f>
        <v>-5.1999999999999998E-3</v>
      </c>
      <c r="N32" s="2017">
        <f t="shared" ref="N32" si="86">G32/100</f>
        <v>-2.87E-2</v>
      </c>
      <c r="O32" s="2017"/>
      <c r="P32" s="2017">
        <f>M32</f>
        <v>-5.1999999999999998E-3</v>
      </c>
      <c r="Q32" s="2894"/>
      <c r="R32" s="2016"/>
      <c r="S32" s="2016">
        <f>ROUND(IF(项目基本情况!$B$8="出让",SUMPRODUCT(PRODUCT(1+L32:L$46)),SUMPRODUCT(PRODUCT(1+L32:L$45))),4)</f>
        <v>1.0364</v>
      </c>
      <c r="T32" s="2016">
        <f>ROUND(IF(项目基本情况!$B$8="出让",SUMPRODUCT(PRODUCT(1+M32:M$46)),SUMPRODUCT(PRODUCT(1+M32:M$45))),4)</f>
        <v>1.0244</v>
      </c>
      <c r="U32" s="2016">
        <f>ROUND(IF(项目基本情况!$B$8="出让",SUMPRODUCT(PRODUCT(1+N32:N$46)),SUMPRODUCT(PRODUCT(1+N32:N$45))),4)</f>
        <v>1.048</v>
      </c>
      <c r="V32" s="2016"/>
      <c r="W32" s="2016">
        <f>T32</f>
        <v>1.0244</v>
      </c>
      <c r="X32" s="2894"/>
      <c r="Y32" s="2017"/>
      <c r="Z32" s="2890">
        <f t="shared" ref="Z32:AB33" si="87">IF(E32=0,0,ROUND(AVERAGE(E32:E45)/100,4))</f>
        <v>2.5999999999999999E-3</v>
      </c>
      <c r="AA32" s="2890">
        <f t="shared" si="87"/>
        <v>1.6999999999999999E-3</v>
      </c>
      <c r="AB32" s="2890">
        <f t="shared" si="87"/>
        <v>3.3999999999999998E-3</v>
      </c>
      <c r="AC32" s="2892"/>
      <c r="AD32" s="2017">
        <f>IF(I32=0,0,ROUND(AVERAGE(I32:I45)/100,4))</f>
        <v>1.6999999999999999E-3</v>
      </c>
    </row>
    <row r="33" spans="1:30" s="2034" customFormat="1" ht="12.75">
      <c r="A33" s="2893" t="s">
        <v>3371</v>
      </c>
      <c r="B33" s="2020">
        <v>2024</v>
      </c>
      <c r="C33" s="2031">
        <v>2</v>
      </c>
      <c r="D33" s="1996"/>
      <c r="E33" s="1996">
        <v>-0.31</v>
      </c>
      <c r="F33" s="1996">
        <v>-0.39</v>
      </c>
      <c r="G33" s="1996">
        <v>1.23</v>
      </c>
      <c r="H33" s="2905"/>
      <c r="I33" s="1997">
        <f t="shared" ref="I33:I46" si="88">F33</f>
        <v>-0.39</v>
      </c>
      <c r="J33" s="2894"/>
      <c r="K33" s="2032"/>
      <c r="L33" s="2017">
        <f t="shared" ref="L33:N46" si="89">E33/100</f>
        <v>-3.0999999999999999E-3</v>
      </c>
      <c r="M33" s="2017">
        <f t="shared" si="89"/>
        <v>-3.9000000000000003E-3</v>
      </c>
      <c r="N33" s="2017">
        <f t="shared" si="89"/>
        <v>1.23E-2</v>
      </c>
      <c r="O33" s="2017"/>
      <c r="P33" s="2017">
        <f>M33</f>
        <v>-3.9000000000000003E-3</v>
      </c>
      <c r="Q33" s="2894"/>
      <c r="R33" s="2016"/>
      <c r="S33" s="2016">
        <f>ROUND(IF(项目基本情况!$B$8="出让",SUMPRODUCT(PRODUCT(1+L33:L$46)),SUMPRODUCT(PRODUCT(1+L33:L$45))),4)</f>
        <v>1.0432999999999999</v>
      </c>
      <c r="T33" s="2016">
        <f>ROUND(IF(项目基本情况!$B$8="出让",SUMPRODUCT(PRODUCT(1+M33:M$46)),SUMPRODUCT(PRODUCT(1+M33:M$45))),4)</f>
        <v>1.0298</v>
      </c>
      <c r="U33" s="2016">
        <f>ROUND(IF(项目基本情况!$B$8="出让",SUMPRODUCT(PRODUCT(1+N33:N$46)),SUMPRODUCT(PRODUCT(1+N33:N$45))),4)</f>
        <v>1.079</v>
      </c>
      <c r="V33" s="2016"/>
      <c r="W33" s="2016">
        <f>T33</f>
        <v>1.0298</v>
      </c>
      <c r="X33" s="2894"/>
      <c r="Y33" s="2017"/>
      <c r="Z33" s="2890">
        <f t="shared" si="87"/>
        <v>3.3E-3</v>
      </c>
      <c r="AA33" s="2891">
        <f t="shared" si="87"/>
        <v>2.3999999999999998E-3</v>
      </c>
      <c r="AB33" s="2017">
        <f t="shared" si="87"/>
        <v>6.1999999999999998E-3</v>
      </c>
      <c r="AC33" s="2892"/>
      <c r="AD33" s="2017">
        <f>IF(I33=0,0,ROUND(AVERAGE(I33:I46)/100,4))</f>
        <v>2.3999999999999998E-3</v>
      </c>
    </row>
    <row r="34" spans="1:30" s="2034" customFormat="1" ht="12.75">
      <c r="A34" s="2893" t="s">
        <v>3364</v>
      </c>
      <c r="B34" s="2020">
        <v>2024</v>
      </c>
      <c r="C34" s="2031">
        <v>1</v>
      </c>
      <c r="D34" s="1996"/>
      <c r="E34" s="1996">
        <v>0.25</v>
      </c>
      <c r="F34" s="1996">
        <v>0.4</v>
      </c>
      <c r="G34" s="1996">
        <v>-0.63</v>
      </c>
      <c r="H34" s="2905"/>
      <c r="I34" s="1997">
        <f t="shared" ref="I34:I35" si="90">F34</f>
        <v>0.4</v>
      </c>
      <c r="J34" s="2894"/>
      <c r="K34" s="2032"/>
      <c r="L34" s="2017">
        <f t="shared" ref="L34" si="91">E34/100</f>
        <v>2.5000000000000001E-3</v>
      </c>
      <c r="M34" s="2017">
        <f t="shared" ref="M34" si="92">F34/100</f>
        <v>4.0000000000000001E-3</v>
      </c>
      <c r="N34" s="2017">
        <f t="shared" ref="N34" si="93">G34/100</f>
        <v>-6.3E-3</v>
      </c>
      <c r="O34" s="2017"/>
      <c r="P34" s="2017">
        <f t="shared" ref="P34" si="94">M34</f>
        <v>4.0000000000000001E-3</v>
      </c>
      <c r="Q34" s="2894"/>
      <c r="R34" s="2016"/>
      <c r="S34" s="2016">
        <f>ROUND(IF(项目基本情况!$B$8="出让",SUMPRODUCT(PRODUCT(1+L34:L$46)),SUMPRODUCT(PRODUCT(1+L34:L$45))),4)</f>
        <v>1.0465</v>
      </c>
      <c r="T34" s="2016">
        <f>ROUND(IF(项目基本情况!$B$8="出让",SUMPRODUCT(PRODUCT(1+M34:M$46)),SUMPRODUCT(PRODUCT(1+M34:M$45))),4)</f>
        <v>1.0338000000000001</v>
      </c>
      <c r="U34" s="2016">
        <f>ROUND(IF(项目基本情况!$B$8="出让",SUMPRODUCT(PRODUCT(1+N34:N$46)),SUMPRODUCT(PRODUCT(1+N34:N$45))),4)</f>
        <v>1.0659000000000001</v>
      </c>
      <c r="V34" s="2016"/>
      <c r="W34" s="2016">
        <f t="shared" ref="W34" si="95">T34</f>
        <v>1.0338000000000001</v>
      </c>
      <c r="X34" s="2894"/>
      <c r="Y34" s="2017"/>
      <c r="Z34" s="2890"/>
      <c r="AA34" s="2891"/>
      <c r="AB34" s="2017"/>
      <c r="AC34" s="2892"/>
      <c r="AD34" s="2017"/>
    </row>
    <row r="35" spans="1:30" s="2034" customFormat="1" ht="12.75">
      <c r="A35" s="2893" t="s">
        <v>3362</v>
      </c>
      <c r="B35" s="2020">
        <v>2023</v>
      </c>
      <c r="C35" s="2031">
        <v>4</v>
      </c>
      <c r="D35" s="1996"/>
      <c r="E35" s="1996">
        <v>7.0000000000000007E-2</v>
      </c>
      <c r="F35" s="1996">
        <v>0.09</v>
      </c>
      <c r="G35" s="1996">
        <v>0.03</v>
      </c>
      <c r="H35" s="2905"/>
      <c r="I35" s="1997">
        <f t="shared" si="90"/>
        <v>0.09</v>
      </c>
      <c r="J35" s="2894"/>
      <c r="K35" s="2032"/>
      <c r="L35" s="2017">
        <f t="shared" si="89"/>
        <v>7.000000000000001E-4</v>
      </c>
      <c r="M35" s="2017">
        <f t="shared" si="89"/>
        <v>8.9999999999999998E-4</v>
      </c>
      <c r="N35" s="2017">
        <f t="shared" si="89"/>
        <v>2.9999999999999997E-4</v>
      </c>
      <c r="O35" s="2017"/>
      <c r="P35" s="2017">
        <f t="shared" ref="P35" si="96">M35</f>
        <v>8.9999999999999998E-4</v>
      </c>
      <c r="Q35" s="2894"/>
      <c r="R35" s="2016"/>
      <c r="S35" s="2016">
        <f>ROUND(IF(项目基本情况!$B$8="出让",SUMPRODUCT(PRODUCT(1+L35:L$46)),SUMPRODUCT(PRODUCT(1+L35:L$45))),4)</f>
        <v>1.0439000000000001</v>
      </c>
      <c r="T35" s="2016">
        <f>ROUND(IF(项目基本情况!$B$8="出让",SUMPRODUCT(PRODUCT(1+M35:M$46)),SUMPRODUCT(PRODUCT(1+M35:M$45))),4)</f>
        <v>1.0297000000000001</v>
      </c>
      <c r="U35" s="2016">
        <f>ROUND(IF(项目基本情况!$B$8="出让",SUMPRODUCT(PRODUCT(1+N35:N$46)),SUMPRODUCT(PRODUCT(1+N35:N$45))),4)</f>
        <v>1.0727</v>
      </c>
      <c r="V35" s="2016"/>
      <c r="W35" s="2016">
        <f t="shared" ref="W35" si="97">T35</f>
        <v>1.0297000000000001</v>
      </c>
      <c r="X35" s="2894"/>
      <c r="Y35" s="2017"/>
      <c r="Z35" s="2890"/>
      <c r="AA35" s="2891"/>
      <c r="AB35" s="2017"/>
      <c r="AC35" s="2892"/>
      <c r="AD35" s="2017"/>
    </row>
    <row r="36" spans="1:30" s="2034" customFormat="1" ht="12.75">
      <c r="A36" s="2893" t="s">
        <v>3360</v>
      </c>
      <c r="B36" s="2020">
        <v>2023</v>
      </c>
      <c r="C36" s="2031">
        <v>3</v>
      </c>
      <c r="D36" s="1996"/>
      <c r="E36" s="1996">
        <v>0.35</v>
      </c>
      <c r="F36" s="1996">
        <v>0.17</v>
      </c>
      <c r="G36" s="1996">
        <v>0.52</v>
      </c>
      <c r="H36" s="2905"/>
      <c r="I36" s="1997">
        <f t="shared" si="88"/>
        <v>0.17</v>
      </c>
      <c r="J36" s="2894"/>
      <c r="K36" s="2032"/>
      <c r="L36" s="2017">
        <f t="shared" ref="L36:L38" si="98">E36/100</f>
        <v>3.4999999999999996E-3</v>
      </c>
      <c r="M36" s="2017">
        <f t="shared" ref="M36:M38" si="99">F36/100</f>
        <v>1.7000000000000001E-3</v>
      </c>
      <c r="N36" s="2017">
        <f t="shared" ref="N36:N38" si="100">G36/100</f>
        <v>5.1999999999999998E-3</v>
      </c>
      <c r="O36" s="2017"/>
      <c r="P36" s="2017">
        <f t="shared" ref="P36:P38" si="101">M36</f>
        <v>1.7000000000000001E-3</v>
      </c>
      <c r="Q36" s="2894"/>
      <c r="R36" s="2016"/>
      <c r="S36" s="2016">
        <f>ROUND(IF(项目基本情况!$B$8="出让",SUMPRODUCT(PRODUCT(1+L36:L$46)),SUMPRODUCT(PRODUCT(1+L36:L$45))),4)</f>
        <v>1.0431999999999999</v>
      </c>
      <c r="T36" s="2016">
        <f>ROUND(IF(项目基本情况!$B$8="出让",SUMPRODUCT(PRODUCT(1+M36:M$46)),SUMPRODUCT(PRODUCT(1+M36:M$45))),4)</f>
        <v>1.0286999999999999</v>
      </c>
      <c r="U36" s="2016">
        <f>ROUND(IF(项目基本情况!$B$8="出让",SUMPRODUCT(PRODUCT(1+N36:N$46)),SUMPRODUCT(PRODUCT(1+N36:N$45))),4)</f>
        <v>1.0723</v>
      </c>
      <c r="V36" s="2016"/>
      <c r="W36" s="2016">
        <f t="shared" ref="W36:W38" si="102">T36</f>
        <v>1.0286999999999999</v>
      </c>
      <c r="X36" s="2894"/>
      <c r="Y36" s="2017"/>
      <c r="Z36" s="2890"/>
      <c r="AA36" s="2891"/>
      <c r="AB36" s="2017"/>
      <c r="AC36" s="2892"/>
      <c r="AD36" s="2017"/>
    </row>
    <row r="37" spans="1:30" s="2034" customFormat="1" ht="12.75">
      <c r="A37" s="2893" t="s">
        <v>3359</v>
      </c>
      <c r="B37" s="2020">
        <v>2023</v>
      </c>
      <c r="C37" s="2031">
        <v>2</v>
      </c>
      <c r="D37" s="1996"/>
      <c r="E37" s="1996">
        <v>0.5</v>
      </c>
      <c r="F37" s="1996">
        <v>0.45</v>
      </c>
      <c r="G37" s="1996">
        <v>0.89</v>
      </c>
      <c r="H37" s="2905"/>
      <c r="I37" s="1997">
        <f t="shared" si="88"/>
        <v>0.45</v>
      </c>
      <c r="J37" s="2894"/>
      <c r="K37" s="2032"/>
      <c r="L37" s="2017">
        <f t="shared" si="98"/>
        <v>5.0000000000000001E-3</v>
      </c>
      <c r="M37" s="2017">
        <f t="shared" si="99"/>
        <v>4.5000000000000005E-3</v>
      </c>
      <c r="N37" s="2017">
        <f t="shared" si="100"/>
        <v>8.8999999999999999E-3</v>
      </c>
      <c r="O37" s="2017"/>
      <c r="P37" s="2017">
        <f t="shared" si="101"/>
        <v>4.5000000000000005E-3</v>
      </c>
      <c r="Q37" s="2894"/>
      <c r="R37" s="2016"/>
      <c r="S37" s="2016">
        <f>ROUND(IF(项目基本情况!$B$8="出让",SUMPRODUCT(PRODUCT(1+L37:L$46)),SUMPRODUCT(PRODUCT(1+L37:L$45))),4)</f>
        <v>1.0396000000000001</v>
      </c>
      <c r="T37" s="2016">
        <f>ROUND(IF(项目基本情况!$B$8="出让",SUMPRODUCT(PRODUCT(1+M37:M$46)),SUMPRODUCT(PRODUCT(1+M37:M$45))),4)</f>
        <v>1.0269999999999999</v>
      </c>
      <c r="U37" s="2016">
        <f>ROUND(IF(项目基本情况!$B$8="出让",SUMPRODUCT(PRODUCT(1+N37:N$46)),SUMPRODUCT(PRODUCT(1+N37:N$45))),4)</f>
        <v>1.0668</v>
      </c>
      <c r="V37" s="2016"/>
      <c r="W37" s="2016">
        <f t="shared" si="102"/>
        <v>1.0269999999999999</v>
      </c>
      <c r="X37" s="2894"/>
      <c r="Y37" s="2017"/>
      <c r="Z37" s="2890"/>
      <c r="AA37" s="2891"/>
      <c r="AB37" s="2017"/>
      <c r="AC37" s="2892"/>
      <c r="AD37" s="2017"/>
    </row>
    <row r="38" spans="1:30" s="2034" customFormat="1" ht="12.75">
      <c r="A38" s="2893" t="s">
        <v>3357</v>
      </c>
      <c r="B38" s="2020">
        <v>2023</v>
      </c>
      <c r="C38" s="2031">
        <v>1</v>
      </c>
      <c r="D38" s="1996"/>
      <c r="E38" s="1996">
        <v>0.55000000000000004</v>
      </c>
      <c r="F38" s="1996">
        <v>0.59</v>
      </c>
      <c r="G38" s="1996">
        <v>0.64</v>
      </c>
      <c r="H38" s="2905"/>
      <c r="I38" s="1997">
        <f t="shared" si="88"/>
        <v>0.59</v>
      </c>
      <c r="J38" s="2894"/>
      <c r="K38" s="2032"/>
      <c r="L38" s="2017">
        <f t="shared" si="98"/>
        <v>5.5000000000000005E-3</v>
      </c>
      <c r="M38" s="2017">
        <f t="shared" si="99"/>
        <v>5.8999999999999999E-3</v>
      </c>
      <c r="N38" s="2017">
        <f t="shared" si="100"/>
        <v>6.4000000000000003E-3</v>
      </c>
      <c r="O38" s="2017"/>
      <c r="P38" s="2017">
        <f t="shared" si="101"/>
        <v>5.8999999999999999E-3</v>
      </c>
      <c r="Q38" s="2894"/>
      <c r="R38" s="2016"/>
      <c r="S38" s="2016">
        <f>ROUND(IF(项目基本情况!$B$8="出让",SUMPRODUCT(PRODUCT(1+L38:L$46)),SUMPRODUCT(PRODUCT(1+L38:L$45))),4)</f>
        <v>1.0344</v>
      </c>
      <c r="T38" s="2016">
        <f>ROUND(IF(项目基本情况!$B$8="出让",SUMPRODUCT(PRODUCT(1+M38:M$46)),SUMPRODUCT(PRODUCT(1+M38:M$45))),4)</f>
        <v>1.0224</v>
      </c>
      <c r="U38" s="2016">
        <f>ROUND(IF(项目基本情况!$B$8="出让",SUMPRODUCT(PRODUCT(1+N38:N$46)),SUMPRODUCT(PRODUCT(1+N38:N$45))),4)</f>
        <v>1.0573999999999999</v>
      </c>
      <c r="V38" s="2016"/>
      <c r="W38" s="2016">
        <f t="shared" si="102"/>
        <v>1.0224</v>
      </c>
      <c r="X38" s="2894"/>
      <c r="Y38" s="2017"/>
      <c r="Z38" s="2890"/>
      <c r="AA38" s="2891"/>
      <c r="AB38" s="2017"/>
      <c r="AC38" s="2892"/>
      <c r="AD38" s="2017"/>
    </row>
    <row r="39" spans="1:30" s="2034" customFormat="1" ht="12.75">
      <c r="A39" s="2893" t="s">
        <v>3356</v>
      </c>
      <c r="B39" s="2020">
        <v>2022</v>
      </c>
      <c r="C39" s="2031">
        <v>4</v>
      </c>
      <c r="D39" s="1996"/>
      <c r="E39" s="1996">
        <v>0.45</v>
      </c>
      <c r="F39" s="1996">
        <v>0.2</v>
      </c>
      <c r="G39" s="1996">
        <v>0.38</v>
      </c>
      <c r="H39" s="2905"/>
      <c r="I39" s="1997">
        <f t="shared" si="88"/>
        <v>0.2</v>
      </c>
      <c r="J39" s="2894"/>
      <c r="K39" s="2032"/>
      <c r="L39" s="2017">
        <f t="shared" si="89"/>
        <v>4.5000000000000005E-3</v>
      </c>
      <c r="M39" s="2017">
        <f t="shared" si="89"/>
        <v>2E-3</v>
      </c>
      <c r="N39" s="2017">
        <f t="shared" si="89"/>
        <v>3.8E-3</v>
      </c>
      <c r="O39" s="2017"/>
      <c r="P39" s="2017">
        <f t="shared" ref="P39:P46" si="103">M39</f>
        <v>2E-3</v>
      </c>
      <c r="Q39" s="2894"/>
      <c r="R39" s="2016"/>
      <c r="S39" s="2016">
        <f>ROUND(IF(项目基本情况!$B$8="出让",SUMPRODUCT(PRODUCT(1+L39:L$46)),SUMPRODUCT(PRODUCT(1+L39:L$45))),4)</f>
        <v>1.0286999999999999</v>
      </c>
      <c r="T39" s="2016">
        <f>ROUND(IF(项目基本情况!$B$8="出让",SUMPRODUCT(PRODUCT(1+M39:M$46)),SUMPRODUCT(PRODUCT(1+M39:M$45))),4)</f>
        <v>1.0164</v>
      </c>
      <c r="U39" s="2016">
        <f>ROUND(IF(项目基本情况!$B$8="出让",SUMPRODUCT(PRODUCT(1+N39:N$46)),SUMPRODUCT(PRODUCT(1+N39:N$45))),4)</f>
        <v>1.0506</v>
      </c>
      <c r="V39" s="2016"/>
      <c r="W39" s="2016">
        <f t="shared" ref="W39:W46" si="104">T39</f>
        <v>1.0164</v>
      </c>
      <c r="X39" s="2894"/>
      <c r="Y39" s="2017"/>
      <c r="Z39" s="2890">
        <f t="shared" ref="Z39:AD46" si="105">IF(E39=0,0,ROUND(AVERAGE(E39:E47)/100,4))</f>
        <v>4.0000000000000001E-3</v>
      </c>
      <c r="AA39" s="2891">
        <f t="shared" si="105"/>
        <v>2.5999999999999999E-3</v>
      </c>
      <c r="AB39" s="2017">
        <f t="shared" si="105"/>
        <v>7.4000000000000003E-3</v>
      </c>
      <c r="AC39" s="2892"/>
      <c r="AD39" s="2017">
        <f t="shared" si="105"/>
        <v>2.5999999999999999E-3</v>
      </c>
    </row>
    <row r="40" spans="1:30" s="2034" customFormat="1" ht="12.75">
      <c r="A40" s="2893" t="s">
        <v>3355</v>
      </c>
      <c r="B40" s="2020">
        <v>2022</v>
      </c>
      <c r="C40" s="2031">
        <v>3</v>
      </c>
      <c r="D40" s="1996"/>
      <c r="E40" s="1996">
        <v>0.3</v>
      </c>
      <c r="F40" s="1996">
        <v>0.28999999999999998</v>
      </c>
      <c r="G40" s="1996">
        <v>0.83</v>
      </c>
      <c r="H40" s="2905"/>
      <c r="I40" s="1997">
        <f t="shared" si="88"/>
        <v>0.28999999999999998</v>
      </c>
      <c r="J40" s="2894"/>
      <c r="K40" s="2032"/>
      <c r="L40" s="2017">
        <f t="shared" si="89"/>
        <v>3.0000000000000001E-3</v>
      </c>
      <c r="M40" s="2017">
        <f t="shared" si="89"/>
        <v>2.8999999999999998E-3</v>
      </c>
      <c r="N40" s="2017">
        <f t="shared" si="89"/>
        <v>8.3000000000000001E-3</v>
      </c>
      <c r="O40" s="2017"/>
      <c r="P40" s="2017">
        <f t="shared" si="103"/>
        <v>2.8999999999999998E-3</v>
      </c>
      <c r="Q40" s="2894"/>
      <c r="R40" s="2016"/>
      <c r="S40" s="2016">
        <f>ROUND(IF(项目基本情况!$B$8="出让",SUMPRODUCT(PRODUCT(1+L40:L$46)),SUMPRODUCT(PRODUCT(1+L40:L$45))),4)</f>
        <v>1.0241</v>
      </c>
      <c r="T40" s="2016">
        <f>ROUND(IF(项目基本情况!$B$8="出让",SUMPRODUCT(PRODUCT(1+M40:M$46)),SUMPRODUCT(PRODUCT(1+M40:M$45))),4)</f>
        <v>1.0144</v>
      </c>
      <c r="U40" s="2016">
        <f>ROUND(IF(项目基本情况!$B$8="出让",SUMPRODUCT(PRODUCT(1+N40:N$46)),SUMPRODUCT(PRODUCT(1+N40:N$45))),4)</f>
        <v>1.0467</v>
      </c>
      <c r="V40" s="2016"/>
      <c r="W40" s="2016">
        <f t="shared" si="104"/>
        <v>1.0144</v>
      </c>
      <c r="X40" s="2894"/>
      <c r="Y40" s="2017"/>
      <c r="Z40" s="2890">
        <f t="shared" si="105"/>
        <v>3.8999999999999998E-3</v>
      </c>
      <c r="AA40" s="2891">
        <f t="shared" si="105"/>
        <v>2.7000000000000001E-3</v>
      </c>
      <c r="AB40" s="2017">
        <f t="shared" si="105"/>
        <v>7.9000000000000008E-3</v>
      </c>
      <c r="AC40" s="2892"/>
      <c r="AD40" s="2017">
        <f t="shared" si="105"/>
        <v>2.7000000000000001E-3</v>
      </c>
    </row>
    <row r="41" spans="1:30" s="2034" customFormat="1" ht="12.75">
      <c r="A41" s="2893" t="s">
        <v>3345</v>
      </c>
      <c r="B41" s="2020">
        <v>2022</v>
      </c>
      <c r="C41" s="2031">
        <v>2</v>
      </c>
      <c r="D41" s="1996"/>
      <c r="E41" s="1996">
        <v>-0.11</v>
      </c>
      <c r="F41" s="1996">
        <v>-0.13</v>
      </c>
      <c r="G41" s="1996">
        <v>0.53</v>
      </c>
      <c r="H41" s="2905"/>
      <c r="I41" s="1997">
        <f t="shared" si="88"/>
        <v>-0.13</v>
      </c>
      <c r="J41" s="2894"/>
      <c r="K41" s="2032"/>
      <c r="L41" s="2017">
        <f t="shared" si="89"/>
        <v>-1.1000000000000001E-3</v>
      </c>
      <c r="M41" s="2017">
        <f t="shared" si="89"/>
        <v>-1.2999999999999999E-3</v>
      </c>
      <c r="N41" s="2017">
        <f t="shared" si="89"/>
        <v>5.3E-3</v>
      </c>
      <c r="O41" s="2017"/>
      <c r="P41" s="2017">
        <f t="shared" si="103"/>
        <v>-1.2999999999999999E-3</v>
      </c>
      <c r="Q41" s="2894"/>
      <c r="R41" s="2016"/>
      <c r="S41" s="2016">
        <f>ROUND(IF(项目基本情况!$B$8="出让",SUMPRODUCT(PRODUCT(1+L41:L$46)),SUMPRODUCT(PRODUCT(1+L41:L$45))),4)</f>
        <v>1.0210999999999999</v>
      </c>
      <c r="T41" s="2016">
        <f>ROUND(IF(项目基本情况!$B$8="出让",SUMPRODUCT(PRODUCT(1+M41:M$46)),SUMPRODUCT(PRODUCT(1+M41:M$45))),4)</f>
        <v>1.0114000000000001</v>
      </c>
      <c r="U41" s="2016">
        <f>ROUND(IF(项目基本情况!$B$8="出让",SUMPRODUCT(PRODUCT(1+N41:N$46)),SUMPRODUCT(PRODUCT(1+N41:N$45))),4)</f>
        <v>1.0381</v>
      </c>
      <c r="V41" s="2016"/>
      <c r="W41" s="2016">
        <f t="shared" si="104"/>
        <v>1.0114000000000001</v>
      </c>
      <c r="X41" s="2894"/>
      <c r="Y41" s="2017"/>
      <c r="Z41" s="2890">
        <f t="shared" si="105"/>
        <v>4.1000000000000003E-3</v>
      </c>
      <c r="AA41" s="2891">
        <f t="shared" si="105"/>
        <v>2.7000000000000001E-3</v>
      </c>
      <c r="AB41" s="2017">
        <f t="shared" si="105"/>
        <v>7.9000000000000008E-3</v>
      </c>
      <c r="AC41" s="2892"/>
      <c r="AD41" s="2017">
        <f t="shared" si="105"/>
        <v>2.7000000000000001E-3</v>
      </c>
    </row>
    <row r="42" spans="1:30" s="2034" customFormat="1" ht="12.75">
      <c r="A42" s="2893" t="s">
        <v>2825</v>
      </c>
      <c r="B42" s="2020">
        <v>2022</v>
      </c>
      <c r="C42" s="2031">
        <v>1</v>
      </c>
      <c r="D42" s="1996"/>
      <c r="E42" s="1996">
        <v>0.6</v>
      </c>
      <c r="F42" s="1996">
        <v>0.45</v>
      </c>
      <c r="G42" s="1996">
        <v>0.53</v>
      </c>
      <c r="H42" s="2905"/>
      <c r="I42" s="1997">
        <f t="shared" si="88"/>
        <v>0.45</v>
      </c>
      <c r="J42" s="2894"/>
      <c r="K42" s="2032"/>
      <c r="L42" s="2017">
        <f t="shared" si="89"/>
        <v>6.0000000000000001E-3</v>
      </c>
      <c r="M42" s="2017">
        <f t="shared" si="89"/>
        <v>4.5000000000000005E-3</v>
      </c>
      <c r="N42" s="2017">
        <f t="shared" si="89"/>
        <v>5.3E-3</v>
      </c>
      <c r="O42" s="2017"/>
      <c r="P42" s="2017">
        <f t="shared" si="103"/>
        <v>4.5000000000000005E-3</v>
      </c>
      <c r="Q42" s="2894"/>
      <c r="R42" s="2016"/>
      <c r="S42" s="2016">
        <f>ROUND(IF(项目基本情况!$B$8="出让",SUMPRODUCT(PRODUCT(1+L42:L$46)),SUMPRODUCT(PRODUCT(1+L42:L$45))),4)</f>
        <v>1.0222</v>
      </c>
      <c r="T42" s="2016">
        <f>ROUND(IF(项目基本情况!$B$8="出让",SUMPRODUCT(PRODUCT(1+M42:M$46)),SUMPRODUCT(PRODUCT(1+M42:M$45))),4)</f>
        <v>1.0127999999999999</v>
      </c>
      <c r="U42" s="2016">
        <f>ROUND(IF(项目基本情况!$B$8="出让",SUMPRODUCT(PRODUCT(1+N42:N$46)),SUMPRODUCT(PRODUCT(1+N42:N$45))),4)</f>
        <v>1.0326</v>
      </c>
      <c r="V42" s="2016"/>
      <c r="W42" s="2016">
        <f t="shared" si="104"/>
        <v>1.0127999999999999</v>
      </c>
      <c r="X42" s="2894"/>
      <c r="Y42" s="2017"/>
      <c r="Z42" s="2890">
        <f t="shared" si="105"/>
        <v>5.1000000000000004E-3</v>
      </c>
      <c r="AA42" s="2891">
        <f t="shared" si="105"/>
        <v>3.5000000000000001E-3</v>
      </c>
      <c r="AB42" s="2017">
        <f t="shared" si="105"/>
        <v>8.3999999999999995E-3</v>
      </c>
      <c r="AC42" s="2892"/>
      <c r="AD42" s="2017">
        <f t="shared" si="105"/>
        <v>3.5000000000000001E-3</v>
      </c>
    </row>
    <row r="43" spans="1:30" s="2034" customFormat="1" ht="12.75">
      <c r="A43" s="2893" t="s">
        <v>2826</v>
      </c>
      <c r="B43" s="2020">
        <v>2021</v>
      </c>
      <c r="C43" s="2031">
        <v>4</v>
      </c>
      <c r="D43" s="1996"/>
      <c r="E43" s="1996">
        <v>0.57999999999999996</v>
      </c>
      <c r="F43" s="1996">
        <v>0.08</v>
      </c>
      <c r="G43" s="1996">
        <v>0.68</v>
      </c>
      <c r="H43" s="2905"/>
      <c r="I43" s="1997">
        <f t="shared" si="88"/>
        <v>0.08</v>
      </c>
      <c r="J43" s="2894"/>
      <c r="K43" s="2032"/>
      <c r="L43" s="2017">
        <f t="shared" si="89"/>
        <v>5.7999999999999996E-3</v>
      </c>
      <c r="M43" s="2017">
        <f t="shared" si="89"/>
        <v>8.0000000000000004E-4</v>
      </c>
      <c r="N43" s="2017">
        <f t="shared" si="89"/>
        <v>6.8000000000000005E-3</v>
      </c>
      <c r="O43" s="2017"/>
      <c r="P43" s="2017">
        <f t="shared" si="103"/>
        <v>8.0000000000000004E-4</v>
      </c>
      <c r="Q43" s="2894"/>
      <c r="R43" s="2016"/>
      <c r="S43" s="2016">
        <f>ROUND(IF(项目基本情况!$B$8="出让",SUMPRODUCT(PRODUCT(1+L43:L$46)),SUMPRODUCT(PRODUCT(1+L43:L$45))),4)</f>
        <v>1.0161</v>
      </c>
      <c r="T43" s="2016">
        <f>ROUND(IF(项目基本情况!$B$8="出让",SUMPRODUCT(PRODUCT(1+M43:M$46)),SUMPRODUCT(PRODUCT(1+M43:M$45))),4)</f>
        <v>1.0082</v>
      </c>
      <c r="U43" s="2016">
        <f>ROUND(IF(项目基本情况!$B$8="出让",SUMPRODUCT(PRODUCT(1+N43:N$46)),SUMPRODUCT(PRODUCT(1+N43:N$45))),4)</f>
        <v>1.0270999999999999</v>
      </c>
      <c r="V43" s="2016"/>
      <c r="W43" s="2016">
        <f t="shared" si="104"/>
        <v>1.0082</v>
      </c>
      <c r="X43" s="2894"/>
      <c r="Y43" s="2017"/>
      <c r="Z43" s="2890">
        <f t="shared" si="105"/>
        <v>4.8999999999999998E-3</v>
      </c>
      <c r="AA43" s="2891">
        <f t="shared" si="105"/>
        <v>3.3E-3</v>
      </c>
      <c r="AB43" s="2017">
        <f t="shared" si="105"/>
        <v>9.1999999999999998E-3</v>
      </c>
      <c r="AC43" s="2892"/>
      <c r="AD43" s="2017">
        <f t="shared" si="105"/>
        <v>3.3E-3</v>
      </c>
    </row>
    <row r="44" spans="1:30" s="2034" customFormat="1" ht="12.75">
      <c r="A44" s="2893" t="s">
        <v>2827</v>
      </c>
      <c r="B44" s="2020">
        <v>2021</v>
      </c>
      <c r="C44" s="2031">
        <v>3</v>
      </c>
      <c r="D44" s="1996"/>
      <c r="E44" s="1996">
        <v>0.47</v>
      </c>
      <c r="F44" s="1996">
        <v>0.28000000000000003</v>
      </c>
      <c r="G44" s="1996">
        <v>0.91</v>
      </c>
      <c r="H44" s="2905"/>
      <c r="I44" s="1997">
        <f t="shared" si="88"/>
        <v>0.28000000000000003</v>
      </c>
      <c r="J44" s="2894"/>
      <c r="K44" s="2032"/>
      <c r="L44" s="2017">
        <f t="shared" si="89"/>
        <v>4.6999999999999993E-3</v>
      </c>
      <c r="M44" s="2017">
        <f t="shared" si="89"/>
        <v>2.8000000000000004E-3</v>
      </c>
      <c r="N44" s="2017">
        <f t="shared" si="89"/>
        <v>9.1000000000000004E-3</v>
      </c>
      <c r="O44" s="2017"/>
      <c r="P44" s="2017">
        <f t="shared" si="103"/>
        <v>2.8000000000000004E-3</v>
      </c>
      <c r="Q44" s="2894"/>
      <c r="R44" s="2016"/>
      <c r="S44" s="2016">
        <f>ROUND(IF(项目基本情况!$B$8="出让",SUMPRODUCT(PRODUCT(1+L44:L$46)),SUMPRODUCT(PRODUCT(1+L44:L$45))),4)</f>
        <v>1.0102</v>
      </c>
      <c r="T44" s="2016">
        <f>ROUND(IF(项目基本情况!$B$8="出让",SUMPRODUCT(PRODUCT(1+M44:M$46)),SUMPRODUCT(PRODUCT(1+M44:M$45))),4)</f>
        <v>1.0074000000000001</v>
      </c>
      <c r="U44" s="2016">
        <f>ROUND(IF(项目基本情况!$B$8="出让",SUMPRODUCT(PRODUCT(1+N44:N$46)),SUMPRODUCT(PRODUCT(1+N44:N$45))),4)</f>
        <v>1.0202</v>
      </c>
      <c r="V44" s="2016"/>
      <c r="W44" s="2016">
        <f t="shared" si="104"/>
        <v>1.0074000000000001</v>
      </c>
      <c r="X44" s="2894"/>
      <c r="Y44" s="2017"/>
      <c r="Z44" s="2890">
        <f t="shared" si="105"/>
        <v>4.5999999999999999E-3</v>
      </c>
      <c r="AA44" s="2891">
        <f t="shared" si="105"/>
        <v>4.1000000000000003E-3</v>
      </c>
      <c r="AB44" s="2017">
        <f t="shared" si="105"/>
        <v>0.01</v>
      </c>
      <c r="AC44" s="2892"/>
      <c r="AD44" s="2017">
        <f t="shared" si="105"/>
        <v>4.1000000000000003E-3</v>
      </c>
    </row>
    <row r="45" spans="1:30" s="2034" customFormat="1" ht="12.75">
      <c r="A45" s="2893" t="s">
        <v>2828</v>
      </c>
      <c r="B45" s="2020">
        <v>2021</v>
      </c>
      <c r="C45" s="2031">
        <v>2</v>
      </c>
      <c r="D45" s="1996"/>
      <c r="E45" s="1996">
        <v>0.55000000000000004</v>
      </c>
      <c r="F45" s="1996">
        <v>0.46</v>
      </c>
      <c r="G45" s="1996">
        <v>1.1000000000000001</v>
      </c>
      <c r="H45" s="2905"/>
      <c r="I45" s="1997">
        <f t="shared" si="88"/>
        <v>0.46</v>
      </c>
      <c r="J45" s="2894"/>
      <c r="K45" s="2032"/>
      <c r="L45" s="2017">
        <f t="shared" si="89"/>
        <v>5.5000000000000005E-3</v>
      </c>
      <c r="M45" s="2017">
        <f t="shared" si="89"/>
        <v>4.5999999999999999E-3</v>
      </c>
      <c r="N45" s="2017">
        <f t="shared" si="89"/>
        <v>1.1000000000000001E-2</v>
      </c>
      <c r="O45" s="2017"/>
      <c r="P45" s="2017">
        <f t="shared" si="103"/>
        <v>4.5999999999999999E-3</v>
      </c>
      <c r="Q45" s="2894"/>
      <c r="R45" s="2016"/>
      <c r="S45" s="2016">
        <f>ROUND(IF(项目基本情况!$B$8="出让",SUMPRODUCT(PRODUCT(1+L45:L$46)),SUMPRODUCT(PRODUCT(1+L45:L$45))),4)</f>
        <v>1.0055000000000001</v>
      </c>
      <c r="T45" s="2016">
        <f>ROUND(IF(项目基本情况!$B$8="出让",SUMPRODUCT(PRODUCT(1+M45:M$46)),SUMPRODUCT(PRODUCT(1+M45:M$45))),4)</f>
        <v>1.0045999999999999</v>
      </c>
      <c r="U45" s="2016">
        <f>ROUND(IF(项目基本情况!$B$8="出让",SUMPRODUCT(PRODUCT(1+N45:N$46)),SUMPRODUCT(PRODUCT(1+N45:N$45))),4)</f>
        <v>1.0109999999999999</v>
      </c>
      <c r="V45" s="2016"/>
      <c r="W45" s="2016">
        <f t="shared" si="104"/>
        <v>1.0045999999999999</v>
      </c>
      <c r="X45" s="2894"/>
      <c r="Y45" s="2017"/>
      <c r="Z45" s="2890">
        <f t="shared" si="105"/>
        <v>4.4999999999999997E-3</v>
      </c>
      <c r="AA45" s="2891">
        <f t="shared" si="105"/>
        <v>4.7000000000000002E-3</v>
      </c>
      <c r="AB45" s="2017">
        <f t="shared" si="105"/>
        <v>1.04E-2</v>
      </c>
      <c r="AC45" s="2892"/>
      <c r="AD45" s="2017">
        <f t="shared" si="105"/>
        <v>4.7000000000000002E-3</v>
      </c>
    </row>
    <row r="46" spans="1:30" s="2916" customFormat="1" thickBot="1">
      <c r="A46" s="2906" t="s">
        <v>2814</v>
      </c>
      <c r="B46" s="2907">
        <v>2021</v>
      </c>
      <c r="C46" s="2908">
        <v>1</v>
      </c>
      <c r="D46" s="2909"/>
      <c r="E46" s="2909">
        <v>0.35</v>
      </c>
      <c r="F46" s="2909">
        <v>0.48</v>
      </c>
      <c r="G46" s="2909">
        <v>0.98</v>
      </c>
      <c r="H46" s="2910"/>
      <c r="I46" s="2911">
        <f t="shared" si="88"/>
        <v>0.48</v>
      </c>
      <c r="J46" s="2912"/>
      <c r="K46" s="2913"/>
      <c r="L46" s="2914">
        <f t="shared" si="89"/>
        <v>3.4999999999999996E-3</v>
      </c>
      <c r="M46" s="2914">
        <f>F46/100</f>
        <v>4.7999999999999996E-3</v>
      </c>
      <c r="N46" s="2914">
        <f t="shared" si="89"/>
        <v>9.7999999999999997E-3</v>
      </c>
      <c r="O46" s="2914"/>
      <c r="P46" s="2914">
        <f t="shared" si="103"/>
        <v>4.7999999999999996E-3</v>
      </c>
      <c r="Q46" s="2912"/>
      <c r="R46" s="2915"/>
      <c r="S46" s="2915">
        <v>1</v>
      </c>
      <c r="T46" s="2915">
        <v>1</v>
      </c>
      <c r="U46" s="2915">
        <v>1</v>
      </c>
      <c r="V46" s="2915"/>
      <c r="W46" s="2915">
        <f t="shared" si="104"/>
        <v>1</v>
      </c>
      <c r="X46" s="2912"/>
      <c r="Y46" s="2914"/>
      <c r="Z46" s="2922">
        <f t="shared" si="105"/>
        <v>3.5000000000000001E-3</v>
      </c>
      <c r="AA46" s="2923">
        <f t="shared" si="105"/>
        <v>4.7999999999999996E-3</v>
      </c>
      <c r="AB46" s="2914">
        <f t="shared" si="105"/>
        <v>9.7999999999999997E-3</v>
      </c>
      <c r="AC46" s="2924"/>
      <c r="AD46" s="2914">
        <f t="shared" si="105"/>
        <v>4.7999999999999996E-3</v>
      </c>
    </row>
    <row r="47" spans="1:30" ht="14.25" thickTop="1"/>
    <row r="48" spans="1:30">
      <c r="A48" s="3130"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E1" sqref="E1"/>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1999" customFormat="1" ht="14.25" thickBot="1">
      <c r="B2" s="2000" t="s">
        <v>458</v>
      </c>
      <c r="C2" s="2000" t="s">
        <v>459</v>
      </c>
      <c r="D2" s="2001" t="s">
        <v>460</v>
      </c>
      <c r="E2" s="2001" t="s">
        <v>461</v>
      </c>
      <c r="F2" s="2000" t="s">
        <v>462</v>
      </c>
      <c r="G2" s="2002"/>
      <c r="I2" s="2000" t="s">
        <v>458</v>
      </c>
      <c r="J2" s="2001" t="s">
        <v>673</v>
      </c>
      <c r="K2" s="2001" t="s">
        <v>308</v>
      </c>
      <c r="L2" s="2000" t="s">
        <v>462</v>
      </c>
      <c r="N2" s="2000" t="s">
        <v>458</v>
      </c>
      <c r="O2" s="2001" t="s">
        <v>673</v>
      </c>
      <c r="P2" s="2001" t="s">
        <v>308</v>
      </c>
      <c r="Q2" s="2000" t="s">
        <v>462</v>
      </c>
      <c r="S2" s="2000" t="s">
        <v>458</v>
      </c>
      <c r="T2" s="2001" t="s">
        <v>673</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2106</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 t="shared" ref="Z3:Z37" si="0">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 t="shared" ref="AF3:AF38" si="1">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3353</v>
      </c>
      <c r="B5" s="2030">
        <f t="shared" ref="B5" si="2">B6*(1+N5)</f>
        <v>510.07089659554606</v>
      </c>
      <c r="C5" s="2030">
        <f t="shared" ref="C5" si="3">C6*(1+O5)</f>
        <v>352.55593185737411</v>
      </c>
      <c r="D5" s="2030">
        <f t="shared" ref="D5" si="4">C5</f>
        <v>352.55593185737411</v>
      </c>
      <c r="E5" s="2030">
        <f t="shared" ref="E5" si="5">E6*(1+P5)</f>
        <v>737.27992463403655</v>
      </c>
      <c r="F5" s="2030">
        <f t="shared" ref="F5" si="6">F6*(1+Q5)</f>
        <v>335.88319198297864</v>
      </c>
      <c r="G5" s="2020">
        <v>2022</v>
      </c>
      <c r="H5" s="2031">
        <v>1</v>
      </c>
      <c r="I5" s="1996">
        <v>0</v>
      </c>
      <c r="J5" s="1996">
        <v>0</v>
      </c>
      <c r="K5" s="1996">
        <v>0</v>
      </c>
      <c r="L5" s="1997">
        <v>0</v>
      </c>
      <c r="M5" s="2016"/>
      <c r="N5" s="2032">
        <f t="shared" ref="N5" si="7">I5/100</f>
        <v>0</v>
      </c>
      <c r="O5" s="2017">
        <f t="shared" ref="O5" si="8">J5/100</f>
        <v>0</v>
      </c>
      <c r="P5" s="2017">
        <f t="shared" ref="P5" si="9">K5/100</f>
        <v>0</v>
      </c>
      <c r="Q5" s="2017">
        <f t="shared" ref="Q5" si="10">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 si="11">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 si="12">AE5</f>
        <v>9.7000000000000003E-3</v>
      </c>
      <c r="AG5" s="2017">
        <f>ROUND(AVERAGE(K5:K$40)/100,4)</f>
        <v>1.66E-2</v>
      </c>
      <c r="AH5" s="2017">
        <f>ROUND(AVERAGE(L5:L$40)/100,4)</f>
        <v>1.0999999999999999E-2</v>
      </c>
    </row>
    <row r="6" spans="1:34" s="2023" customFormat="1">
      <c r="A6" s="2018" t="s">
        <v>3350</v>
      </c>
      <c r="B6" s="2019">
        <f t="shared" ref="B6" si="13">B7*(1+N6)</f>
        <v>510.07089659554606</v>
      </c>
      <c r="C6" s="2019">
        <f t="shared" ref="C6" si="14">C7*(1+O6)</f>
        <v>352.55593185737411</v>
      </c>
      <c r="D6" s="2019">
        <f t="shared" ref="D6" si="15">C6</f>
        <v>352.55593185737411</v>
      </c>
      <c r="E6" s="2019">
        <f t="shared" ref="E6" si="16">E7*(1+P6)</f>
        <v>737.27992463403655</v>
      </c>
      <c r="F6" s="2019">
        <f t="shared" ref="F6" si="17">F7*(1+Q6)</f>
        <v>335.88319198297864</v>
      </c>
      <c r="G6" s="2020">
        <v>2022</v>
      </c>
      <c r="H6" s="2021">
        <v>1</v>
      </c>
      <c r="I6" s="2022">
        <v>0</v>
      </c>
      <c r="J6" s="2022">
        <v>0</v>
      </c>
      <c r="K6" s="2022">
        <v>0</v>
      </c>
      <c r="L6" s="2022">
        <v>0</v>
      </c>
      <c r="N6" s="2024">
        <f t="shared" ref="N6" si="18">I6/100</f>
        <v>0</v>
      </c>
      <c r="O6" s="2024">
        <f t="shared" ref="O6" si="19">J6/100</f>
        <v>0</v>
      </c>
      <c r="P6" s="2024">
        <f t="shared" ref="P6" si="20">K6/100</f>
        <v>0</v>
      </c>
      <c r="Q6" s="2024">
        <f t="shared" ref="Q6" si="21">L6/100</f>
        <v>0</v>
      </c>
      <c r="S6" s="2025"/>
      <c r="W6" s="2026" t="s">
        <v>2107</v>
      </c>
      <c r="X6" s="2027" t="e">
        <f>ROUND(IF(项目基本情况!#REF!="出让",SUMPRODUCT(PRODUCT(1+N6:N$40)),SUMPRODUCT(PRODUCT(1+N6:N$39))),4)</f>
        <v>#REF!</v>
      </c>
      <c r="Y6" s="2027" t="e">
        <f>ROUND(IF(项目基本情况!#REF!="出让",SUMPRODUCT(PRODUCT(1+O6:O$40)),SUMPRODUCT(PRODUCT(1+O6:O$39))),4)</f>
        <v>#REF!</v>
      </c>
      <c r="Z6" s="2027" t="e">
        <f t="shared" ref="Z6" si="22">Y6</f>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ref="AF6" si="23">AE6</f>
        <v>0.01</v>
      </c>
      <c r="AG6" s="2028">
        <f>ROUND(AVERAGE(K6:K$40)/100,4)</f>
        <v>1.7100000000000001E-2</v>
      </c>
      <c r="AH6" s="2028">
        <f>ROUND(AVERAGE(L6:L$40)/100,4)</f>
        <v>1.1299999999999999E-2</v>
      </c>
    </row>
    <row r="7" spans="1:34" s="2034" customFormat="1">
      <c r="A7" s="2029" t="s">
        <v>3351</v>
      </c>
      <c r="B7" s="2030">
        <f t="shared" ref="B7" si="24">B8*(1+N7)</f>
        <v>510.07089659554606</v>
      </c>
      <c r="C7" s="2030">
        <f t="shared" ref="C7" si="25">C8*(1+O7)</f>
        <v>352.55593185737411</v>
      </c>
      <c r="D7" s="2030">
        <f t="shared" ref="D7" si="26">C7</f>
        <v>352.55593185737411</v>
      </c>
      <c r="E7" s="2030">
        <f t="shared" ref="E7" si="27">E8*(1+P7)</f>
        <v>737.27992463403655</v>
      </c>
      <c r="F7" s="2030">
        <f t="shared" ref="F7" si="28">F8*(1+Q7)</f>
        <v>335.88319198297864</v>
      </c>
      <c r="G7" s="2020">
        <v>2022</v>
      </c>
      <c r="H7" s="2031">
        <v>1</v>
      </c>
      <c r="I7" s="1996">
        <v>0</v>
      </c>
      <c r="J7" s="1996">
        <v>0</v>
      </c>
      <c r="K7" s="1996">
        <v>0</v>
      </c>
      <c r="L7" s="1997">
        <v>0</v>
      </c>
      <c r="M7" s="2016"/>
      <c r="N7" s="2032">
        <f t="shared" ref="N7" si="29">I7/100</f>
        <v>0</v>
      </c>
      <c r="O7" s="2017">
        <f t="shared" ref="O7" si="30">J7/100</f>
        <v>0</v>
      </c>
      <c r="P7" s="2017">
        <f t="shared" ref="P7" si="31">K7/100</f>
        <v>0</v>
      </c>
      <c r="Q7" s="2017">
        <f t="shared" ref="Q7" si="32">L7/100</f>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ref="Z7" si="33">Y7</f>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ref="AF7" si="34">AE7</f>
        <v>1.03E-2</v>
      </c>
      <c r="AG7" s="2017">
        <f>ROUND(AVERAGE(K7:K$40)/100,4)</f>
        <v>1.7600000000000001E-2</v>
      </c>
      <c r="AH7" s="2017">
        <f>ROUND(AVERAGE(L7:L$40)/100,4)</f>
        <v>1.1599999999999999E-2</v>
      </c>
    </row>
    <row r="8" spans="1:34" s="2034" customFormat="1">
      <c r="A8" s="2029" t="s">
        <v>3352</v>
      </c>
      <c r="B8" s="2030">
        <f t="shared" ref="B8" si="35">B9*(1+N8)</f>
        <v>510.07089659554606</v>
      </c>
      <c r="C8" s="2030">
        <f t="shared" ref="C8" si="36">C9*(1+O8)</f>
        <v>352.55593185737411</v>
      </c>
      <c r="D8" s="2030">
        <f t="shared" ref="D8" si="37">C8</f>
        <v>352.55593185737411</v>
      </c>
      <c r="E8" s="2030">
        <f t="shared" ref="E8" si="38">E9*(1+P8)</f>
        <v>737.27992463403655</v>
      </c>
      <c r="F8" s="2030">
        <f t="shared" ref="F8" si="39">F9*(1+Q8)</f>
        <v>335.88319198297864</v>
      </c>
      <c r="G8" s="2020">
        <v>2022</v>
      </c>
      <c r="H8" s="2031">
        <v>1</v>
      </c>
      <c r="I8" s="1996"/>
      <c r="J8" s="1996"/>
      <c r="K8" s="1996">
        <v>0</v>
      </c>
      <c r="L8" s="1997">
        <v>0</v>
      </c>
      <c r="M8" s="2016"/>
      <c r="N8" s="2032">
        <f t="shared" ref="N8" si="40">I8/100</f>
        <v>0</v>
      </c>
      <c r="O8" s="2017">
        <f t="shared" ref="O8" si="41">J8/100</f>
        <v>0</v>
      </c>
      <c r="P8" s="2017">
        <f t="shared" ref="P8" si="42">K8/100</f>
        <v>0</v>
      </c>
      <c r="Q8" s="2017">
        <f t="shared" ref="Q8" si="43">L8/100</f>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ref="Z8" si="44">Y8</f>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ref="AF8" si="45">AE8</f>
        <v>1.06E-2</v>
      </c>
      <c r="AG8" s="2017">
        <f>ROUND(AVERAGE(K8:K$40)/100,4)</f>
        <v>1.8100000000000002E-2</v>
      </c>
      <c r="AH8" s="2017">
        <f>ROUND(AVERAGE(L8:L$40)/100,4)</f>
        <v>1.2E-2</v>
      </c>
    </row>
    <row r="9" spans="1:34" s="2034" customFormat="1">
      <c r="A9" s="2029" t="s">
        <v>2426</v>
      </c>
      <c r="B9" s="2030">
        <f t="shared" ref="B9" si="46">B10*(1+N9)</f>
        <v>510.07089659554606</v>
      </c>
      <c r="C9" s="2030">
        <f t="shared" ref="C9" si="47">C10*(1+O9)</f>
        <v>352.55593185737411</v>
      </c>
      <c r="D9" s="2030">
        <f t="shared" ref="D9" si="48">C9</f>
        <v>352.55593185737411</v>
      </c>
      <c r="E9" s="2030">
        <f t="shared" ref="E9" si="49">E10*(1+P9)</f>
        <v>737.27992463403655</v>
      </c>
      <c r="F9" s="2030">
        <f t="shared" ref="F9" si="50">F10*(1+Q9)</f>
        <v>335.88319198297864</v>
      </c>
      <c r="G9" s="2020">
        <v>2021</v>
      </c>
      <c r="H9" s="2031">
        <v>4</v>
      </c>
      <c r="I9" s="1996">
        <v>1.03</v>
      </c>
      <c r="J9" s="1996">
        <v>0.24</v>
      </c>
      <c r="K9" s="1996">
        <v>1.17</v>
      </c>
      <c r="L9" s="1997">
        <v>0.55000000000000004</v>
      </c>
      <c r="M9" s="2016"/>
      <c r="N9" s="2032">
        <f t="shared" ref="N9" si="51">I9/100</f>
        <v>1.03E-2</v>
      </c>
      <c r="O9" s="2017">
        <f t="shared" ref="O9" si="52">J9/100</f>
        <v>2.3999999999999998E-3</v>
      </c>
      <c r="P9" s="2017">
        <f t="shared" ref="P9" si="53">K9/100</f>
        <v>1.1699999999999999E-2</v>
      </c>
      <c r="Q9" s="2017">
        <f t="shared" ref="Q9" si="54">L9/100</f>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ref="Z9" si="55">Y9</f>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ref="AF9" si="56">AE9</f>
        <v>1.06E-2</v>
      </c>
      <c r="AG9" s="2017">
        <f>ROUND(AVERAGE(K9:K$40)/100,4)</f>
        <v>1.8700000000000001E-2</v>
      </c>
      <c r="AH9" s="2017">
        <f>ROUND(AVERAGE(L9:L$40)/100,4)</f>
        <v>1.24E-2</v>
      </c>
    </row>
    <row r="10" spans="1:34" s="2034" customFormat="1">
      <c r="A10" s="2029" t="s">
        <v>2303</v>
      </c>
      <c r="B10" s="2030">
        <f t="shared" ref="B10" si="57">B11*(1+N10)</f>
        <v>504.87072809615569</v>
      </c>
      <c r="C10" s="2030">
        <f t="shared" ref="C10" si="58">C11*(1+O10)</f>
        <v>351.71182348101968</v>
      </c>
      <c r="D10" s="2030">
        <f t="shared" ref="D10" si="59">C10</f>
        <v>351.71182348101968</v>
      </c>
      <c r="E10" s="2030">
        <f t="shared" ref="E10" si="60">E11*(1+P10)</f>
        <v>728.75350858360832</v>
      </c>
      <c r="F10" s="2030">
        <f t="shared" ref="F10" si="61">F11*(1+Q10)</f>
        <v>334.04593931673656</v>
      </c>
      <c r="G10" s="2020">
        <v>2021</v>
      </c>
      <c r="H10" s="2031">
        <v>3</v>
      </c>
      <c r="I10" s="1996">
        <v>0.47</v>
      </c>
      <c r="J10" s="1996">
        <v>0.41</v>
      </c>
      <c r="K10" s="1996">
        <v>0.48</v>
      </c>
      <c r="L10" s="1997">
        <v>0.48</v>
      </c>
      <c r="M10" s="2016"/>
      <c r="N10" s="2032">
        <f t="shared" ref="N10" si="62">I10/100</f>
        <v>4.6999999999999993E-3</v>
      </c>
      <c r="O10" s="2017">
        <f t="shared" ref="O10" si="63">J10/100</f>
        <v>4.0999999999999995E-3</v>
      </c>
      <c r="P10" s="2017">
        <f t="shared" ref="P10" si="64">K10/100</f>
        <v>4.7999999999999996E-3</v>
      </c>
      <c r="Q10" s="2017">
        <f t="shared" ref="Q10" si="65">L10/100</f>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ref="Z10" si="66">Y10</f>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ref="AF10" si="67">AE10</f>
        <v>1.09E-2</v>
      </c>
      <c r="AG10" s="2017">
        <f>ROUND(AVERAGE(K10:K$40)/100,4)</f>
        <v>1.89E-2</v>
      </c>
      <c r="AH10" s="2017">
        <f>ROUND(AVERAGE(L10:L$40)/100,4)</f>
        <v>1.26E-2</v>
      </c>
    </row>
    <row r="11" spans="1:34" s="2034" customFormat="1">
      <c r="A11" s="2029" t="s">
        <v>2302</v>
      </c>
      <c r="B11" s="2030">
        <f t="shared" ref="B11" si="68">B12*(1+N11)</f>
        <v>502.50893609650217</v>
      </c>
      <c r="C11" s="2030">
        <f t="shared" ref="C11" si="69">C12*(1+O11)</f>
        <v>350.27569313914915</v>
      </c>
      <c r="D11" s="2030">
        <f t="shared" ref="D11" si="70">C11</f>
        <v>350.27569313914915</v>
      </c>
      <c r="E11" s="2030">
        <f t="shared" ref="E11" si="71">E12*(1+P11)</f>
        <v>725.27220201394141</v>
      </c>
      <c r="F11" s="2030">
        <f t="shared" ref="F11" si="72">F12*(1+Q11)</f>
        <v>332.45017846012797</v>
      </c>
      <c r="G11" s="2020">
        <v>2021</v>
      </c>
      <c r="H11" s="2031">
        <v>2</v>
      </c>
      <c r="I11" s="1996">
        <v>0.92</v>
      </c>
      <c r="J11" s="1996">
        <v>0.72</v>
      </c>
      <c r="K11" s="1996">
        <v>0.95</v>
      </c>
      <c r="L11" s="1997">
        <v>1.01</v>
      </c>
      <c r="M11" s="2016"/>
      <c r="N11" s="2032">
        <f t="shared" ref="N11" si="73">I11/100</f>
        <v>9.1999999999999998E-3</v>
      </c>
      <c r="O11" s="2017">
        <f t="shared" ref="O11" si="74">J11/100</f>
        <v>7.1999999999999998E-3</v>
      </c>
      <c r="P11" s="2017">
        <f t="shared" ref="P11" si="75">K11/100</f>
        <v>9.4999999999999998E-3</v>
      </c>
      <c r="Q11" s="2017">
        <f t="shared" ref="Q11" si="76">L11/100</f>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ref="Z11" si="77">Y11</f>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ref="AF11" si="78">AE11</f>
        <v>1.11E-2</v>
      </c>
      <c r="AG11" s="2017">
        <f>ROUND(AVERAGE(K11:K$40)/100,4)</f>
        <v>1.9400000000000001E-2</v>
      </c>
      <c r="AH11" s="2017">
        <f>ROUND(AVERAGE(L11:L$40)/100,4)</f>
        <v>1.2800000000000001E-2</v>
      </c>
    </row>
    <row r="12" spans="1:34" s="2034" customFormat="1">
      <c r="A12" s="2029" t="s">
        <v>2301</v>
      </c>
      <c r="B12" s="2030">
        <f t="shared" ref="B12" si="79">B13*(1+N12)</f>
        <v>497.92799851020823</v>
      </c>
      <c r="C12" s="2030">
        <f t="shared" ref="C12" si="80">C13*(1+O12)</f>
        <v>347.77173663537445</v>
      </c>
      <c r="D12" s="2030">
        <f t="shared" ref="D12" si="81">C12</f>
        <v>347.77173663537445</v>
      </c>
      <c r="E12" s="2030">
        <f t="shared" ref="E12" si="82">E13*(1+P12)</f>
        <v>718.44695593258189</v>
      </c>
      <c r="F12" s="2030">
        <f t="shared" ref="F12" si="83">F13*(1+Q12)</f>
        <v>329.12600580153247</v>
      </c>
      <c r="G12" s="2020">
        <v>2021</v>
      </c>
      <c r="H12" s="2031">
        <v>1</v>
      </c>
      <c r="I12" s="1996">
        <v>0.97</v>
      </c>
      <c r="J12" s="1996">
        <v>0.16</v>
      </c>
      <c r="K12" s="1996">
        <v>1.1100000000000001</v>
      </c>
      <c r="L12" s="1997">
        <v>0.36</v>
      </c>
      <c r="M12" s="2016"/>
      <c r="N12" s="2032">
        <f t="shared" ref="N12" si="84">I12/100</f>
        <v>9.7000000000000003E-3</v>
      </c>
      <c r="O12" s="2017">
        <f t="shared" ref="O12" si="85">J12/100</f>
        <v>1.6000000000000001E-3</v>
      </c>
      <c r="P12" s="2017">
        <f t="shared" ref="P12" si="86">K12/100</f>
        <v>1.11E-2</v>
      </c>
      <c r="Q12" s="2017">
        <f t="shared" ref="Q12" si="87">L12/100</f>
        <v>3.5999999999999999E-3</v>
      </c>
      <c r="R12" s="2033"/>
      <c r="S12" s="2032">
        <f>B12/B13-1</f>
        <v>9.7000000000000419E-3</v>
      </c>
      <c r="T12" s="2017">
        <f t="shared" ref="T12" si="88">C12/C13-1</f>
        <v>1.6000000000000458E-3</v>
      </c>
      <c r="U12" s="2017">
        <f t="shared" ref="U12" si="89">D12/D13-1</f>
        <v>1.6000000000000458E-3</v>
      </c>
      <c r="V12" s="2017">
        <f t="shared" ref="V12" si="90">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ref="Z12" si="91">Y12</f>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ref="AF12" si="92">AE12</f>
        <v>1.12E-2</v>
      </c>
      <c r="AG12" s="2017">
        <f>ROUND(AVERAGE(K12:K$40)/100,4)</f>
        <v>1.9699999999999999E-2</v>
      </c>
      <c r="AH12" s="2017">
        <f>ROUND(AVERAGE(L12:L$40)/100,4)</f>
        <v>1.29E-2</v>
      </c>
    </row>
    <row r="13" spans="1:34" s="2034" customFormat="1">
      <c r="A13" s="2029" t="s">
        <v>2298</v>
      </c>
      <c r="B13" s="2030">
        <f t="shared" ref="B13" si="93">B14*(1+N13)</f>
        <v>493.14449689037161</v>
      </c>
      <c r="C13" s="2030">
        <f t="shared" ref="C13" si="94">C14*(1+O13)</f>
        <v>347.21619073020611</v>
      </c>
      <c r="D13" s="2030">
        <f t="shared" ref="D13" si="95">C13</f>
        <v>347.21619073020611</v>
      </c>
      <c r="E13" s="2030">
        <f t="shared" ref="E13" si="96">E14*(1+P13)</f>
        <v>710.55974278763904</v>
      </c>
      <c r="F13" s="2030">
        <f t="shared" ref="F13" si="97">F14*(1+Q13)</f>
        <v>327.94540235306141</v>
      </c>
      <c r="G13" s="2020">
        <v>2020</v>
      </c>
      <c r="H13" s="2031">
        <v>4</v>
      </c>
      <c r="I13" s="1996">
        <v>2.0699999999999998</v>
      </c>
      <c r="J13" s="1996">
        <v>0.37</v>
      </c>
      <c r="K13" s="1996">
        <v>2.35</v>
      </c>
      <c r="L13" s="1997">
        <v>2.69</v>
      </c>
      <c r="M13" s="2016"/>
      <c r="N13" s="2032">
        <f t="shared" ref="N13" si="98">I13/100</f>
        <v>2.07E-2</v>
      </c>
      <c r="O13" s="2017">
        <f t="shared" ref="O13" si="99">J13/100</f>
        <v>3.7000000000000002E-3</v>
      </c>
      <c r="P13" s="2017">
        <f t="shared" ref="P13" si="100">K13/100</f>
        <v>2.35E-2</v>
      </c>
      <c r="Q13" s="2017">
        <f t="shared" ref="Q13" si="101">L13/100</f>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ref="Z13" si="102">Y13</f>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ref="AF13" si="103">AE13</f>
        <v>1.1599999999999999E-2</v>
      </c>
      <c r="AG13" s="2017">
        <f>ROUND(AVERAGE(K13:K$40)/100,4)</f>
        <v>0.02</v>
      </c>
      <c r="AH13" s="2017">
        <f>ROUND(AVERAGE(L13:L$40)/100,4)</f>
        <v>1.3299999999999999E-2</v>
      </c>
    </row>
    <row r="14" spans="1:34" s="2034" customFormat="1">
      <c r="A14" s="2029" t="s">
        <v>2297</v>
      </c>
      <c r="B14" s="2030">
        <f t="shared" ref="B14" si="104">B15*(1+N14)</f>
        <v>483.1434279321756</v>
      </c>
      <c r="C14" s="2030">
        <f t="shared" ref="C14" si="105">C15*(1+O14)</f>
        <v>345.93622669144776</v>
      </c>
      <c r="D14" s="2030">
        <f t="shared" ref="D14" si="106">C14</f>
        <v>345.93622669144776</v>
      </c>
      <c r="E14" s="2030">
        <f t="shared" ref="E14" si="107">E15*(1+P14)</f>
        <v>694.24498562544113</v>
      </c>
      <c r="F14" s="2030">
        <f t="shared" ref="F14" si="108">F15*(1+Q14)</f>
        <v>319.35475932716082</v>
      </c>
      <c r="G14" s="2020">
        <v>2020</v>
      </c>
      <c r="H14" s="2031">
        <v>3</v>
      </c>
      <c r="I14" s="1996">
        <v>0.36</v>
      </c>
      <c r="J14" s="1996">
        <v>-0.39</v>
      </c>
      <c r="K14" s="1996">
        <v>0.49</v>
      </c>
      <c r="L14" s="1997">
        <v>7.0000000000000007E-2</v>
      </c>
      <c r="M14" s="2016"/>
      <c r="N14" s="2032">
        <f t="shared" ref="N14" si="109">I14/100</f>
        <v>3.5999999999999999E-3</v>
      </c>
      <c r="O14" s="2017">
        <f t="shared" ref="O14" si="110">J14/100</f>
        <v>-3.9000000000000003E-3</v>
      </c>
      <c r="P14" s="2017">
        <f t="shared" ref="P14" si="111">K14/100</f>
        <v>4.8999999999999998E-3</v>
      </c>
      <c r="Q14" s="2017">
        <f t="shared" ref="Q14" si="112">L14/100</f>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ref="Z14" si="113">Y14</f>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ref="AF14" si="114">AE14</f>
        <v>1.1900000000000001E-2</v>
      </c>
      <c r="AG14" s="2017">
        <f>ROUND(AVERAGE(K14:K$40)/100,4)</f>
        <v>1.9900000000000001E-2</v>
      </c>
      <c r="AH14" s="2017">
        <f>ROUND(AVERAGE(L14:L$40)/100,4)</f>
        <v>1.2800000000000001E-2</v>
      </c>
    </row>
    <row r="15" spans="1:34" s="2034" customFormat="1">
      <c r="A15" s="2029" t="s">
        <v>2122</v>
      </c>
      <c r="B15" s="2030">
        <f t="shared" ref="B15" si="115">B16*(1+N15)</f>
        <v>481.4103506697644</v>
      </c>
      <c r="C15" s="2030">
        <f t="shared" ref="C15" si="116">C16*(1+O15)</f>
        <v>347.29066026648707</v>
      </c>
      <c r="D15" s="2030">
        <f t="shared" ref="D15" si="117">C15</f>
        <v>347.29066026648707</v>
      </c>
      <c r="E15" s="2030">
        <f t="shared" ref="E15" si="118">E16*(1+P15)</f>
        <v>690.85977273901995</v>
      </c>
      <c r="F15" s="2030">
        <f t="shared" ref="F15" si="119">F16*(1+Q15)</f>
        <v>319.13136737000184</v>
      </c>
      <c r="G15" s="2020">
        <v>2020</v>
      </c>
      <c r="H15" s="2031">
        <v>2</v>
      </c>
      <c r="I15" s="1996">
        <v>0.31</v>
      </c>
      <c r="J15" s="1996">
        <v>-0.78</v>
      </c>
      <c r="K15" s="1996">
        <v>0.5</v>
      </c>
      <c r="L15" s="1997">
        <v>0.47</v>
      </c>
      <c r="M15" s="2016"/>
      <c r="N15" s="2032">
        <f t="shared" ref="N15" si="120">I15/100</f>
        <v>3.0999999999999999E-3</v>
      </c>
      <c r="O15" s="2017">
        <f t="shared" ref="O15" si="121">J15/100</f>
        <v>-7.8000000000000005E-3</v>
      </c>
      <c r="P15" s="2017">
        <f t="shared" ref="P15" si="122">K15/100</f>
        <v>5.0000000000000001E-3</v>
      </c>
      <c r="Q15" s="2017">
        <f t="shared" ref="Q15" si="123">L15/100</f>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ref="Z15" si="124">Y15</f>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ref="AF15" si="125">AE15</f>
        <v>1.2500000000000001E-2</v>
      </c>
      <c r="AG15" s="2017">
        <f>ROUND(AVERAGE(K15:K$40)/100,4)</f>
        <v>2.0400000000000001E-2</v>
      </c>
      <c r="AH15" s="2017">
        <f>ROUND(AVERAGE(L15:L$40)/100,4)</f>
        <v>1.32E-2</v>
      </c>
    </row>
    <row r="16" spans="1:34" s="2034" customFormat="1">
      <c r="A16" s="2029" t="s">
        <v>2120</v>
      </c>
      <c r="B16" s="2030">
        <f t="shared" ref="B16" si="126">B17*(1+N16)</f>
        <v>479.92259063878413</v>
      </c>
      <c r="C16" s="2030">
        <f t="shared" ref="C16" si="127">C17*(1+O16)</f>
        <v>350.02082268341775</v>
      </c>
      <c r="D16" s="2030">
        <f t="shared" ref="D16" si="128">C16</f>
        <v>350.02082268341775</v>
      </c>
      <c r="E16" s="2030">
        <f t="shared" ref="E16" si="129">E17*(1+P16)</f>
        <v>687.42265944181099</v>
      </c>
      <c r="F16" s="2030">
        <f t="shared" ref="F16" si="130">F17*(1+Q16)</f>
        <v>317.63846657708956</v>
      </c>
      <c r="G16" s="2020">
        <v>2020</v>
      </c>
      <c r="H16" s="2031">
        <v>1</v>
      </c>
      <c r="I16" s="1996">
        <v>0.12</v>
      </c>
      <c r="J16" s="1996">
        <v>-0.4</v>
      </c>
      <c r="K16" s="1996">
        <v>0.21</v>
      </c>
      <c r="L16" s="1997">
        <v>0.27</v>
      </c>
      <c r="M16" s="2016"/>
      <c r="N16" s="2032">
        <f t="shared" ref="N16" si="131">I16/100</f>
        <v>1.1999999999999999E-3</v>
      </c>
      <c r="O16" s="2017">
        <f t="shared" ref="O16" si="132">J16/100</f>
        <v>-4.0000000000000001E-3</v>
      </c>
      <c r="P16" s="2017">
        <f t="shared" ref="P16" si="133">K16/100</f>
        <v>2.0999999999999999E-3</v>
      </c>
      <c r="Q16" s="2017">
        <f t="shared" ref="Q16" si="134">L16/100</f>
        <v>2.7000000000000001E-3</v>
      </c>
      <c r="R16" s="2033"/>
      <c r="S16" s="2032">
        <f>B16/B17-1</f>
        <v>1.2000000000000899E-3</v>
      </c>
      <c r="T16" s="2017">
        <f t="shared" ref="T16" si="135">C16/C17-1</f>
        <v>-4.0000000000000036E-3</v>
      </c>
      <c r="U16" s="2017">
        <f t="shared" ref="U16" si="136">D16/D17-1</f>
        <v>-4.0000000000000036E-3</v>
      </c>
      <c r="V16" s="2017">
        <f t="shared" ref="V16" si="137">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ref="Z16" si="138">Y16</f>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ref="AF16" si="139">AE16</f>
        <v>1.3299999999999999E-2</v>
      </c>
      <c r="AG16" s="2017">
        <f>ROUND(AVERAGE(K16:K$40)/100,4)</f>
        <v>2.1100000000000001E-2</v>
      </c>
      <c r="AH16" s="2017">
        <f>ROUND(AVERAGE(L16:L$40)/100,4)</f>
        <v>1.3599999999999999E-2</v>
      </c>
    </row>
    <row r="17" spans="1:34" s="2034" customFormat="1">
      <c r="A17" s="2029" t="s">
        <v>2119</v>
      </c>
      <c r="B17" s="2030">
        <f t="shared" ref="B17" si="140">B18*(1+N17)</f>
        <v>479.34737379023579</v>
      </c>
      <c r="C17" s="2030">
        <f t="shared" ref="C17" si="141">C18*(1+O17)</f>
        <v>351.4265287986122</v>
      </c>
      <c r="D17" s="2030">
        <f t="shared" ref="D17" si="142">C17</f>
        <v>351.4265287986122</v>
      </c>
      <c r="E17" s="2030">
        <f t="shared" ref="E17" si="143">E18*(1+P17)</f>
        <v>685.98209703803116</v>
      </c>
      <c r="F17" s="2030">
        <f t="shared" ref="F17" si="144">F18*(1+Q17)</f>
        <v>316.78315206651001</v>
      </c>
      <c r="G17" s="2020">
        <v>2019</v>
      </c>
      <c r="H17" s="2031">
        <v>4</v>
      </c>
      <c r="I17" s="2031">
        <v>0.45</v>
      </c>
      <c r="J17" s="2031">
        <v>-0.12</v>
      </c>
      <c r="K17" s="2031">
        <v>0.54</v>
      </c>
      <c r="L17" s="2035">
        <v>0.48</v>
      </c>
      <c r="M17" s="2016"/>
      <c r="N17" s="2032">
        <f t="shared" ref="N17:N22" si="145">I17/100</f>
        <v>4.5000000000000005E-3</v>
      </c>
      <c r="O17" s="2017">
        <f t="shared" ref="O17" si="146">J17/100</f>
        <v>-1.1999999999999999E-3</v>
      </c>
      <c r="P17" s="2017">
        <f t="shared" ref="P17" si="147">K17/100</f>
        <v>5.4000000000000003E-3</v>
      </c>
      <c r="Q17" s="2017">
        <f t="shared" ref="Q17" si="148">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ref="Z17" si="149">Y17</f>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ref="AF17" si="150">AE17</f>
        <v>1.4E-2</v>
      </c>
      <c r="AG17" s="2017">
        <f>ROUND(AVERAGE(K17:K$40)/100,4)</f>
        <v>2.1899999999999999E-2</v>
      </c>
      <c r="AH17" s="2017">
        <f>ROUND(AVERAGE(L17:L$40)/100,4)</f>
        <v>1.4E-2</v>
      </c>
    </row>
    <row r="18" spans="1:34" s="2034" customFormat="1" ht="13.5" thickBot="1">
      <c r="A18" s="2029" t="s">
        <v>2118</v>
      </c>
      <c r="B18" s="2030">
        <f t="shared" ref="B18" si="151">B19*(1+N18)</f>
        <v>477.19997390765138</v>
      </c>
      <c r="C18" s="2030">
        <f t="shared" ref="C18" si="152">C19*(1+O18)</f>
        <v>351.84874729536665</v>
      </c>
      <c r="D18" s="2030">
        <f t="shared" ref="D18" si="153">C18</f>
        <v>351.84874729536665</v>
      </c>
      <c r="E18" s="2030">
        <f t="shared" ref="E18" si="154">E19*(1+P18)</f>
        <v>682.29768951465201</v>
      </c>
      <c r="F18" s="2030">
        <f t="shared" ref="F18" si="155">F19*(1+Q18)</f>
        <v>315.26985675409043</v>
      </c>
      <c r="G18" s="2020">
        <v>2019</v>
      </c>
      <c r="H18" s="2031">
        <v>3</v>
      </c>
      <c r="I18" s="2031">
        <v>0.61</v>
      </c>
      <c r="J18" s="2031">
        <v>0.67</v>
      </c>
      <c r="K18" s="2031">
        <v>0.6</v>
      </c>
      <c r="L18" s="2035">
        <v>1.03</v>
      </c>
      <c r="M18" s="2016"/>
      <c r="N18" s="2032">
        <f t="shared" si="145"/>
        <v>6.0999999999999995E-3</v>
      </c>
      <c r="O18" s="2017">
        <f t="shared" ref="O18" si="156">J18/100</f>
        <v>6.7000000000000002E-3</v>
      </c>
      <c r="P18" s="2017">
        <f t="shared" ref="P18" si="157">K18/100</f>
        <v>6.0000000000000001E-3</v>
      </c>
      <c r="Q18" s="2017">
        <f t="shared" ref="Q18" si="158">L18/100</f>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ref="Z18" si="159">Y18</f>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ref="AF18" si="160">AE18</f>
        <v>1.47E-2</v>
      </c>
      <c r="AG18" s="2017">
        <f>ROUND(AVERAGE(K18:K$40)/100,4)</f>
        <v>2.2599999999999999E-2</v>
      </c>
      <c r="AH18" s="2017">
        <f>ROUND(AVERAGE(L18:L$40)/100,4)</f>
        <v>1.44E-2</v>
      </c>
    </row>
    <row r="19" spans="1:34" s="2034" customFormat="1">
      <c r="A19" s="2029" t="s">
        <v>2116</v>
      </c>
      <c r="B19" s="2030">
        <f t="shared" ref="B19" si="161">B20*(1+N19)</f>
        <v>474.30670301923408</v>
      </c>
      <c r="C19" s="2030">
        <f t="shared" ref="C19" si="162">C20*(1+O19)</f>
        <v>349.50705005996491</v>
      </c>
      <c r="D19" s="2030">
        <f t="shared" ref="D19" si="163">C19</f>
        <v>349.50705005996491</v>
      </c>
      <c r="E19" s="2030">
        <f t="shared" ref="E19" si="164">E20*(1+P19)</f>
        <v>678.22831959706957</v>
      </c>
      <c r="F19" s="2030">
        <f t="shared" ref="F19" si="165">F20*(1+Q19)</f>
        <v>312.0556832169558</v>
      </c>
      <c r="G19" s="2020">
        <v>2019</v>
      </c>
      <c r="H19" s="2036">
        <v>2</v>
      </c>
      <c r="I19" s="2036">
        <v>1.53</v>
      </c>
      <c r="J19" s="2036">
        <v>1.01</v>
      </c>
      <c r="K19" s="2036">
        <v>1.62</v>
      </c>
      <c r="L19" s="2037">
        <v>1.25</v>
      </c>
      <c r="M19" s="2016"/>
      <c r="N19" s="2032">
        <f t="shared" si="145"/>
        <v>1.5300000000000001E-2</v>
      </c>
      <c r="O19" s="2017">
        <f t="shared" ref="O19" si="166">J19/100</f>
        <v>1.01E-2</v>
      </c>
      <c r="P19" s="2017">
        <f t="shared" ref="P19" si="167">K19/100</f>
        <v>1.6200000000000003E-2</v>
      </c>
      <c r="Q19" s="2017">
        <f t="shared" ref="Q19" si="168">L19/100</f>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ref="Z19" si="169">Y19</f>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ref="AF19" si="170">AE19</f>
        <v>1.4999999999999999E-2</v>
      </c>
      <c r="AG19" s="2017">
        <f>ROUND(AVERAGE(K19:K$40)/100,4)</f>
        <v>2.3300000000000001E-2</v>
      </c>
      <c r="AH19" s="2017">
        <f>ROUND(AVERAGE(L19:L$40)/100,4)</f>
        <v>1.46E-2</v>
      </c>
    </row>
    <row r="20" spans="1:34" s="2034" customFormat="1" ht="13.5" thickBot="1">
      <c r="A20" s="2029" t="s">
        <v>2115</v>
      </c>
      <c r="B20" s="2030">
        <f t="shared" ref="B20" si="171">B21*(1+N20)</f>
        <v>467.15916775261894</v>
      </c>
      <c r="C20" s="2030">
        <f t="shared" ref="C20" si="172">C21*(1+O20)</f>
        <v>346.01232557169084</v>
      </c>
      <c r="D20" s="2030">
        <f t="shared" ref="D20" si="173">C20</f>
        <v>346.01232557169084</v>
      </c>
      <c r="E20" s="2030">
        <f t="shared" ref="E20" si="174">E21*(1+P20)</f>
        <v>667.41617752122568</v>
      </c>
      <c r="F20" s="2030">
        <f t="shared" ref="F20" si="175">F21*(1+Q20)</f>
        <v>308.20314391798104</v>
      </c>
      <c r="G20" s="2020">
        <v>2019</v>
      </c>
      <c r="H20" s="2031">
        <v>1</v>
      </c>
      <c r="I20" s="2031">
        <v>0.6</v>
      </c>
      <c r="J20" s="2031">
        <v>0.37</v>
      </c>
      <c r="K20" s="2031">
        <v>0.63</v>
      </c>
      <c r="L20" s="2035">
        <v>1.1299999999999999</v>
      </c>
      <c r="M20" s="2016"/>
      <c r="N20" s="2032">
        <f t="shared" si="145"/>
        <v>6.0000000000000001E-3</v>
      </c>
      <c r="O20" s="2017">
        <f t="shared" ref="O20" si="176">J20/100</f>
        <v>3.7000000000000002E-3</v>
      </c>
      <c r="P20" s="2017">
        <f t="shared" ref="P20" si="177">K20/100</f>
        <v>6.3E-3</v>
      </c>
      <c r="Q20" s="2017">
        <f t="shared" ref="Q20" si="178">L20/100</f>
        <v>1.1299999999999999E-2</v>
      </c>
      <c r="R20" s="2033"/>
      <c r="S20" s="2032">
        <f>B20/B21-1</f>
        <v>6.0000000000000053E-3</v>
      </c>
      <c r="T20" s="2017">
        <f t="shared" ref="T20" si="179">C20/C21-1</f>
        <v>3.7000000000000366E-3</v>
      </c>
      <c r="U20" s="2017">
        <f t="shared" ref="U20" si="180">D20/D21-1</f>
        <v>3.7000000000000366E-3</v>
      </c>
      <c r="V20" s="2017">
        <f t="shared" ref="V20" si="181">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ref="Z20" si="182">Y20</f>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ref="AF20" si="183">AE20</f>
        <v>1.5299999999999999E-2</v>
      </c>
      <c r="AG20" s="2017">
        <f>ROUND(AVERAGE(K20:K$40)/100,4)</f>
        <v>2.3699999999999999E-2</v>
      </c>
      <c r="AH20" s="2017">
        <f>ROUND(AVERAGE(L20:L$40)/100,4)</f>
        <v>1.47E-2</v>
      </c>
    </row>
    <row r="21" spans="1:34" s="2034" customFormat="1">
      <c r="A21" s="2029" t="s">
        <v>2117</v>
      </c>
      <c r="B21" s="2038">
        <f t="shared" ref="B21" si="184">B22*(1+N21)</f>
        <v>464.37293017158942</v>
      </c>
      <c r="C21" s="2038">
        <f t="shared" ref="C21" si="185">C22*(1+O21)</f>
        <v>344.73679941385956</v>
      </c>
      <c r="D21" s="2038">
        <f t="shared" ref="D21" si="186">C21</f>
        <v>344.73679941385956</v>
      </c>
      <c r="E21" s="2038">
        <f t="shared" ref="E21" si="187">E22*(1+P21)</f>
        <v>663.2377795103107</v>
      </c>
      <c r="F21" s="2039">
        <f t="shared" ref="F21" si="188">F22*(1+Q21)</f>
        <v>304.75936311478398</v>
      </c>
      <c r="G21" s="3531">
        <v>2018</v>
      </c>
      <c r="H21" s="2036">
        <v>4</v>
      </c>
      <c r="I21" s="2036">
        <v>0.96</v>
      </c>
      <c r="J21" s="2036">
        <v>1.03</v>
      </c>
      <c r="K21" s="2036">
        <v>0.92</v>
      </c>
      <c r="L21" s="2037">
        <v>1.29</v>
      </c>
      <c r="M21" s="2016"/>
      <c r="N21" s="2032">
        <f t="shared" si="145"/>
        <v>9.5999999999999992E-3</v>
      </c>
      <c r="O21" s="2017">
        <f t="shared" ref="O21" si="189">J21/100</f>
        <v>1.03E-2</v>
      </c>
      <c r="P21" s="2017">
        <f t="shared" ref="P21" si="190">K21/100</f>
        <v>9.1999999999999998E-3</v>
      </c>
      <c r="Q21" s="2017">
        <f t="shared" ref="Q21" si="191">L21/100</f>
        <v>1.29E-2</v>
      </c>
      <c r="R21" s="2033"/>
      <c r="S21" s="2032"/>
      <c r="T21" s="2017"/>
      <c r="U21" s="2017"/>
      <c r="V21" s="2017"/>
      <c r="W21" s="2016"/>
      <c r="X21" s="2016">
        <f>ROUND(SUMPRODUCT(PRODUCT(1+N21:N$39)),4)</f>
        <v>1.5099</v>
      </c>
      <c r="Y21" s="2016">
        <f>ROUND(SUMPRODUCT(PRODUCT(1+O21:O$39)),4)</f>
        <v>1.3372999999999999</v>
      </c>
      <c r="Z21" s="2016">
        <f t="shared" ref="Z21" si="192">Y21</f>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ref="AF21" si="193">AE21</f>
        <v>1.5800000000000002E-2</v>
      </c>
      <c r="AG21" s="2017">
        <f>ROUND(AVERAGE(K21:K$40)/100,4)</f>
        <v>2.4500000000000001E-2</v>
      </c>
      <c r="AH21" s="2017">
        <f>ROUND(AVERAGE(L21:L$40)/100,4)</f>
        <v>1.49E-2</v>
      </c>
    </row>
    <row r="22" spans="1:34" s="2034" customFormat="1" ht="14.45" customHeight="1">
      <c r="A22" s="2029" t="s">
        <v>2113</v>
      </c>
      <c r="B22" s="2030">
        <f t="shared" ref="B22" si="194">B23*(1+N22)</f>
        <v>459.95733971036987</v>
      </c>
      <c r="C22" s="2030">
        <f t="shared" ref="C22" si="195">C23*(1+O22)</f>
        <v>341.22221064422405</v>
      </c>
      <c r="D22" s="2030">
        <f t="shared" ref="D22" si="196">C22</f>
        <v>341.22221064422405</v>
      </c>
      <c r="E22" s="2030">
        <f t="shared" ref="E22" si="197">E23*(1+P22)</f>
        <v>657.19161663724799</v>
      </c>
      <c r="F22" s="2030">
        <f t="shared" ref="F22" si="198">F23*(1+Q22)</f>
        <v>300.87803644464805</v>
      </c>
      <c r="G22" s="3531"/>
      <c r="H22" s="2031">
        <v>3</v>
      </c>
      <c r="I22" s="2031">
        <v>1.51</v>
      </c>
      <c r="J22" s="2031">
        <v>1.41</v>
      </c>
      <c r="K22" s="2031">
        <v>1.52</v>
      </c>
      <c r="L22" s="2035">
        <v>1.74</v>
      </c>
      <c r="M22" s="2016"/>
      <c r="N22" s="2032">
        <f t="shared" si="145"/>
        <v>1.5100000000000001E-2</v>
      </c>
      <c r="O22" s="2017">
        <f t="shared" ref="O22" si="199">J22/100</f>
        <v>1.41E-2</v>
      </c>
      <c r="P22" s="2017">
        <f t="shared" ref="P22" si="200">K22/100</f>
        <v>1.52E-2</v>
      </c>
      <c r="Q22" s="2017">
        <f t="shared" ref="Q22" si="201">L22/100</f>
        <v>1.7399999999999999E-2</v>
      </c>
      <c r="R22" s="2033"/>
      <c r="S22" s="2032"/>
      <c r="T22" s="2017"/>
      <c r="U22" s="2017"/>
      <c r="V22" s="2017"/>
      <c r="W22" s="2016"/>
      <c r="X22" s="2016">
        <f>ROUND(SUMPRODUCT(PRODUCT(1+N22:N$39)),4)</f>
        <v>1.4956</v>
      </c>
      <c r="Y22" s="2016">
        <f>ROUND(SUMPRODUCT(PRODUCT(1+O22:O$39)),4)</f>
        <v>1.3237000000000001</v>
      </c>
      <c r="Z22" s="2016">
        <f t="shared" ref="Z22" si="202">Y22</f>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ref="AF22" si="203">AE22</f>
        <v>1.61E-2</v>
      </c>
      <c r="AG22" s="2017">
        <f>ROUND(AVERAGE(K22:K$40)/100,4)</f>
        <v>2.53E-2</v>
      </c>
      <c r="AH22" s="2017">
        <f>ROUND(AVERAGE(L22:L$40)/100,4)</f>
        <v>1.4999999999999999E-2</v>
      </c>
    </row>
    <row r="23" spans="1:34" s="2034" customFormat="1" ht="14.45" customHeight="1">
      <c r="A23" s="2029" t="s">
        <v>2112</v>
      </c>
      <c r="B23" s="2030">
        <f t="shared" ref="B23" si="204">B24*(1+N23)</f>
        <v>453.11529869999993</v>
      </c>
      <c r="C23" s="2030">
        <f t="shared" ref="C23" si="205">C24*(1+O23)</f>
        <v>336.47787264000004</v>
      </c>
      <c r="D23" s="2030">
        <f t="shared" ref="D23" si="206">C23</f>
        <v>336.47787264000004</v>
      </c>
      <c r="E23" s="2030">
        <f t="shared" ref="E23" si="207">E24*(1+P23)</f>
        <v>647.35186823999993</v>
      </c>
      <c r="F23" s="2030">
        <f t="shared" ref="F23" si="208">F24*(1+Q23)</f>
        <v>295.73229452000004</v>
      </c>
      <c r="G23" s="3531"/>
      <c r="H23" s="2040">
        <v>2</v>
      </c>
      <c r="I23" s="2040">
        <v>1.49</v>
      </c>
      <c r="J23" s="2040">
        <v>0.96</v>
      </c>
      <c r="K23" s="2040">
        <v>1.58</v>
      </c>
      <c r="L23" s="2041">
        <v>2.44</v>
      </c>
      <c r="M23" s="2016"/>
      <c r="N23" s="2032">
        <f t="shared" ref="N23" si="209">I23/100</f>
        <v>1.49E-2</v>
      </c>
      <c r="O23" s="2017">
        <f t="shared" ref="O23" si="210">J23/100</f>
        <v>9.5999999999999992E-3</v>
      </c>
      <c r="P23" s="2017">
        <f t="shared" ref="P23" si="211">K23/100</f>
        <v>1.5800000000000002E-2</v>
      </c>
      <c r="Q23" s="2017">
        <f t="shared" ref="Q23" si="212">L23/100</f>
        <v>2.4399999999999998E-2</v>
      </c>
      <c r="R23" s="2033"/>
      <c r="S23" s="2032"/>
      <c r="T23" s="2017"/>
      <c r="U23" s="2017"/>
      <c r="V23" s="2017"/>
      <c r="W23" s="2016"/>
      <c r="X23" s="2016">
        <f>ROUND(SUMPRODUCT(PRODUCT(1+N23:N$39)),4)</f>
        <v>1.4733000000000001</v>
      </c>
      <c r="Y23" s="2016">
        <f>ROUND(SUMPRODUCT(PRODUCT(1+O23:O$39)),4)</f>
        <v>1.3052999999999999</v>
      </c>
      <c r="Z23" s="2016">
        <f t="shared" ref="Z23" si="213">Y23</f>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ref="AF23" si="214">AE23</f>
        <v>1.6199999999999999E-2</v>
      </c>
      <c r="AG23" s="2017">
        <f>ROUND(AVERAGE(K23:K$40)/100,4)</f>
        <v>2.5899999999999999E-2</v>
      </c>
      <c r="AH23" s="2017">
        <f>ROUND(AVERAGE(L23:L$40)/100,4)</f>
        <v>1.49E-2</v>
      </c>
    </row>
    <row r="24" spans="1:34" s="2034" customFormat="1" ht="15" customHeight="1" thickBot="1">
      <c r="A24" s="2029" t="s">
        <v>2105</v>
      </c>
      <c r="B24" s="2030">
        <f t="shared" ref="B24" si="215">B25*(1+N24)</f>
        <v>446.46299999999997</v>
      </c>
      <c r="C24" s="2030">
        <f t="shared" ref="C24" si="216">C25*(1+O24)</f>
        <v>333.27840000000003</v>
      </c>
      <c r="D24" s="2030">
        <f t="shared" ref="D24" si="217">C24</f>
        <v>333.27840000000003</v>
      </c>
      <c r="E24" s="2030">
        <f t="shared" ref="E24" si="218">E25*(1+P24)</f>
        <v>637.28279999999995</v>
      </c>
      <c r="F24" s="2030">
        <f t="shared" ref="F24" si="219">F25*(1+Q24)</f>
        <v>288.68830000000003</v>
      </c>
      <c r="G24" s="3538"/>
      <c r="H24" s="2031">
        <v>1</v>
      </c>
      <c r="I24" s="2031">
        <v>1.7</v>
      </c>
      <c r="J24" s="2031">
        <v>1.92</v>
      </c>
      <c r="K24" s="2031">
        <v>1.64</v>
      </c>
      <c r="L24" s="2035">
        <v>2.0099999999999998</v>
      </c>
      <c r="M24" s="2016"/>
      <c r="N24" s="2032">
        <f t="shared" ref="N24:N29" si="220">I24/100</f>
        <v>1.7000000000000001E-2</v>
      </c>
      <c r="O24" s="2017">
        <f t="shared" ref="O24" si="221">J24/100</f>
        <v>1.9199999999999998E-2</v>
      </c>
      <c r="P24" s="2017">
        <f t="shared" ref="P24" si="222">K24/100</f>
        <v>1.6399999999999998E-2</v>
      </c>
      <c r="Q24" s="2017">
        <f t="shared" ref="Q24" si="223">L24/100</f>
        <v>2.0099999999999996E-2</v>
      </c>
      <c r="R24" s="2033"/>
      <c r="S24" s="2032">
        <f>B24/B25-1</f>
        <v>1.6999999999999904E-2</v>
      </c>
      <c r="T24" s="2017">
        <f t="shared" ref="T24" si="224">C24/C25-1</f>
        <v>1.9200000000000106E-2</v>
      </c>
      <c r="U24" s="2017">
        <f t="shared" ref="U24" si="225">D24/D25-1</f>
        <v>1.9200000000000106E-2</v>
      </c>
      <c r="V24" s="2017">
        <f t="shared" ref="V24" si="226">E24/E25-1</f>
        <v>1.639999999999997E-2</v>
      </c>
      <c r="W24" s="2016"/>
      <c r="X24" s="2016">
        <f>ROUND(SUMPRODUCT(PRODUCT(1+N24:N$39)),4)</f>
        <v>1.4517</v>
      </c>
      <c r="Y24" s="2016">
        <f>ROUND(SUMPRODUCT(PRODUCT(1+O24:O$39)),4)</f>
        <v>1.2928999999999999</v>
      </c>
      <c r="Z24" s="2016">
        <f t="shared" ref="Z24" si="227">Y24</f>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ref="AF24" si="228">AE24</f>
        <v>1.66E-2</v>
      </c>
      <c r="AG24" s="2017">
        <f>ROUND(AVERAGE(K24:K$40)/100,4)</f>
        <v>2.6499999999999999E-2</v>
      </c>
      <c r="AH24" s="2017">
        <f>ROUND(AVERAGE(L24:L$40)/100,4)</f>
        <v>1.43E-2</v>
      </c>
    </row>
    <row r="25" spans="1:34">
      <c r="A25" s="2029" t="s">
        <v>2103</v>
      </c>
      <c r="B25" s="2038">
        <v>439</v>
      </c>
      <c r="C25" s="2038">
        <v>327</v>
      </c>
      <c r="D25" s="2038">
        <f>C25</f>
        <v>327</v>
      </c>
      <c r="E25" s="2038">
        <v>627</v>
      </c>
      <c r="F25" s="2039">
        <v>283</v>
      </c>
      <c r="G25" s="3534">
        <v>2017</v>
      </c>
      <c r="H25" s="2036">
        <v>4</v>
      </c>
      <c r="I25" s="2036">
        <v>1.71</v>
      </c>
      <c r="J25" s="2036">
        <v>1.78</v>
      </c>
      <c r="K25" s="2036">
        <v>1.71</v>
      </c>
      <c r="L25" s="2037">
        <v>1.43</v>
      </c>
      <c r="N25" s="2032">
        <f t="shared" si="220"/>
        <v>1.7100000000000001E-2</v>
      </c>
      <c r="O25" s="2017">
        <f t="shared" ref="O25" si="229">J25/100</f>
        <v>1.78E-2</v>
      </c>
      <c r="P25" s="2017">
        <f t="shared" ref="P25" si="230">K25/100</f>
        <v>1.7100000000000001E-2</v>
      </c>
      <c r="Q25" s="2017">
        <f t="shared" ref="Q25" si="231">L25/100</f>
        <v>1.43E-2</v>
      </c>
      <c r="R25" s="2033"/>
      <c r="S25" s="2042"/>
      <c r="T25" s="2043"/>
      <c r="U25" s="2043"/>
      <c r="V25" s="2043"/>
      <c r="X25" s="2016">
        <f>ROUND(SUMPRODUCT(PRODUCT(1+N25:N$39)),4)</f>
        <v>1.4274</v>
      </c>
      <c r="Y25" s="2016">
        <f>ROUND(SUMPRODUCT(PRODUCT(1+O25:O$39)),4)</f>
        <v>1.2685</v>
      </c>
      <c r="Z25" s="2016">
        <f t="shared" si="0"/>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
        <v>1.6500000000000001E-2</v>
      </c>
      <c r="AG25" s="2017">
        <f>ROUND(AVERAGE(K25:K$40)/100,4)</f>
        <v>2.7099999999999999E-2</v>
      </c>
      <c r="AH25" s="2017">
        <f>ROUND(AVERAGE(L25:L$40)/100,4)</f>
        <v>1.3899999999999999E-2</v>
      </c>
    </row>
    <row r="26" spans="1:34" s="2034" customFormat="1" ht="14.45" customHeight="1">
      <c r="A26" s="2029" t="s">
        <v>2104</v>
      </c>
      <c r="B26" s="2030">
        <f t="shared" ref="B26:B27" si="232">B27*(1+N26)</f>
        <v>431.80730811680002</v>
      </c>
      <c r="C26" s="2030">
        <f t="shared" ref="C26:C27" si="233">C27*(1+O26)</f>
        <v>320.57880516480003</v>
      </c>
      <c r="D26" s="2030">
        <f t="shared" ref="D26:D27" si="234">C26</f>
        <v>320.57880516480003</v>
      </c>
      <c r="E26" s="2030">
        <f t="shared" ref="E26:E27" si="235">E27*(1+P26)</f>
        <v>615.96110553196797</v>
      </c>
      <c r="F26" s="2030">
        <f t="shared" ref="F26:F27" si="236">F27*(1+Q26)</f>
        <v>279.46777300108801</v>
      </c>
      <c r="G26" s="3531"/>
      <c r="H26" s="2031">
        <v>3</v>
      </c>
      <c r="I26" s="2031">
        <v>2.98</v>
      </c>
      <c r="J26" s="2031">
        <v>2.11</v>
      </c>
      <c r="K26" s="2031">
        <v>3.24</v>
      </c>
      <c r="L26" s="2035">
        <v>1.72</v>
      </c>
      <c r="M26" s="2016"/>
      <c r="N26" s="2032">
        <f t="shared" si="220"/>
        <v>2.98E-2</v>
      </c>
      <c r="O26" s="2017">
        <f t="shared" ref="O26" si="237">J26/100</f>
        <v>2.1099999999999997E-2</v>
      </c>
      <c r="P26" s="2017">
        <f t="shared" ref="P26" si="238">K26/100</f>
        <v>3.2400000000000005E-2</v>
      </c>
      <c r="Q26" s="2017">
        <f t="shared" ref="Q26" si="239">L26/100</f>
        <v>1.72E-2</v>
      </c>
      <c r="R26" s="2033"/>
      <c r="S26" s="2032"/>
      <c r="T26" s="2017"/>
      <c r="U26" s="2017"/>
      <c r="V26" s="2017"/>
      <c r="W26" s="2016"/>
      <c r="X26" s="2016">
        <f>ROUND(SUMPRODUCT(PRODUCT(1+N26:N$39)),4)</f>
        <v>1.4034</v>
      </c>
      <c r="Y26" s="2016">
        <f>ROUND(SUMPRODUCT(PRODUCT(1+O26:O$39)),4)</f>
        <v>1.2463</v>
      </c>
      <c r="Z26" s="2016">
        <f t="shared" si="0"/>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
        <v>1.6400000000000001E-2</v>
      </c>
      <c r="AG26" s="2017">
        <f>ROUND(AVERAGE(K26:K$40)/100,4)</f>
        <v>2.7799999999999998E-2</v>
      </c>
      <c r="AH26" s="2017">
        <f>ROUND(AVERAGE(L26:L$40)/100,4)</f>
        <v>1.3899999999999999E-2</v>
      </c>
    </row>
    <row r="27" spans="1:34" s="2023" customFormat="1" ht="14.45" customHeight="1">
      <c r="A27" s="2029" t="s">
        <v>674</v>
      </c>
      <c r="B27" s="2030">
        <f t="shared" si="232"/>
        <v>419.31181600000002</v>
      </c>
      <c r="C27" s="2030">
        <f t="shared" si="233"/>
        <v>313.95436800000004</v>
      </c>
      <c r="D27" s="2030">
        <f t="shared" si="234"/>
        <v>313.95436800000004</v>
      </c>
      <c r="E27" s="2030">
        <f t="shared" si="235"/>
        <v>596.63028431999999</v>
      </c>
      <c r="F27" s="2030">
        <f t="shared" si="236"/>
        <v>274.74220703999998</v>
      </c>
      <c r="G27" s="3531"/>
      <c r="H27" s="2040">
        <v>2</v>
      </c>
      <c r="I27" s="2040">
        <v>3.4</v>
      </c>
      <c r="J27" s="2040">
        <v>2</v>
      </c>
      <c r="K27" s="2040">
        <v>3.82</v>
      </c>
      <c r="L27" s="2041">
        <v>1.68</v>
      </c>
      <c r="M27" s="2016"/>
      <c r="N27" s="2032">
        <f t="shared" si="220"/>
        <v>3.4000000000000002E-2</v>
      </c>
      <c r="O27" s="2017">
        <f t="shared" ref="O27" si="240">J27/100</f>
        <v>0.02</v>
      </c>
      <c r="P27" s="2017">
        <f t="shared" ref="P27" si="241">K27/100</f>
        <v>3.8199999999999998E-2</v>
      </c>
      <c r="Q27" s="2017">
        <f t="shared" ref="Q27" si="242">L27/100</f>
        <v>1.6799999999999999E-2</v>
      </c>
      <c r="R27" s="2033"/>
      <c r="S27" s="2042"/>
      <c r="T27" s="2043"/>
      <c r="U27" s="2043"/>
      <c r="V27" s="2043"/>
      <c r="W27" s="1998"/>
      <c r="X27" s="2016">
        <f>ROUND(SUMPRODUCT(PRODUCT(1+N27:N$39)),4)</f>
        <v>1.3628</v>
      </c>
      <c r="Y27" s="2016">
        <f>ROUND(SUMPRODUCT(PRODUCT(1+O27:O$39)),4)</f>
        <v>1.2205999999999999</v>
      </c>
      <c r="Z27" s="2016">
        <f t="shared" si="0"/>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
        <v>1.6E-2</v>
      </c>
      <c r="AG27" s="2017">
        <f>ROUND(AVERAGE(K27:K$40)/100,4)</f>
        <v>2.75E-2</v>
      </c>
      <c r="AH27" s="2017">
        <f>ROUND(AVERAGE(L27:L$40)/100,4)</f>
        <v>1.37E-2</v>
      </c>
    </row>
    <row r="28" spans="1:34" s="2034" customFormat="1" ht="15" customHeight="1" thickBot="1">
      <c r="A28" s="2029" t="s">
        <v>463</v>
      </c>
      <c r="B28" s="2030">
        <f>B29*(1+N28)</f>
        <v>405.524</v>
      </c>
      <c r="C28" s="2030">
        <f>C29*(1+O28)</f>
        <v>307.79840000000002</v>
      </c>
      <c r="D28" s="2030">
        <f>C28</f>
        <v>307.79840000000002</v>
      </c>
      <c r="E28" s="2030">
        <f>E29*(1+P28)</f>
        <v>574.67759999999998</v>
      </c>
      <c r="F28" s="2030">
        <f>F29*(1+Q28)</f>
        <v>270.20280000000002</v>
      </c>
      <c r="G28" s="3538"/>
      <c r="H28" s="2031">
        <v>1</v>
      </c>
      <c r="I28" s="2031">
        <v>3.45</v>
      </c>
      <c r="J28" s="2031">
        <v>1.92</v>
      </c>
      <c r="K28" s="2031">
        <v>3.92</v>
      </c>
      <c r="L28" s="2035">
        <v>1.58</v>
      </c>
      <c r="M28" s="2016"/>
      <c r="N28" s="2032">
        <f t="shared" si="220"/>
        <v>3.4500000000000003E-2</v>
      </c>
      <c r="O28" s="2017">
        <f t="shared" ref="O28:Q43" si="243">J28/100</f>
        <v>1.9199999999999998E-2</v>
      </c>
      <c r="P28" s="2017">
        <f t="shared" si="243"/>
        <v>3.9199999999999999E-2</v>
      </c>
      <c r="Q28" s="2017">
        <f t="shared" si="243"/>
        <v>1.5800000000000002E-2</v>
      </c>
      <c r="R28" s="2033"/>
      <c r="S28" s="2032">
        <f>B28/B29-1</f>
        <v>3.4499999999999975E-2</v>
      </c>
      <c r="T28" s="2017">
        <f t="shared" ref="T28:V28" si="244">C28/C29-1</f>
        <v>1.9200000000000106E-2</v>
      </c>
      <c r="U28" s="2017">
        <f t="shared" si="244"/>
        <v>1.9200000000000106E-2</v>
      </c>
      <c r="V28" s="2017">
        <f t="shared" si="244"/>
        <v>3.9199999999999902E-2</v>
      </c>
      <c r="W28" s="2016"/>
      <c r="X28" s="2016">
        <f>ROUND(SUMPRODUCT(PRODUCT(1+N28:N$39)),4)</f>
        <v>1.3180000000000001</v>
      </c>
      <c r="Y28" s="2016">
        <f>ROUND(SUMPRODUCT(PRODUCT(1+O28:O$39)),4)</f>
        <v>1.1966000000000001</v>
      </c>
      <c r="Z28" s="2016">
        <f t="shared" si="0"/>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
        <v>1.5699999999999999E-2</v>
      </c>
      <c r="AG28" s="2017">
        <f>ROUND(AVERAGE(K28:K$40)/100,4)</f>
        <v>2.6599999999999999E-2</v>
      </c>
      <c r="AH28" s="2017">
        <f>ROUND(AVERAGE(L28:L$40)/100,4)</f>
        <v>1.34E-2</v>
      </c>
    </row>
    <row r="29" spans="1:34">
      <c r="A29" s="2029" t="s">
        <v>127</v>
      </c>
      <c r="B29" s="2038">
        <v>392</v>
      </c>
      <c r="C29" s="2038">
        <v>302</v>
      </c>
      <c r="D29" s="2038">
        <f>C29</f>
        <v>302</v>
      </c>
      <c r="E29" s="2038">
        <v>553</v>
      </c>
      <c r="F29" s="2039">
        <v>266</v>
      </c>
      <c r="G29" s="3534">
        <v>2016</v>
      </c>
      <c r="H29" s="2036">
        <v>4</v>
      </c>
      <c r="I29" s="2036">
        <v>4.5599999999999996</v>
      </c>
      <c r="J29" s="2036">
        <v>2.15</v>
      </c>
      <c r="K29" s="2036">
        <v>5.32</v>
      </c>
      <c r="L29" s="2037">
        <v>1.57</v>
      </c>
      <c r="N29" s="2032">
        <f t="shared" si="220"/>
        <v>4.5599999999999995E-2</v>
      </c>
      <c r="O29" s="2017">
        <f t="shared" si="243"/>
        <v>2.1499999999999998E-2</v>
      </c>
      <c r="P29" s="2017">
        <f t="shared" si="243"/>
        <v>5.3200000000000004E-2</v>
      </c>
      <c r="Q29" s="2017">
        <f t="shared" si="243"/>
        <v>1.5700000000000002E-2</v>
      </c>
      <c r="R29" s="2033"/>
      <c r="S29" s="2042"/>
      <c r="T29" s="2043"/>
      <c r="U29" s="2043"/>
      <c r="V29" s="2043"/>
      <c r="X29" s="2016">
        <f>ROUND(SUMPRODUCT(PRODUCT(1+N29:N$39)),4)</f>
        <v>1.274</v>
      </c>
      <c r="Y29" s="2016">
        <f>ROUND(SUMPRODUCT(PRODUCT(1+O29:O$39)),4)</f>
        <v>1.1740999999999999</v>
      </c>
      <c r="Z29" s="2016">
        <f t="shared" si="0"/>
        <v>1.1740999999999999</v>
      </c>
      <c r="AA29" s="2016">
        <f>ROUND(SUMPRODUCT(PRODUCT(1+P29:P$39)),4)</f>
        <v>1.3087</v>
      </c>
      <c r="AB29" s="2016">
        <f>ROUND(SUMPRODUCT(PRODUCT(1+Q29:Q$39)),4)</f>
        <v>1.1551</v>
      </c>
      <c r="AD29" s="2017">
        <f>ROUND(AVERAGE(I29:I$40)/100,4)</f>
        <v>2.3E-2</v>
      </c>
      <c r="AE29" s="2017">
        <f>ROUND(AVERAGE(J29:J$40)/100,4)</f>
        <v>1.55E-2</v>
      </c>
      <c r="AF29" s="2017">
        <f t="shared" si="1"/>
        <v>1.55E-2</v>
      </c>
      <c r="AG29" s="2017">
        <f>ROUND(AVERAGE(K29:K$40)/100,4)</f>
        <v>2.5600000000000001E-2</v>
      </c>
      <c r="AH29" s="2017">
        <f>ROUND(AVERAGE(L29:L$40)/100,4)</f>
        <v>1.32E-2</v>
      </c>
    </row>
    <row r="30" spans="1:34">
      <c r="A30" s="2029" t="s">
        <v>126</v>
      </c>
      <c r="B30" s="2030">
        <f t="shared" ref="B30:C32" si="245">B29/(1+N29)</f>
        <v>374.90436113236416</v>
      </c>
      <c r="C30" s="2030">
        <f t="shared" si="245"/>
        <v>295.64366128242779</v>
      </c>
      <c r="D30" s="2030">
        <f t="shared" ref="D30:D89" si="246">C30</f>
        <v>295.64366128242779</v>
      </c>
      <c r="E30" s="2030">
        <f t="shared" ref="E30:F32" si="247">E29/(1+P29)</f>
        <v>525.06646410938095</v>
      </c>
      <c r="F30" s="2030">
        <f t="shared" si="247"/>
        <v>261.88835286009646</v>
      </c>
      <c r="G30" s="3531"/>
      <c r="H30" s="2031">
        <v>3</v>
      </c>
      <c r="I30" s="2031">
        <v>4.12</v>
      </c>
      <c r="J30" s="2031">
        <v>2</v>
      </c>
      <c r="K30" s="2031">
        <v>4.79</v>
      </c>
      <c r="L30" s="2035">
        <v>1.97</v>
      </c>
      <c r="N30" s="2032">
        <f t="shared" ref="N30:Q64" si="248">I30/100</f>
        <v>4.1200000000000001E-2</v>
      </c>
      <c r="O30" s="2017">
        <f t="shared" si="243"/>
        <v>0.02</v>
      </c>
      <c r="P30" s="2017">
        <f t="shared" si="243"/>
        <v>4.7899999999999998E-2</v>
      </c>
      <c r="Q30" s="2017">
        <f t="shared" si="243"/>
        <v>1.9699999999999999E-2</v>
      </c>
      <c r="R30" s="2033"/>
      <c r="S30" s="2032"/>
      <c r="T30" s="2017"/>
      <c r="U30" s="2017"/>
      <c r="V30" s="2017"/>
      <c r="X30" s="2016">
        <f>ROUND(SUMPRODUCT(PRODUCT(1+N30:N$39)),4)</f>
        <v>1.2184999999999999</v>
      </c>
      <c r="Y30" s="2016">
        <f>ROUND(SUMPRODUCT(PRODUCT(1+O30:O$39)),4)</f>
        <v>1.1494</v>
      </c>
      <c r="Z30" s="2016">
        <f t="shared" si="0"/>
        <v>1.1494</v>
      </c>
      <c r="AA30" s="2016">
        <f>ROUND(SUMPRODUCT(PRODUCT(1+P30:P$39)),4)</f>
        <v>1.2425999999999999</v>
      </c>
      <c r="AB30" s="2016">
        <f>ROUND(SUMPRODUCT(PRODUCT(1+Q30:Q$39)),4)</f>
        <v>1.1372</v>
      </c>
      <c r="AD30" s="2017">
        <f>ROUND(AVERAGE(I30:I$40)/100,4)</f>
        <v>2.0899999999999998E-2</v>
      </c>
      <c r="AE30" s="2017">
        <f>ROUND(AVERAGE(J30:J$40)/100,4)</f>
        <v>1.49E-2</v>
      </c>
      <c r="AF30" s="2017">
        <f t="shared" si="1"/>
        <v>1.49E-2</v>
      </c>
      <c r="AG30" s="2017">
        <f>ROUND(AVERAGE(K30:K$40)/100,4)</f>
        <v>2.3099999999999999E-2</v>
      </c>
      <c r="AH30" s="2017">
        <f>ROUND(AVERAGE(L30:L$40)/100,4)</f>
        <v>1.2999999999999999E-2</v>
      </c>
    </row>
    <row r="31" spans="1:34">
      <c r="A31" s="2029" t="s">
        <v>116</v>
      </c>
      <c r="B31" s="2030">
        <f t="shared" si="245"/>
        <v>360.06949782209392</v>
      </c>
      <c r="C31" s="2030">
        <f t="shared" si="245"/>
        <v>289.84672674747821</v>
      </c>
      <c r="D31" s="2030">
        <f t="shared" si="246"/>
        <v>289.84672674747821</v>
      </c>
      <c r="E31" s="2030">
        <f t="shared" si="247"/>
        <v>501.06543001181495</v>
      </c>
      <c r="F31" s="2030">
        <f t="shared" si="247"/>
        <v>256.82882500744967</v>
      </c>
      <c r="G31" s="3531"/>
      <c r="H31" s="2040">
        <v>2</v>
      </c>
      <c r="I31" s="2040">
        <v>3.85</v>
      </c>
      <c r="J31" s="2040">
        <v>1.95</v>
      </c>
      <c r="K31" s="2040">
        <v>4.4800000000000004</v>
      </c>
      <c r="L31" s="2041">
        <v>1.41</v>
      </c>
      <c r="N31" s="2032">
        <f t="shared" si="248"/>
        <v>3.85E-2</v>
      </c>
      <c r="O31" s="2017">
        <f t="shared" si="243"/>
        <v>1.95E-2</v>
      </c>
      <c r="P31" s="2017">
        <f t="shared" si="243"/>
        <v>4.4800000000000006E-2</v>
      </c>
      <c r="Q31" s="2017">
        <f t="shared" si="243"/>
        <v>1.41E-2</v>
      </c>
      <c r="R31" s="2033"/>
      <c r="S31" s="2032"/>
      <c r="T31" s="2017"/>
      <c r="U31" s="2017"/>
      <c r="V31" s="2017"/>
      <c r="X31" s="2016">
        <f>ROUND(SUMPRODUCT(PRODUCT(1+N31:N$39)),4)</f>
        <v>1.1702999999999999</v>
      </c>
      <c r="Y31" s="2016">
        <f>ROUND(SUMPRODUCT(PRODUCT(1+O31:O$39)),4)</f>
        <v>1.1269</v>
      </c>
      <c r="Z31" s="2016">
        <f t="shared" si="0"/>
        <v>1.1269</v>
      </c>
      <c r="AA31" s="2016">
        <f>ROUND(SUMPRODUCT(PRODUCT(1+P31:P$39)),4)</f>
        <v>1.1858</v>
      </c>
      <c r="AB31" s="2016">
        <f>ROUND(SUMPRODUCT(PRODUCT(1+Q31:Q$39)),4)</f>
        <v>1.1152</v>
      </c>
      <c r="AD31" s="2017">
        <f>ROUND(AVERAGE(I31:I$40)/100,4)</f>
        <v>1.89E-2</v>
      </c>
      <c r="AE31" s="2017">
        <f>ROUND(AVERAGE(J31:J$40)/100,4)</f>
        <v>1.44E-2</v>
      </c>
      <c r="AF31" s="2017">
        <f t="shared" si="1"/>
        <v>1.44E-2</v>
      </c>
      <c r="AG31" s="2017">
        <f>ROUND(AVERAGE(K31:K$40)/100,4)</f>
        <v>2.06E-2</v>
      </c>
      <c r="AH31" s="2017">
        <f>ROUND(AVERAGE(L31:L$40)/100,4)</f>
        <v>1.23E-2</v>
      </c>
    </row>
    <row r="32" spans="1:34" ht="13.5" thickBot="1">
      <c r="A32" s="2029" t="s">
        <v>125</v>
      </c>
      <c r="B32" s="2030">
        <f t="shared" si="245"/>
        <v>346.720748986128</v>
      </c>
      <c r="C32" s="2030">
        <f t="shared" si="245"/>
        <v>284.30282172386285</v>
      </c>
      <c r="D32" s="2030">
        <f t="shared" si="246"/>
        <v>284.30282172386285</v>
      </c>
      <c r="E32" s="2030">
        <f t="shared" si="247"/>
        <v>479.58023546306947</v>
      </c>
      <c r="F32" s="2030">
        <f t="shared" si="247"/>
        <v>253.25788877571213</v>
      </c>
      <c r="G32" s="3532"/>
      <c r="H32" s="2031">
        <v>1</v>
      </c>
      <c r="I32" s="2031">
        <v>4.09</v>
      </c>
      <c r="J32" s="2031">
        <v>2.93</v>
      </c>
      <c r="K32" s="2031">
        <v>4.54</v>
      </c>
      <c r="L32" s="2035">
        <v>1.48</v>
      </c>
      <c r="N32" s="2032">
        <f t="shared" si="248"/>
        <v>4.0899999999999999E-2</v>
      </c>
      <c r="O32" s="2017">
        <f t="shared" si="243"/>
        <v>2.9300000000000003E-2</v>
      </c>
      <c r="P32" s="2017">
        <f t="shared" si="243"/>
        <v>4.5400000000000003E-2</v>
      </c>
      <c r="Q32" s="2017">
        <f t="shared" si="243"/>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0"/>
        <v>1.1052999999999999</v>
      </c>
      <c r="AA32" s="2016">
        <f>ROUND(SUMPRODUCT(PRODUCT(1+P32:P$39)),4)</f>
        <v>1.1349</v>
      </c>
      <c r="AB32" s="2016">
        <f>ROUND(SUMPRODUCT(PRODUCT(1+Q32:Q$39)),4)</f>
        <v>1.0996999999999999</v>
      </c>
      <c r="AD32" s="2017">
        <f>ROUND(AVERAGE(I32:I$40)/100,4)</f>
        <v>1.67E-2</v>
      </c>
      <c r="AE32" s="2017">
        <f>ROUND(AVERAGE(J32:J$40)/100,4)</f>
        <v>1.38E-2</v>
      </c>
      <c r="AF32" s="2017">
        <f t="shared" si="1"/>
        <v>1.38E-2</v>
      </c>
      <c r="AG32" s="2017">
        <f>ROUND(AVERAGE(K32:K$40)/100,4)</f>
        <v>1.7899999999999999E-2</v>
      </c>
      <c r="AH32" s="2017">
        <f>ROUND(AVERAGE(L32:L$40)/100,4)</f>
        <v>1.21E-2</v>
      </c>
    </row>
    <row r="33" spans="1:34" ht="13.5" thickBot="1">
      <c r="A33" s="2029" t="s">
        <v>124</v>
      </c>
      <c r="B33" s="2038">
        <v>333</v>
      </c>
      <c r="C33" s="2038">
        <v>277</v>
      </c>
      <c r="D33" s="2038">
        <f t="shared" si="246"/>
        <v>277</v>
      </c>
      <c r="E33" s="2038">
        <v>459</v>
      </c>
      <c r="F33" s="2039">
        <v>249</v>
      </c>
      <c r="G33" s="3530">
        <v>2015</v>
      </c>
      <c r="H33" s="2046">
        <v>4</v>
      </c>
      <c r="I33" s="2046">
        <v>1.63</v>
      </c>
      <c r="J33" s="2046">
        <v>1.1100000000000001</v>
      </c>
      <c r="K33" s="2046">
        <v>1.77</v>
      </c>
      <c r="L33" s="2047">
        <v>1.89</v>
      </c>
      <c r="N33" s="2048">
        <f t="shared" si="248"/>
        <v>1.6299999999999999E-2</v>
      </c>
      <c r="O33" s="2049">
        <f t="shared" si="243"/>
        <v>1.11E-2</v>
      </c>
      <c r="P33" s="2049">
        <f t="shared" si="243"/>
        <v>1.77E-2</v>
      </c>
      <c r="Q33" s="2049">
        <f t="shared" si="243"/>
        <v>1.89E-2</v>
      </c>
      <c r="R33" s="2033"/>
      <c r="X33" s="2016">
        <f>ROUND(SUMPRODUCT(PRODUCT(1+N33:N$39)),4)</f>
        <v>1.0826</v>
      </c>
      <c r="Y33" s="2016">
        <f>ROUND(SUMPRODUCT(PRODUCT(1+O33:O$39)),4)</f>
        <v>1.0738000000000001</v>
      </c>
      <c r="Z33" s="2016">
        <f t="shared" si="0"/>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
        <v>1.1900000000000001E-2</v>
      </c>
      <c r="AG33" s="2017">
        <f>ROUND(AVERAGE(K33:K$40)/100,4)</f>
        <v>1.4500000000000001E-2</v>
      </c>
      <c r="AH33" s="2017">
        <f>ROUND(AVERAGE(L33:L$40)/100,4)</f>
        <v>1.18E-2</v>
      </c>
    </row>
    <row r="34" spans="1:34">
      <c r="A34" s="2029" t="s">
        <v>123</v>
      </c>
      <c r="B34" s="2030">
        <f t="shared" ref="B34:C36" si="249">B33/(1+N33)</f>
        <v>327.65915576109415</v>
      </c>
      <c r="C34" s="2030">
        <f t="shared" si="249"/>
        <v>273.95905449510434</v>
      </c>
      <c r="D34" s="2030">
        <f t="shared" si="246"/>
        <v>273.95905449510434</v>
      </c>
      <c r="E34" s="2030">
        <f t="shared" ref="E34:F36" si="250">E33/(1+P33)</f>
        <v>451.01699911565294</v>
      </c>
      <c r="F34" s="2030">
        <f t="shared" si="250"/>
        <v>244.38119540681129</v>
      </c>
      <c r="G34" s="3531"/>
      <c r="H34" s="2051">
        <v>3</v>
      </c>
      <c r="I34" s="2051">
        <v>1.65</v>
      </c>
      <c r="J34" s="2051">
        <v>0.92</v>
      </c>
      <c r="K34" s="2051">
        <v>1.88</v>
      </c>
      <c r="L34" s="2052">
        <v>1.26</v>
      </c>
      <c r="N34" s="2032">
        <f t="shared" si="248"/>
        <v>1.6500000000000001E-2</v>
      </c>
      <c r="O34" s="2017">
        <f t="shared" si="243"/>
        <v>9.1999999999999998E-3</v>
      </c>
      <c r="P34" s="2017">
        <f t="shared" si="243"/>
        <v>1.8799999999999997E-2</v>
      </c>
      <c r="Q34" s="2017">
        <f t="shared" si="243"/>
        <v>1.26E-2</v>
      </c>
      <c r="R34" s="2033"/>
      <c r="S34" s="2032"/>
      <c r="T34" s="2017"/>
      <c r="U34" s="2017"/>
      <c r="V34" s="2017"/>
      <c r="X34" s="2016">
        <f>ROUND(SUMPRODUCT(PRODUCT(1+N34:N$39)),4)</f>
        <v>1.0651999999999999</v>
      </c>
      <c r="Y34" s="2016">
        <f>ROUND(SUMPRODUCT(PRODUCT(1+O34:O$39)),4)</f>
        <v>1.0621</v>
      </c>
      <c r="Z34" s="2016">
        <f t="shared" si="0"/>
        <v>1.0621</v>
      </c>
      <c r="AA34" s="2016">
        <f>ROUND(SUMPRODUCT(PRODUCT(1+P34:P$39)),4)</f>
        <v>1.0668</v>
      </c>
      <c r="AB34" s="2016">
        <f>ROUND(SUMPRODUCT(PRODUCT(1+Q34:Q$39)),4)</f>
        <v>1.0636000000000001</v>
      </c>
      <c r="AD34" s="2017">
        <f>ROUND(AVERAGE(I34:I$40)/100,4)</f>
        <v>1.3299999999999999E-2</v>
      </c>
      <c r="AE34" s="2017">
        <f>ROUND(AVERAGE(J34:J$40)/100,4)</f>
        <v>1.2E-2</v>
      </c>
      <c r="AF34" s="2017">
        <f t="shared" si="1"/>
        <v>1.2E-2</v>
      </c>
      <c r="AG34" s="2017">
        <f>ROUND(AVERAGE(K34:K$40)/100,4)</f>
        <v>1.4E-2</v>
      </c>
      <c r="AH34" s="2017">
        <f>ROUND(AVERAGE(L34:L$40)/100,4)</f>
        <v>1.0800000000000001E-2</v>
      </c>
    </row>
    <row r="35" spans="1:34">
      <c r="A35" s="2029" t="s">
        <v>122</v>
      </c>
      <c r="B35" s="2030">
        <f t="shared" si="249"/>
        <v>322.34053690220776</v>
      </c>
      <c r="C35" s="2030">
        <f t="shared" si="249"/>
        <v>271.46160770422546</v>
      </c>
      <c r="D35" s="2030">
        <f t="shared" si="246"/>
        <v>271.46160770422546</v>
      </c>
      <c r="E35" s="2030">
        <f t="shared" si="250"/>
        <v>442.69434542172456</v>
      </c>
      <c r="F35" s="2030">
        <f t="shared" si="250"/>
        <v>241.34030753190925</v>
      </c>
      <c r="G35" s="3531"/>
      <c r="H35" s="2040">
        <v>2</v>
      </c>
      <c r="I35" s="2040">
        <v>0.77</v>
      </c>
      <c r="J35" s="2040">
        <v>0.69</v>
      </c>
      <c r="K35" s="2040">
        <v>0.8</v>
      </c>
      <c r="L35" s="2041">
        <v>0.88</v>
      </c>
      <c r="N35" s="2032">
        <f t="shared" si="248"/>
        <v>7.7000000000000002E-3</v>
      </c>
      <c r="O35" s="2017">
        <f t="shared" si="243"/>
        <v>6.8999999999999999E-3</v>
      </c>
      <c r="P35" s="2017">
        <f t="shared" si="243"/>
        <v>8.0000000000000002E-3</v>
      </c>
      <c r="Q35" s="2017">
        <f t="shared" si="243"/>
        <v>8.8000000000000005E-3</v>
      </c>
      <c r="R35" s="2033"/>
      <c r="S35" s="2032"/>
      <c r="T35" s="2017"/>
      <c r="U35" s="2017"/>
      <c r="V35" s="2017"/>
      <c r="X35" s="2016">
        <f>ROUND(SUMPRODUCT(PRODUCT(1+N35:N$39)),4)</f>
        <v>1.048</v>
      </c>
      <c r="Y35" s="2016">
        <f>ROUND(SUMPRODUCT(PRODUCT(1+O35:O$39)),4)</f>
        <v>1.0524</v>
      </c>
      <c r="Z35" s="2016">
        <f t="shared" si="0"/>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
        <v>1.2500000000000001E-2</v>
      </c>
      <c r="AG35" s="2017">
        <f>ROUND(AVERAGE(K35:K$40)/100,4)</f>
        <v>1.32E-2</v>
      </c>
      <c r="AH35" s="2017">
        <f>ROUND(AVERAGE(L35:L$40)/100,4)</f>
        <v>1.0500000000000001E-2</v>
      </c>
    </row>
    <row r="36" spans="1:34">
      <c r="A36" s="2029" t="s">
        <v>121</v>
      </c>
      <c r="B36" s="2030">
        <f t="shared" si="249"/>
        <v>319.87748030386797</v>
      </c>
      <c r="C36" s="2030">
        <f t="shared" si="249"/>
        <v>269.60135833173649</v>
      </c>
      <c r="D36" s="2030">
        <f t="shared" si="246"/>
        <v>269.60135833173649</v>
      </c>
      <c r="E36" s="2030">
        <f t="shared" si="250"/>
        <v>439.18089823583784</v>
      </c>
      <c r="F36" s="2030">
        <f t="shared" si="250"/>
        <v>239.23503918706311</v>
      </c>
      <c r="G36" s="3532"/>
      <c r="H36" s="2031">
        <v>1</v>
      </c>
      <c r="I36" s="2031">
        <v>0.51</v>
      </c>
      <c r="J36" s="2031">
        <v>0.54</v>
      </c>
      <c r="K36" s="2031">
        <v>0.48</v>
      </c>
      <c r="L36" s="2035">
        <v>0.93</v>
      </c>
      <c r="N36" s="2044">
        <f t="shared" si="248"/>
        <v>5.1000000000000004E-3</v>
      </c>
      <c r="O36" s="2045">
        <f t="shared" si="243"/>
        <v>5.4000000000000003E-3</v>
      </c>
      <c r="P36" s="2045">
        <f t="shared" si="243"/>
        <v>4.7999999999999996E-3</v>
      </c>
      <c r="Q36" s="2045">
        <f t="shared" si="243"/>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0"/>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46"/>
        <v>268</v>
      </c>
      <c r="E37" s="2053">
        <v>437</v>
      </c>
      <c r="F37" s="2054">
        <v>237</v>
      </c>
      <c r="G37" s="3530">
        <v>2014</v>
      </c>
      <c r="H37" s="2046">
        <v>4</v>
      </c>
      <c r="I37" s="2046">
        <v>0.21</v>
      </c>
      <c r="J37" s="2046">
        <v>0.41</v>
      </c>
      <c r="K37" s="2046">
        <v>0.12</v>
      </c>
      <c r="L37" s="2047">
        <v>0.89</v>
      </c>
      <c r="N37" s="2032">
        <f t="shared" si="248"/>
        <v>2.0999999999999999E-3</v>
      </c>
      <c r="O37" s="2017">
        <f t="shared" si="243"/>
        <v>4.0999999999999995E-3</v>
      </c>
      <c r="P37" s="2017">
        <f t="shared" si="243"/>
        <v>1.1999999999999999E-3</v>
      </c>
      <c r="Q37" s="2017">
        <f t="shared" si="243"/>
        <v>8.8999999999999999E-3</v>
      </c>
      <c r="R37" s="2033"/>
      <c r="S37" s="2042"/>
      <c r="T37" s="2043"/>
      <c r="U37" s="2043"/>
      <c r="V37" s="2043"/>
      <c r="X37" s="2016">
        <f>ROUND(SUMPRODUCT(PRODUCT(1+N37:N$39)),4)</f>
        <v>1.0347</v>
      </c>
      <c r="Y37" s="2016">
        <f>ROUND(SUMPRODUCT(PRODUCT(1+O37:O$39)),4)</f>
        <v>1.0395000000000001</v>
      </c>
      <c r="Z37" s="2016">
        <f t="shared" si="0"/>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
        <v>1.5599999999999999E-2</v>
      </c>
      <c r="AG37" s="2017">
        <f>ROUND(AVERAGE(K37:K$40)/100,4)</f>
        <v>1.66E-2</v>
      </c>
      <c r="AH37" s="2017">
        <f>ROUND(AVERAGE(L37:L$40)/100,4)</f>
        <v>1.12E-2</v>
      </c>
    </row>
    <row r="38" spans="1:34">
      <c r="A38" s="2029" t="s">
        <v>119</v>
      </c>
      <c r="B38" s="2030">
        <f t="shared" ref="B38:C40" si="251">B37/(1+N37)</f>
        <v>317.33359944117353</v>
      </c>
      <c r="C38" s="2030">
        <f t="shared" si="251"/>
        <v>266.90568668459315</v>
      </c>
      <c r="D38" s="2030">
        <f t="shared" si="246"/>
        <v>266.90568668459315</v>
      </c>
      <c r="E38" s="2030">
        <f t="shared" ref="E38:F40" si="252">E37/(1+P37)</f>
        <v>436.47622852576905</v>
      </c>
      <c r="F38" s="2030">
        <f t="shared" si="252"/>
        <v>234.90930716622066</v>
      </c>
      <c r="G38" s="3531"/>
      <c r="H38" s="2055">
        <v>3</v>
      </c>
      <c r="I38" s="2055">
        <v>0.83</v>
      </c>
      <c r="J38" s="2055">
        <v>1.47</v>
      </c>
      <c r="K38" s="2055">
        <v>0.65</v>
      </c>
      <c r="L38" s="2056">
        <v>0.72</v>
      </c>
      <c r="N38" s="2032">
        <f t="shared" si="248"/>
        <v>8.3000000000000001E-3</v>
      </c>
      <c r="O38" s="2017">
        <f t="shared" si="243"/>
        <v>1.47E-2</v>
      </c>
      <c r="P38" s="2017">
        <f t="shared" si="243"/>
        <v>6.5000000000000006E-3</v>
      </c>
      <c r="Q38" s="2017">
        <f t="shared" si="243"/>
        <v>7.1999999999999998E-3</v>
      </c>
      <c r="R38" s="2033"/>
      <c r="S38" s="2032"/>
      <c r="T38" s="2017"/>
      <c r="U38" s="2017"/>
      <c r="V38" s="2017"/>
      <c r="X38" s="2016">
        <f>ROUND(SUMPRODUCT(PRODUCT(1+N38:N$39)),4)</f>
        <v>1.0325</v>
      </c>
      <c r="Y38" s="2016">
        <f>ROUND(SUMPRODUCT(PRODUCT(1+O38:O$39)),4)</f>
        <v>1.0353000000000001</v>
      </c>
      <c r="Z38" s="2016">
        <f t="shared" ref="Z38:Z39" si="253">Y38</f>
        <v>1.0353000000000001</v>
      </c>
      <c r="AA38" s="2016">
        <f>ROUND(SUMPRODUCT(PRODUCT(1+P38:P$39)),4)</f>
        <v>1.0326</v>
      </c>
      <c r="AB38" s="2016">
        <f>ROUND(SUMPRODUCT(PRODUCT(1+Q38:Q$39)),4)</f>
        <v>1.0225</v>
      </c>
      <c r="AD38" s="2017">
        <f>ROUND(AVERAGE(I38:I$40)/100,4)</f>
        <v>2.07E-2</v>
      </c>
      <c r="AE38" s="2017">
        <f>ROUND(AVERAGE(J38:J$40)/100,4)</f>
        <v>1.95E-2</v>
      </c>
      <c r="AF38" s="2017">
        <f t="shared" si="1"/>
        <v>1.95E-2</v>
      </c>
      <c r="AG38" s="2017">
        <f>ROUND(AVERAGE(K38:K$40)/100,4)</f>
        <v>2.1700000000000001E-2</v>
      </c>
      <c r="AH38" s="2017">
        <f>ROUND(AVERAGE(L38:L$40)/100,4)</f>
        <v>1.2E-2</v>
      </c>
    </row>
    <row r="39" spans="1:34" ht="13.5" thickBot="1">
      <c r="A39" s="2029" t="s">
        <v>118</v>
      </c>
      <c r="B39" s="2030">
        <f t="shared" si="251"/>
        <v>314.72141172386546</v>
      </c>
      <c r="C39" s="2030">
        <f t="shared" si="251"/>
        <v>263.03901319069001</v>
      </c>
      <c r="D39" s="2030">
        <f t="shared" si="246"/>
        <v>263.03901319069001</v>
      </c>
      <c r="E39" s="2030">
        <f t="shared" si="252"/>
        <v>433.65745506782821</v>
      </c>
      <c r="F39" s="2030">
        <f t="shared" si="252"/>
        <v>233.23005080045735</v>
      </c>
      <c r="G39" s="3531"/>
      <c r="H39" s="2046">
        <v>2</v>
      </c>
      <c r="I39" s="2046">
        <v>2.4</v>
      </c>
      <c r="J39" s="2046">
        <v>2.0299999999999998</v>
      </c>
      <c r="K39" s="2046">
        <v>2.59</v>
      </c>
      <c r="L39" s="2047">
        <v>1.52</v>
      </c>
      <c r="N39" s="2032">
        <f t="shared" si="248"/>
        <v>2.4E-2</v>
      </c>
      <c r="O39" s="2017">
        <f t="shared" si="243"/>
        <v>2.0299999999999999E-2</v>
      </c>
      <c r="P39" s="2017">
        <f t="shared" si="243"/>
        <v>2.5899999999999999E-2</v>
      </c>
      <c r="Q39" s="2017">
        <f t="shared" si="243"/>
        <v>1.52E-2</v>
      </c>
      <c r="R39" s="2033"/>
      <c r="S39" s="2032"/>
      <c r="T39" s="2017"/>
      <c r="U39" s="2017"/>
      <c r="V39" s="2017"/>
      <c r="X39" s="2016">
        <f>1+N39</f>
        <v>1.024</v>
      </c>
      <c r="Y39" s="2016">
        <f>1+O39</f>
        <v>1.0203</v>
      </c>
      <c r="Z39" s="2016">
        <f t="shared" si="253"/>
        <v>1.0203</v>
      </c>
      <c r="AA39" s="2016">
        <f>1+P39</f>
        <v>1.0259</v>
      </c>
      <c r="AB39" s="2016">
        <f>1+Q39</f>
        <v>1.0152000000000001</v>
      </c>
      <c r="AD39" s="2017">
        <f>ROUND(AVERAGE(I39:I$40)/100,4)</f>
        <v>2.69E-2</v>
      </c>
      <c r="AE39" s="2017">
        <f>ROUND(AVERAGE(J39:J$40)/100,4)</f>
        <v>2.1899999999999999E-2</v>
      </c>
      <c r="AF39" s="2017">
        <f t="shared" ref="AF39" si="254">AE39</f>
        <v>2.1899999999999999E-2</v>
      </c>
      <c r="AG39" s="2017">
        <f>ROUND(AVERAGE(K39:K$40)/100,4)</f>
        <v>2.9399999999999999E-2</v>
      </c>
      <c r="AH39" s="2017">
        <f>ROUND(AVERAGE(L39:L$40)/100,4)</f>
        <v>1.44E-2</v>
      </c>
    </row>
    <row r="40" spans="1:34" s="2061" customFormat="1" ht="13.5" thickBot="1">
      <c r="A40" s="2057" t="s">
        <v>117</v>
      </c>
      <c r="B40" s="2058">
        <f t="shared" si="251"/>
        <v>307.34512863658733</v>
      </c>
      <c r="C40" s="2058">
        <f t="shared" si="251"/>
        <v>257.80556031626975</v>
      </c>
      <c r="D40" s="2058">
        <f t="shared" si="246"/>
        <v>257.80556031626975</v>
      </c>
      <c r="E40" s="2058">
        <f t="shared" si="252"/>
        <v>422.70928459677179</v>
      </c>
      <c r="F40" s="2058">
        <f t="shared" si="252"/>
        <v>229.73803270336617</v>
      </c>
      <c r="G40" s="3532"/>
      <c r="H40" s="2059">
        <v>1</v>
      </c>
      <c r="I40" s="2059">
        <v>2.97</v>
      </c>
      <c r="J40" s="2059">
        <v>2.34</v>
      </c>
      <c r="K40" s="2059">
        <v>3.28</v>
      </c>
      <c r="L40" s="2060">
        <v>1.36</v>
      </c>
      <c r="N40" s="2062">
        <f t="shared" si="248"/>
        <v>2.9700000000000001E-2</v>
      </c>
      <c r="O40" s="2063">
        <f t="shared" si="243"/>
        <v>2.3399999999999997E-2</v>
      </c>
      <c r="P40" s="2063">
        <f t="shared" si="243"/>
        <v>3.2799999999999996E-2</v>
      </c>
      <c r="Q40" s="2063">
        <f t="shared" si="243"/>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AE40</f>
        <v>2.3399999999999997E-2</v>
      </c>
      <c r="AG40" s="2063">
        <f>K40/100</f>
        <v>3.2799999999999996E-2</v>
      </c>
      <c r="AH40" s="2063">
        <f>L40/100</f>
        <v>1.3600000000000001E-2</v>
      </c>
    </row>
    <row r="41" spans="1:34" ht="13.5" thickBot="1">
      <c r="A41" s="2029" t="s">
        <v>465</v>
      </c>
      <c r="B41" s="2038">
        <v>299</v>
      </c>
      <c r="C41" s="2038">
        <v>252</v>
      </c>
      <c r="D41" s="2038">
        <f t="shared" si="246"/>
        <v>252</v>
      </c>
      <c r="E41" s="2038">
        <v>409</v>
      </c>
      <c r="F41" s="2039">
        <v>227</v>
      </c>
      <c r="G41" s="3535">
        <v>2013</v>
      </c>
      <c r="H41" s="2068">
        <v>4</v>
      </c>
      <c r="I41" s="2068">
        <v>1.83</v>
      </c>
      <c r="J41" s="2068">
        <v>1.68</v>
      </c>
      <c r="K41" s="2068">
        <v>1.97</v>
      </c>
      <c r="L41" s="2069">
        <v>0.87</v>
      </c>
      <c r="N41" s="2048">
        <f t="shared" si="248"/>
        <v>1.83E-2</v>
      </c>
      <c r="O41" s="2049">
        <f t="shared" si="243"/>
        <v>1.6799999999999999E-2</v>
      </c>
      <c r="P41" s="2049">
        <f t="shared" si="243"/>
        <v>1.9699999999999999E-2</v>
      </c>
      <c r="Q41" s="2049">
        <f t="shared" si="243"/>
        <v>8.6999999999999994E-3</v>
      </c>
      <c r="R41" s="2033"/>
      <c r="S41" s="2042"/>
      <c r="T41" s="2043"/>
      <c r="U41" s="2043"/>
      <c r="V41" s="2043"/>
      <c r="X41" s="2043"/>
      <c r="Y41" s="2043"/>
      <c r="Z41" s="2043"/>
    </row>
    <row r="42" spans="1:34">
      <c r="A42" s="2029" t="s">
        <v>466</v>
      </c>
      <c r="B42" s="2030">
        <f t="shared" ref="B42:C44" si="255">B41/(1+N41)</f>
        <v>293.62663262299913</v>
      </c>
      <c r="C42" s="2030">
        <f t="shared" si="255"/>
        <v>247.83634933123525</v>
      </c>
      <c r="D42" s="2030">
        <f t="shared" si="246"/>
        <v>247.83634933123525</v>
      </c>
      <c r="E42" s="2030">
        <f t="shared" ref="E42:F44" si="256">E41/(1+P41)</f>
        <v>401.09836226341076</v>
      </c>
      <c r="F42" s="2030">
        <f t="shared" si="256"/>
        <v>225.04213343908003</v>
      </c>
      <c r="G42" s="3536"/>
      <c r="H42" s="2051">
        <v>3</v>
      </c>
      <c r="I42" s="2051">
        <v>1.86</v>
      </c>
      <c r="J42" s="2051">
        <v>1.72</v>
      </c>
      <c r="K42" s="2051">
        <v>1.98</v>
      </c>
      <c r="L42" s="2052">
        <v>0.88</v>
      </c>
      <c r="N42" s="2032">
        <f t="shared" si="248"/>
        <v>1.8600000000000002E-2</v>
      </c>
      <c r="O42" s="2017">
        <f t="shared" si="243"/>
        <v>1.72E-2</v>
      </c>
      <c r="P42" s="2017">
        <f t="shared" si="243"/>
        <v>1.9799999999999998E-2</v>
      </c>
      <c r="Q42" s="2017">
        <f t="shared" si="243"/>
        <v>8.8000000000000005E-3</v>
      </c>
      <c r="R42" s="2033"/>
      <c r="S42" s="2032"/>
      <c r="T42" s="2017"/>
      <c r="U42" s="2017"/>
      <c r="V42" s="2017"/>
    </row>
    <row r="43" spans="1:34">
      <c r="A43" s="2029" t="s">
        <v>467</v>
      </c>
      <c r="B43" s="2030">
        <f t="shared" si="255"/>
        <v>288.2649053828776</v>
      </c>
      <c r="C43" s="2030">
        <f t="shared" si="255"/>
        <v>243.64564425013293</v>
      </c>
      <c r="D43" s="2030">
        <f t="shared" si="246"/>
        <v>243.64564425013293</v>
      </c>
      <c r="E43" s="2030">
        <f t="shared" si="256"/>
        <v>393.31080825986544</v>
      </c>
      <c r="F43" s="2030">
        <f t="shared" si="256"/>
        <v>223.07903790551154</v>
      </c>
      <c r="G43" s="3536"/>
      <c r="H43" s="2040">
        <v>2</v>
      </c>
      <c r="I43" s="2040">
        <v>2.04</v>
      </c>
      <c r="J43" s="2040">
        <v>2.33</v>
      </c>
      <c r="K43" s="2040">
        <v>2.0699999999999998</v>
      </c>
      <c r="L43" s="2041">
        <v>0.69</v>
      </c>
      <c r="N43" s="2032">
        <f t="shared" si="248"/>
        <v>2.0400000000000001E-2</v>
      </c>
      <c r="O43" s="2017">
        <f t="shared" si="243"/>
        <v>2.3300000000000001E-2</v>
      </c>
      <c r="P43" s="2017">
        <f t="shared" si="243"/>
        <v>2.07E-2</v>
      </c>
      <c r="Q43" s="2017">
        <f t="shared" si="243"/>
        <v>6.8999999999999999E-3</v>
      </c>
      <c r="R43" s="2033"/>
      <c r="S43" s="2032"/>
      <c r="T43" s="2017"/>
      <c r="U43" s="2017"/>
      <c r="V43" s="2017"/>
      <c r="X43" s="2070"/>
      <c r="Y43" s="2071"/>
    </row>
    <row r="44" spans="1:34">
      <c r="A44" s="2029" t="s">
        <v>468</v>
      </c>
      <c r="B44" s="2030">
        <f t="shared" si="255"/>
        <v>282.50186729015837</v>
      </c>
      <c r="C44" s="2030">
        <f t="shared" si="255"/>
        <v>238.09796174155468</v>
      </c>
      <c r="D44" s="2030">
        <f t="shared" si="246"/>
        <v>238.09796174155468</v>
      </c>
      <c r="E44" s="2030">
        <f t="shared" si="256"/>
        <v>385.33438646014054</v>
      </c>
      <c r="F44" s="2030">
        <f t="shared" si="256"/>
        <v>221.55034055567739</v>
      </c>
      <c r="G44" s="3537"/>
      <c r="H44" s="2031">
        <v>1</v>
      </c>
      <c r="I44" s="2031">
        <v>1.67</v>
      </c>
      <c r="J44" s="2031">
        <v>1.31</v>
      </c>
      <c r="K44" s="2031">
        <v>1.85</v>
      </c>
      <c r="L44" s="2035">
        <v>0.96</v>
      </c>
      <c r="N44" s="2044">
        <f t="shared" si="248"/>
        <v>1.67E-2</v>
      </c>
      <c r="O44" s="2045">
        <f t="shared" si="248"/>
        <v>1.3100000000000001E-2</v>
      </c>
      <c r="P44" s="2045">
        <f t="shared" si="248"/>
        <v>1.8500000000000003E-2</v>
      </c>
      <c r="Q44" s="2045">
        <f t="shared" si="248"/>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46"/>
        <v>234</v>
      </c>
      <c r="E45" s="2072">
        <v>379</v>
      </c>
      <c r="F45" s="2073">
        <v>220</v>
      </c>
      <c r="G45" s="3530">
        <v>2012</v>
      </c>
      <c r="H45" s="2046">
        <v>4</v>
      </c>
      <c r="I45" s="2046">
        <v>0.91</v>
      </c>
      <c r="J45" s="2046">
        <v>0.68</v>
      </c>
      <c r="K45" s="2046">
        <v>0.98</v>
      </c>
      <c r="L45" s="2047">
        <v>0.9</v>
      </c>
      <c r="N45" s="2032">
        <f t="shared" si="248"/>
        <v>9.1000000000000004E-3</v>
      </c>
      <c r="O45" s="2017">
        <f t="shared" si="248"/>
        <v>6.8000000000000005E-3</v>
      </c>
      <c r="P45" s="2017">
        <f t="shared" si="248"/>
        <v>9.7999999999999997E-3</v>
      </c>
      <c r="Q45" s="2017">
        <f t="shared" si="248"/>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46"/>
        <v>232.41954707985698</v>
      </c>
      <c r="E46" s="2030">
        <f t="shared" ref="E46:F48" si="257">E45/(1+P45)</f>
        <v>375.32184591008121</v>
      </c>
      <c r="F46" s="2030">
        <f t="shared" si="257"/>
        <v>218.03766105054513</v>
      </c>
      <c r="G46" s="3531"/>
      <c r="H46" s="2051">
        <v>3</v>
      </c>
      <c r="I46" s="2051">
        <v>0.09</v>
      </c>
      <c r="J46" s="2051">
        <v>0.28999999999999998</v>
      </c>
      <c r="K46" s="2051">
        <v>-0.01</v>
      </c>
      <c r="L46" s="2052">
        <v>0.57999999999999996</v>
      </c>
      <c r="N46" s="2032">
        <f t="shared" si="248"/>
        <v>8.9999999999999998E-4</v>
      </c>
      <c r="O46" s="2017">
        <f t="shared" si="248"/>
        <v>2.8999999999999998E-3</v>
      </c>
      <c r="P46" s="2017">
        <f t="shared" si="248"/>
        <v>-1E-4</v>
      </c>
      <c r="Q46" s="2017">
        <f t="shared" si="248"/>
        <v>5.7999999999999996E-3</v>
      </c>
      <c r="R46" s="2033"/>
      <c r="S46" s="2032"/>
      <c r="T46" s="2017"/>
      <c r="U46" s="2017"/>
      <c r="V46" s="2017"/>
    </row>
    <row r="47" spans="1:34">
      <c r="A47" s="2029" t="s">
        <v>471</v>
      </c>
      <c r="B47" s="2030">
        <f>B46/(1+N46)</f>
        <v>275.24529281292263</v>
      </c>
      <c r="C47" s="2030">
        <f>C46/(1+O46)</f>
        <v>231.74747938962707</v>
      </c>
      <c r="D47" s="2030">
        <f t="shared" si="246"/>
        <v>231.74747938962707</v>
      </c>
      <c r="E47" s="2030">
        <f t="shared" si="257"/>
        <v>375.35938184826603</v>
      </c>
      <c r="F47" s="2030">
        <f t="shared" si="257"/>
        <v>216.78033510692495</v>
      </c>
      <c r="G47" s="3531"/>
      <c r="H47" s="2040">
        <v>2</v>
      </c>
      <c r="I47" s="2040">
        <v>0.02</v>
      </c>
      <c r="J47" s="2040">
        <v>0.12</v>
      </c>
      <c r="K47" s="2040">
        <v>-0.08</v>
      </c>
      <c r="L47" s="2041">
        <v>1.24</v>
      </c>
      <c r="N47" s="2032">
        <f t="shared" si="248"/>
        <v>2.0000000000000001E-4</v>
      </c>
      <c r="O47" s="2017">
        <f t="shared" si="248"/>
        <v>1.1999999999999999E-3</v>
      </c>
      <c r="P47" s="2017">
        <f t="shared" si="248"/>
        <v>-8.0000000000000004E-4</v>
      </c>
      <c r="Q47" s="2017">
        <f t="shared" si="248"/>
        <v>1.24E-2</v>
      </c>
      <c r="R47" s="2033"/>
      <c r="S47" s="2032"/>
      <c r="T47" s="2017"/>
      <c r="U47" s="2017"/>
      <c r="V47" s="2017"/>
    </row>
    <row r="48" spans="1:34" ht="13.5" thickBot="1">
      <c r="A48" s="2029" t="s">
        <v>472</v>
      </c>
      <c r="B48" s="2030">
        <f>B47/(1+N47)</f>
        <v>275.19025476197027</v>
      </c>
      <c r="C48" s="2074">
        <v>232</v>
      </c>
      <c r="D48" s="2074">
        <f t="shared" si="246"/>
        <v>232</v>
      </c>
      <c r="E48" s="2030">
        <f t="shared" si="257"/>
        <v>375.65990977608692</v>
      </c>
      <c r="F48" s="2030">
        <f t="shared" si="257"/>
        <v>214.12518283971252</v>
      </c>
      <c r="G48" s="3532"/>
      <c r="H48" s="2031">
        <v>1</v>
      </c>
      <c r="I48" s="2031">
        <v>0.02</v>
      </c>
      <c r="J48" s="2031">
        <v>0.13</v>
      </c>
      <c r="K48" s="2031">
        <v>-0.04</v>
      </c>
      <c r="L48" s="2035">
        <v>0.46</v>
      </c>
      <c r="N48" s="2032">
        <f t="shared" si="248"/>
        <v>2.0000000000000001E-4</v>
      </c>
      <c r="O48" s="2017">
        <f t="shared" si="248"/>
        <v>1.2999999999999999E-3</v>
      </c>
      <c r="P48" s="2017">
        <f t="shared" si="248"/>
        <v>-4.0000000000000002E-4</v>
      </c>
      <c r="Q48" s="2017">
        <f t="shared" si="248"/>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46"/>
        <v>232</v>
      </c>
      <c r="E49" s="2038">
        <v>376</v>
      </c>
      <c r="F49" s="2039">
        <v>213</v>
      </c>
      <c r="G49" s="3530">
        <v>2011</v>
      </c>
      <c r="H49" s="2046">
        <v>4</v>
      </c>
      <c r="I49" s="2046">
        <v>-0.2</v>
      </c>
      <c r="J49" s="2046">
        <v>0.04</v>
      </c>
      <c r="K49" s="2046">
        <v>-0.34</v>
      </c>
      <c r="L49" s="2047">
        <v>0.46</v>
      </c>
      <c r="N49" s="2048">
        <f t="shared" si="248"/>
        <v>-2E-3</v>
      </c>
      <c r="O49" s="2049">
        <f t="shared" si="248"/>
        <v>4.0000000000000002E-4</v>
      </c>
      <c r="P49" s="2049">
        <f t="shared" si="248"/>
        <v>-3.4000000000000002E-3</v>
      </c>
      <c r="Q49" s="2049">
        <f t="shared" si="248"/>
        <v>4.5999999999999999E-3</v>
      </c>
      <c r="R49" s="2033"/>
      <c r="S49" s="2042"/>
      <c r="T49" s="2043"/>
      <c r="U49" s="2043"/>
      <c r="V49" s="2043"/>
      <c r="X49" s="2043"/>
      <c r="Y49" s="2043"/>
      <c r="Z49" s="2043"/>
    </row>
    <row r="50" spans="1:26">
      <c r="A50" s="2029" t="s">
        <v>474</v>
      </c>
      <c r="B50" s="2030">
        <f t="shared" ref="B50:C52" si="258">B49/(1+N49)</f>
        <v>275.55110220440883</v>
      </c>
      <c r="C50" s="2030">
        <f t="shared" si="258"/>
        <v>231.90723710515795</v>
      </c>
      <c r="D50" s="2030">
        <f t="shared" si="246"/>
        <v>231.90723710515795</v>
      </c>
      <c r="E50" s="2030">
        <f t="shared" ref="E50:F52" si="259">E49/(1+P49)</f>
        <v>377.28276138872161</v>
      </c>
      <c r="F50" s="2030">
        <f t="shared" si="259"/>
        <v>212.02468644236512</v>
      </c>
      <c r="G50" s="3531">
        <v>2011</v>
      </c>
      <c r="H50" s="2051">
        <v>3</v>
      </c>
      <c r="I50" s="2051">
        <v>0.13</v>
      </c>
      <c r="J50" s="2051">
        <v>0.75</v>
      </c>
      <c r="K50" s="2051">
        <v>-0.08</v>
      </c>
      <c r="L50" s="2052">
        <v>0.53</v>
      </c>
      <c r="N50" s="2032">
        <f t="shared" si="248"/>
        <v>1.2999999999999999E-3</v>
      </c>
      <c r="O50" s="2017">
        <f t="shared" si="248"/>
        <v>7.4999999999999997E-3</v>
      </c>
      <c r="P50" s="2017">
        <f t="shared" si="248"/>
        <v>-8.0000000000000004E-4</v>
      </c>
      <c r="Q50" s="2017">
        <f t="shared" si="248"/>
        <v>5.3E-3</v>
      </c>
      <c r="R50" s="2033"/>
      <c r="S50" s="2032"/>
      <c r="T50" s="2017"/>
      <c r="U50" s="2017"/>
      <c r="V50" s="2017"/>
    </row>
    <row r="51" spans="1:26">
      <c r="A51" s="2029" t="s">
        <v>475</v>
      </c>
      <c r="B51" s="2030">
        <f t="shared" si="258"/>
        <v>275.19335084830601</v>
      </c>
      <c r="C51" s="2030">
        <f t="shared" si="258"/>
        <v>230.18088050139744</v>
      </c>
      <c r="D51" s="2030">
        <f t="shared" si="246"/>
        <v>230.18088050139744</v>
      </c>
      <c r="E51" s="2030">
        <f t="shared" si="259"/>
        <v>377.58482925212331</v>
      </c>
      <c r="F51" s="2030">
        <f t="shared" si="259"/>
        <v>210.90687997847917</v>
      </c>
      <c r="G51" s="3531">
        <v>2011</v>
      </c>
      <c r="H51" s="2040">
        <v>2</v>
      </c>
      <c r="I51" s="2040">
        <v>-0.4</v>
      </c>
      <c r="J51" s="2040">
        <v>0.17</v>
      </c>
      <c r="K51" s="2040">
        <v>-0.57999999999999996</v>
      </c>
      <c r="L51" s="2041">
        <v>-0.2</v>
      </c>
      <c r="N51" s="2032">
        <f t="shared" si="248"/>
        <v>-4.0000000000000001E-3</v>
      </c>
      <c r="O51" s="2017">
        <f t="shared" si="248"/>
        <v>1.7000000000000001E-3</v>
      </c>
      <c r="P51" s="2017">
        <f t="shared" si="248"/>
        <v>-5.7999999999999996E-3</v>
      </c>
      <c r="Q51" s="2017">
        <f t="shared" si="248"/>
        <v>-2E-3</v>
      </c>
      <c r="R51" s="2033"/>
      <c r="S51" s="2032"/>
      <c r="T51" s="2017"/>
      <c r="U51" s="2017"/>
      <c r="V51" s="2017"/>
    </row>
    <row r="52" spans="1:26" ht="13.5" thickBot="1">
      <c r="A52" s="2029" t="s">
        <v>476</v>
      </c>
      <c r="B52" s="2030">
        <f t="shared" si="258"/>
        <v>276.29854502841971</v>
      </c>
      <c r="C52" s="2030">
        <f t="shared" si="258"/>
        <v>229.79023709833027</v>
      </c>
      <c r="D52" s="2030">
        <f t="shared" si="246"/>
        <v>229.79023709833027</v>
      </c>
      <c r="E52" s="2030">
        <f t="shared" si="259"/>
        <v>379.78759731655936</v>
      </c>
      <c r="F52" s="2030">
        <f t="shared" si="259"/>
        <v>211.32953905659235</v>
      </c>
      <c r="G52" s="3532">
        <v>2011</v>
      </c>
      <c r="H52" s="2031">
        <v>1</v>
      </c>
      <c r="I52" s="2031">
        <v>2.65</v>
      </c>
      <c r="J52" s="2031">
        <v>3.76</v>
      </c>
      <c r="K52" s="2031">
        <v>1.89</v>
      </c>
      <c r="L52" s="2035">
        <v>7.95</v>
      </c>
      <c r="N52" s="2044">
        <f t="shared" si="248"/>
        <v>2.6499999999999999E-2</v>
      </c>
      <c r="O52" s="2045">
        <f t="shared" si="248"/>
        <v>3.7599999999999995E-2</v>
      </c>
      <c r="P52" s="2045">
        <f t="shared" si="248"/>
        <v>1.89E-2</v>
      </c>
      <c r="Q52" s="2045">
        <f t="shared" si="248"/>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46"/>
        <v>221</v>
      </c>
      <c r="E53" s="2038">
        <v>373</v>
      </c>
      <c r="F53" s="2039">
        <v>196</v>
      </c>
      <c r="G53" s="3530">
        <v>2010</v>
      </c>
      <c r="H53" s="2046">
        <v>4</v>
      </c>
      <c r="I53" s="2046">
        <v>5.72</v>
      </c>
      <c r="J53" s="2046">
        <v>6.57</v>
      </c>
      <c r="K53" s="2046">
        <v>5.72</v>
      </c>
      <c r="L53" s="2047">
        <v>2.72</v>
      </c>
      <c r="N53" s="2032">
        <f t="shared" si="248"/>
        <v>5.7200000000000001E-2</v>
      </c>
      <c r="O53" s="2017">
        <f t="shared" si="248"/>
        <v>6.5700000000000008E-2</v>
      </c>
      <c r="P53" s="2017">
        <f t="shared" si="248"/>
        <v>5.7200000000000001E-2</v>
      </c>
      <c r="Q53" s="2017">
        <f t="shared" si="248"/>
        <v>2.7200000000000002E-2</v>
      </c>
      <c r="R53" s="2033"/>
      <c r="S53" s="2042"/>
      <c r="T53" s="2043"/>
      <c r="U53" s="2043"/>
      <c r="V53" s="2043"/>
      <c r="X53" s="2043"/>
      <c r="Y53" s="2043"/>
      <c r="Z53" s="2043"/>
    </row>
    <row r="54" spans="1:26">
      <c r="A54" s="2029" t="s">
        <v>478</v>
      </c>
      <c r="B54" s="2030">
        <f t="shared" ref="B54:C56" si="260">B53/(1+N53)</f>
        <v>254.44570563753314</v>
      </c>
      <c r="C54" s="2030">
        <f t="shared" si="260"/>
        <v>207.37543398705074</v>
      </c>
      <c r="D54" s="2030">
        <f t="shared" si="246"/>
        <v>207.37543398705074</v>
      </c>
      <c r="E54" s="2030">
        <f t="shared" ref="E54:F56" si="261">E53/(1+P53)</f>
        <v>352.81876655315932</v>
      </c>
      <c r="F54" s="2030">
        <f t="shared" si="261"/>
        <v>190.809968847352</v>
      </c>
      <c r="G54" s="3531">
        <v>2010</v>
      </c>
      <c r="H54" s="2051">
        <v>3</v>
      </c>
      <c r="I54" s="2051">
        <v>4.7300000000000004</v>
      </c>
      <c r="J54" s="2051">
        <v>3.9</v>
      </c>
      <c r="K54" s="2051">
        <v>5.03</v>
      </c>
      <c r="L54" s="2052">
        <v>4.21</v>
      </c>
      <c r="N54" s="2032">
        <f t="shared" si="248"/>
        <v>4.7300000000000002E-2</v>
      </c>
      <c r="O54" s="2017">
        <f t="shared" si="248"/>
        <v>3.9E-2</v>
      </c>
      <c r="P54" s="2017">
        <f t="shared" si="248"/>
        <v>5.0300000000000004E-2</v>
      </c>
      <c r="Q54" s="2017">
        <f t="shared" si="248"/>
        <v>4.2099999999999999E-2</v>
      </c>
      <c r="R54" s="2033"/>
      <c r="S54" s="2032"/>
      <c r="T54" s="2017"/>
      <c r="U54" s="2017"/>
      <c r="V54" s="2017"/>
    </row>
    <row r="55" spans="1:26">
      <c r="A55" s="2029" t="s">
        <v>479</v>
      </c>
      <c r="B55" s="2030">
        <f t="shared" si="260"/>
        <v>242.95398227588385</v>
      </c>
      <c r="C55" s="2030">
        <f t="shared" si="260"/>
        <v>199.59137053614126</v>
      </c>
      <c r="D55" s="2030">
        <f t="shared" si="246"/>
        <v>199.59137053614126</v>
      </c>
      <c r="E55" s="2030">
        <f t="shared" si="261"/>
        <v>335.92189522342125</v>
      </c>
      <c r="F55" s="2030">
        <f t="shared" si="261"/>
        <v>183.10139991109489</v>
      </c>
      <c r="G55" s="3531">
        <v>2010</v>
      </c>
      <c r="H55" s="2040">
        <v>2</v>
      </c>
      <c r="I55" s="2040">
        <v>4.6900000000000004</v>
      </c>
      <c r="J55" s="2040">
        <v>3.55</v>
      </c>
      <c r="K55" s="2040">
        <v>5.07</v>
      </c>
      <c r="L55" s="2041">
        <v>4.2300000000000004</v>
      </c>
      <c r="N55" s="2032">
        <f t="shared" si="248"/>
        <v>4.6900000000000004E-2</v>
      </c>
      <c r="O55" s="2017">
        <f t="shared" si="248"/>
        <v>3.5499999999999997E-2</v>
      </c>
      <c r="P55" s="2017">
        <f t="shared" si="248"/>
        <v>5.0700000000000002E-2</v>
      </c>
      <c r="Q55" s="2017">
        <f t="shared" si="248"/>
        <v>4.2300000000000004E-2</v>
      </c>
      <c r="R55" s="2033"/>
      <c r="S55" s="2032"/>
      <c r="T55" s="2017"/>
      <c r="U55" s="2017"/>
      <c r="V55" s="2017"/>
    </row>
    <row r="56" spans="1:26" ht="13.5" thickBot="1">
      <c r="A56" s="2029" t="s">
        <v>480</v>
      </c>
      <c r="B56" s="2030">
        <f t="shared" si="260"/>
        <v>232.06990378821649</v>
      </c>
      <c r="C56" s="2030">
        <f t="shared" si="260"/>
        <v>192.74878854286936</v>
      </c>
      <c r="D56" s="2030">
        <f t="shared" si="246"/>
        <v>192.74878854286936</v>
      </c>
      <c r="E56" s="2030">
        <f t="shared" si="261"/>
        <v>319.71247284992984</v>
      </c>
      <c r="F56" s="2030">
        <f t="shared" si="261"/>
        <v>175.67053622862409</v>
      </c>
      <c r="G56" s="3532">
        <v>2010</v>
      </c>
      <c r="H56" s="2031">
        <v>1</v>
      </c>
      <c r="I56" s="2031">
        <v>5.4</v>
      </c>
      <c r="J56" s="2031">
        <v>3.2</v>
      </c>
      <c r="K56" s="2031">
        <v>6.16</v>
      </c>
      <c r="L56" s="2035">
        <v>4.51</v>
      </c>
      <c r="N56" s="2032">
        <f t="shared" si="248"/>
        <v>5.4000000000000006E-2</v>
      </c>
      <c r="O56" s="2017">
        <f t="shared" si="248"/>
        <v>3.2000000000000001E-2</v>
      </c>
      <c r="P56" s="2017">
        <f t="shared" si="248"/>
        <v>6.1600000000000002E-2</v>
      </c>
      <c r="Q56" s="2017">
        <f t="shared" si="248"/>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46"/>
        <v>187</v>
      </c>
      <c r="E57" s="2038">
        <v>301</v>
      </c>
      <c r="F57" s="2039">
        <v>168</v>
      </c>
      <c r="G57" s="3530">
        <v>2009</v>
      </c>
      <c r="H57" s="2046">
        <v>4</v>
      </c>
      <c r="I57" s="2046">
        <v>2.2999999999999998</v>
      </c>
      <c r="J57" s="2046">
        <v>1.04</v>
      </c>
      <c r="K57" s="2046">
        <v>2.84</v>
      </c>
      <c r="L57" s="2047">
        <v>0.67</v>
      </c>
      <c r="N57" s="2048">
        <f t="shared" si="248"/>
        <v>2.3E-2</v>
      </c>
      <c r="O57" s="2049">
        <f t="shared" si="248"/>
        <v>1.04E-2</v>
      </c>
      <c r="P57" s="2049">
        <f t="shared" si="248"/>
        <v>2.8399999999999998E-2</v>
      </c>
      <c r="Q57" s="2049">
        <f t="shared" si="248"/>
        <v>6.7000000000000002E-3</v>
      </c>
      <c r="R57" s="2033"/>
      <c r="S57" s="2042"/>
      <c r="T57" s="2043"/>
      <c r="U57" s="2043"/>
      <c r="V57" s="2043"/>
      <c r="X57" s="2043"/>
      <c r="Y57" s="2043"/>
      <c r="Z57" s="2043"/>
    </row>
    <row r="58" spans="1:26">
      <c r="A58" s="2029" t="s">
        <v>482</v>
      </c>
      <c r="B58" s="2030">
        <f t="shared" ref="B58:C60" si="262">B57/(1+N57)</f>
        <v>215.05376344086022</v>
      </c>
      <c r="C58" s="2030">
        <f t="shared" si="262"/>
        <v>185.0752177355503</v>
      </c>
      <c r="D58" s="2030">
        <f t="shared" si="246"/>
        <v>185.0752177355503</v>
      </c>
      <c r="E58" s="2030">
        <f t="shared" ref="E58:F60" si="263">E57/(1+P57)</f>
        <v>292.68767016725008</v>
      </c>
      <c r="F58" s="2030">
        <f t="shared" si="263"/>
        <v>166.88189132810174</v>
      </c>
      <c r="G58" s="3531">
        <v>2009</v>
      </c>
      <c r="H58" s="2051">
        <v>3</v>
      </c>
      <c r="I58" s="2051">
        <v>2.1</v>
      </c>
      <c r="J58" s="2051">
        <v>1.86</v>
      </c>
      <c r="K58" s="2051">
        <v>2.29</v>
      </c>
      <c r="L58" s="2052">
        <v>0.85</v>
      </c>
      <c r="N58" s="2032">
        <f t="shared" si="248"/>
        <v>2.1000000000000001E-2</v>
      </c>
      <c r="O58" s="2017">
        <f t="shared" si="248"/>
        <v>1.8600000000000002E-2</v>
      </c>
      <c r="P58" s="2017">
        <f t="shared" si="248"/>
        <v>2.29E-2</v>
      </c>
      <c r="Q58" s="2017">
        <f t="shared" si="248"/>
        <v>8.5000000000000006E-3</v>
      </c>
      <c r="R58" s="2033"/>
      <c r="S58" s="2032"/>
      <c r="T58" s="2017"/>
      <c r="U58" s="2017"/>
      <c r="V58" s="2017"/>
    </row>
    <row r="59" spans="1:26">
      <c r="A59" s="2029" t="s">
        <v>483</v>
      </c>
      <c r="B59" s="2030">
        <f t="shared" si="262"/>
        <v>210.630522469011</v>
      </c>
      <c r="C59" s="2030">
        <f t="shared" si="262"/>
        <v>181.69567812247232</v>
      </c>
      <c r="D59" s="2030">
        <f t="shared" si="246"/>
        <v>181.69567812247232</v>
      </c>
      <c r="E59" s="2030">
        <f t="shared" si="263"/>
        <v>286.13517466736738</v>
      </c>
      <c r="F59" s="2030">
        <f t="shared" si="263"/>
        <v>165.47535084591149</v>
      </c>
      <c r="G59" s="3531">
        <v>2009</v>
      </c>
      <c r="H59" s="2040">
        <v>2</v>
      </c>
      <c r="I59" s="2040">
        <v>0.86</v>
      </c>
      <c r="J59" s="2040">
        <v>-1.1299999999999999</v>
      </c>
      <c r="K59" s="2040">
        <v>1.79</v>
      </c>
      <c r="L59" s="2041">
        <v>-2.0699999999999998</v>
      </c>
      <c r="N59" s="2032">
        <f t="shared" si="248"/>
        <v>8.6E-3</v>
      </c>
      <c r="O59" s="2017">
        <f t="shared" si="248"/>
        <v>-1.1299999999999999E-2</v>
      </c>
      <c r="P59" s="2017">
        <f t="shared" si="248"/>
        <v>1.7899999999999999E-2</v>
      </c>
      <c r="Q59" s="2017">
        <f t="shared" si="248"/>
        <v>-2.07E-2</v>
      </c>
      <c r="R59" s="2033"/>
      <c r="S59" s="2032"/>
      <c r="T59" s="2017"/>
      <c r="U59" s="2017"/>
      <c r="V59" s="2017"/>
    </row>
    <row r="60" spans="1:26">
      <c r="A60" s="2029" t="s">
        <v>484</v>
      </c>
      <c r="B60" s="2030">
        <f t="shared" si="262"/>
        <v>208.83454537875372</v>
      </c>
      <c r="C60" s="2030">
        <f t="shared" si="262"/>
        <v>183.77230517090351</v>
      </c>
      <c r="D60" s="2030">
        <f t="shared" si="246"/>
        <v>183.77230517090351</v>
      </c>
      <c r="E60" s="2030">
        <f t="shared" si="263"/>
        <v>281.10342338870947</v>
      </c>
      <c r="F60" s="2030">
        <f t="shared" si="263"/>
        <v>168.97309388942256</v>
      </c>
      <c r="G60" s="3532">
        <v>2009</v>
      </c>
      <c r="H60" s="2031">
        <v>1</v>
      </c>
      <c r="I60" s="2031">
        <v>-2.64</v>
      </c>
      <c r="J60" s="2031">
        <v>-2.5299999999999998</v>
      </c>
      <c r="K60" s="2031">
        <v>-3.02</v>
      </c>
      <c r="L60" s="2035">
        <v>1.52</v>
      </c>
      <c r="N60" s="2044">
        <f t="shared" si="248"/>
        <v>-2.64E-2</v>
      </c>
      <c r="O60" s="2045">
        <f t="shared" si="248"/>
        <v>-2.53E-2</v>
      </c>
      <c r="P60" s="2045">
        <f t="shared" si="248"/>
        <v>-3.0200000000000001E-2</v>
      </c>
      <c r="Q60" s="2045">
        <f t="shared" si="248"/>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46"/>
        <v>188</v>
      </c>
      <c r="E61" s="2072">
        <v>289</v>
      </c>
      <c r="F61" s="2073">
        <v>166</v>
      </c>
      <c r="G61" s="3530">
        <v>2008</v>
      </c>
      <c r="H61" s="2046">
        <v>4</v>
      </c>
      <c r="I61" s="2046">
        <v>1.73</v>
      </c>
      <c r="J61" s="2046">
        <v>0.03</v>
      </c>
      <c r="K61" s="2046">
        <v>2.59</v>
      </c>
      <c r="L61" s="2047">
        <v>-1.66</v>
      </c>
      <c r="N61" s="2032">
        <f t="shared" si="248"/>
        <v>1.7299999999999999E-2</v>
      </c>
      <c r="O61" s="2017">
        <f t="shared" si="248"/>
        <v>2.9999999999999997E-4</v>
      </c>
      <c r="P61" s="2017">
        <f t="shared" si="248"/>
        <v>2.5899999999999999E-2</v>
      </c>
      <c r="Q61" s="2017">
        <f t="shared" si="248"/>
        <v>-1.66E-2</v>
      </c>
      <c r="R61" s="2033"/>
      <c r="S61" s="2042"/>
      <c r="T61" s="2043"/>
      <c r="U61" s="2043"/>
      <c r="V61" s="2043"/>
      <c r="X61" s="2043"/>
      <c r="Y61" s="2043"/>
      <c r="Z61" s="2043"/>
    </row>
    <row r="62" spans="1:26">
      <c r="A62" s="2029" t="s">
        <v>486</v>
      </c>
      <c r="B62" s="2030">
        <f t="shared" ref="B62:C64" si="264">B61/(1+N61)</f>
        <v>210.36075887152265</v>
      </c>
      <c r="C62" s="2030">
        <f t="shared" si="264"/>
        <v>187.94361691492554</v>
      </c>
      <c r="D62" s="2030">
        <f t="shared" si="246"/>
        <v>187.94361691492554</v>
      </c>
      <c r="E62" s="2030">
        <f t="shared" ref="E62:F64" si="265">E61/(1+P61)</f>
        <v>281.70386977288234</v>
      </c>
      <c r="F62" s="2030">
        <f t="shared" si="265"/>
        <v>168.80211511083994</v>
      </c>
      <c r="G62" s="3531">
        <v>2008</v>
      </c>
      <c r="H62" s="2051">
        <v>3</v>
      </c>
      <c r="I62" s="2051">
        <v>1.96</v>
      </c>
      <c r="J62" s="2051">
        <v>2.36</v>
      </c>
      <c r="K62" s="2051">
        <v>1.82</v>
      </c>
      <c r="L62" s="2052">
        <v>2.2200000000000002</v>
      </c>
      <c r="N62" s="2032">
        <f t="shared" si="248"/>
        <v>1.9599999999999999E-2</v>
      </c>
      <c r="O62" s="2017">
        <f t="shared" si="248"/>
        <v>2.3599999999999999E-2</v>
      </c>
      <c r="P62" s="2017">
        <f t="shared" si="248"/>
        <v>1.8200000000000001E-2</v>
      </c>
      <c r="Q62" s="2017">
        <f t="shared" si="248"/>
        <v>2.2200000000000001E-2</v>
      </c>
      <c r="R62" s="2033"/>
      <c r="S62" s="2032"/>
      <c r="T62" s="2017"/>
      <c r="U62" s="2017"/>
      <c r="V62" s="2017"/>
    </row>
    <row r="63" spans="1:26">
      <c r="A63" s="2029" t="s">
        <v>487</v>
      </c>
      <c r="B63" s="2030">
        <f t="shared" si="264"/>
        <v>206.31694671589116</v>
      </c>
      <c r="C63" s="2030">
        <f t="shared" si="264"/>
        <v>183.61041121036101</v>
      </c>
      <c r="D63" s="2030">
        <f t="shared" si="246"/>
        <v>183.61041121036101</v>
      </c>
      <c r="E63" s="2030">
        <f t="shared" si="265"/>
        <v>276.66850301795557</v>
      </c>
      <c r="F63" s="2030">
        <f t="shared" si="265"/>
        <v>165.1360938278614</v>
      </c>
      <c r="G63" s="3531">
        <v>2008</v>
      </c>
      <c r="H63" s="2040">
        <v>2</v>
      </c>
      <c r="I63" s="2040">
        <v>4.93</v>
      </c>
      <c r="J63" s="2040">
        <v>7.38</v>
      </c>
      <c r="K63" s="2040">
        <v>3.98</v>
      </c>
      <c r="L63" s="2041">
        <v>6.86</v>
      </c>
      <c r="N63" s="2032">
        <f t="shared" si="248"/>
        <v>4.9299999999999997E-2</v>
      </c>
      <c r="O63" s="2017">
        <f t="shared" si="248"/>
        <v>7.3800000000000004E-2</v>
      </c>
      <c r="P63" s="2017">
        <f t="shared" si="248"/>
        <v>3.9800000000000002E-2</v>
      </c>
      <c r="Q63" s="2017">
        <f t="shared" si="248"/>
        <v>6.8600000000000008E-2</v>
      </c>
      <c r="R63" s="2033"/>
      <c r="S63" s="2032"/>
      <c r="T63" s="2017"/>
      <c r="U63" s="2017"/>
      <c r="V63" s="2017"/>
    </row>
    <row r="64" spans="1:26" s="2078" customFormat="1" ht="13.5" thickBot="1">
      <c r="A64" s="2029" t="s">
        <v>488</v>
      </c>
      <c r="B64" s="2075">
        <f t="shared" si="264"/>
        <v>196.62341248059772</v>
      </c>
      <c r="C64" s="2075">
        <f t="shared" si="264"/>
        <v>170.99125648199012</v>
      </c>
      <c r="D64" s="2075">
        <f t="shared" si="246"/>
        <v>170.99125648199012</v>
      </c>
      <c r="E64" s="2075">
        <f t="shared" si="265"/>
        <v>266.07857570490052</v>
      </c>
      <c r="F64" s="2075">
        <f t="shared" si="265"/>
        <v>154.53499328828505</v>
      </c>
      <c r="G64" s="3532">
        <v>2008</v>
      </c>
      <c r="H64" s="2076">
        <v>1</v>
      </c>
      <c r="I64" s="2076">
        <v>4.1399999999999997</v>
      </c>
      <c r="J64" s="2076">
        <v>3.45</v>
      </c>
      <c r="K64" s="2076">
        <v>4.95</v>
      </c>
      <c r="L64" s="2077">
        <v>4.82</v>
      </c>
      <c r="N64" s="2079">
        <f t="shared" si="248"/>
        <v>4.1399999999999999E-2</v>
      </c>
      <c r="O64" s="2080">
        <f t="shared" si="248"/>
        <v>3.4500000000000003E-2</v>
      </c>
      <c r="P64" s="2080">
        <f t="shared" si="248"/>
        <v>4.9500000000000002E-2</v>
      </c>
      <c r="Q64" s="2080">
        <f t="shared" si="248"/>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46"/>
        <v>165</v>
      </c>
      <c r="E65" s="2038">
        <v>254</v>
      </c>
      <c r="F65" s="2039">
        <v>148</v>
      </c>
      <c r="G65" s="3530">
        <v>2007</v>
      </c>
      <c r="H65" s="2082">
        <v>4</v>
      </c>
      <c r="I65" s="2082">
        <v>5.51</v>
      </c>
      <c r="J65" s="2082">
        <v>4.8899999999999997</v>
      </c>
      <c r="K65" s="2082">
        <v>6.43</v>
      </c>
      <c r="L65" s="2083">
        <v>5.36</v>
      </c>
      <c r="N65" s="2084">
        <f t="shared" ref="N65:O68" si="266">B65/B66-1</f>
        <v>4.1339718365245526E-2</v>
      </c>
      <c r="O65" s="2085">
        <f t="shared" si="266"/>
        <v>4.0324492593776018E-2</v>
      </c>
      <c r="P65" s="2085">
        <f t="shared" ref="P65:Q68" si="267">E65/E66-1</f>
        <v>6.1625555347990968E-2</v>
      </c>
      <c r="Q65" s="2085">
        <f t="shared" si="267"/>
        <v>4.6757569250590603E-2</v>
      </c>
      <c r="R65" s="2033"/>
      <c r="S65" s="2042"/>
      <c r="T65" s="2043"/>
      <c r="U65" s="2043"/>
      <c r="V65" s="2043"/>
      <c r="X65" s="2043"/>
      <c r="Y65" s="2043"/>
      <c r="Z65" s="2043"/>
    </row>
    <row r="66" spans="1:26">
      <c r="A66" s="2029" t="s">
        <v>490</v>
      </c>
      <c r="B66" s="2030">
        <f t="shared" ref="B66:C68" si="268">B67+(B$65-B$69)*I66/SUM(I$65:I$68)</f>
        <v>180.5366651097618</v>
      </c>
      <c r="C66" s="2030">
        <f t="shared" si="268"/>
        <v>158.60435967302453</v>
      </c>
      <c r="D66" s="2030">
        <f t="shared" si="246"/>
        <v>158.60435967302453</v>
      </c>
      <c r="E66" s="2030">
        <f t="shared" ref="E66:F68" si="269">E67+(E$65-E$69)*K66/SUM(K$65:K$68)</f>
        <v>239.25573260785075</v>
      </c>
      <c r="F66" s="2030">
        <f t="shared" si="269"/>
        <v>141.38899430740037</v>
      </c>
      <c r="G66" s="3531">
        <v>2007</v>
      </c>
      <c r="H66" s="2051">
        <v>3</v>
      </c>
      <c r="I66" s="2051">
        <v>8.65</v>
      </c>
      <c r="J66" s="2051">
        <v>8.06</v>
      </c>
      <c r="K66" s="2051">
        <v>9.94</v>
      </c>
      <c r="L66" s="2052">
        <v>5.8</v>
      </c>
      <c r="N66" s="2084">
        <f t="shared" si="266"/>
        <v>6.940217571740015E-2</v>
      </c>
      <c r="O66" s="2085">
        <f t="shared" si="266"/>
        <v>7.1197482471153428E-2</v>
      </c>
      <c r="P66" s="2085">
        <f t="shared" si="267"/>
        <v>0.10529679922579582</v>
      </c>
      <c r="Q66" s="2085">
        <f t="shared" si="267"/>
        <v>5.3292245059512133E-2</v>
      </c>
      <c r="R66" s="2033"/>
      <c r="S66" s="2032"/>
      <c r="T66" s="2017"/>
      <c r="U66" s="2017"/>
      <c r="V66" s="2017"/>
      <c r="X66" s="2086"/>
      <c r="Y66" s="2086"/>
      <c r="Z66" s="2086"/>
    </row>
    <row r="67" spans="1:26">
      <c r="A67" s="2029" t="s">
        <v>491</v>
      </c>
      <c r="B67" s="2030">
        <f t="shared" si="268"/>
        <v>168.82017748715555</v>
      </c>
      <c r="C67" s="2030">
        <f t="shared" si="268"/>
        <v>148.06267029972753</v>
      </c>
      <c r="D67" s="2030">
        <f t="shared" si="246"/>
        <v>148.06267029972753</v>
      </c>
      <c r="E67" s="2030">
        <f t="shared" si="269"/>
        <v>216.46288379323747</v>
      </c>
      <c r="F67" s="2030">
        <f t="shared" si="269"/>
        <v>134.23529411764704</v>
      </c>
      <c r="G67" s="3531">
        <v>2007</v>
      </c>
      <c r="H67" s="2040">
        <v>2</v>
      </c>
      <c r="I67" s="2040">
        <v>3.67</v>
      </c>
      <c r="J67" s="2040">
        <v>2.3199999999999998</v>
      </c>
      <c r="K67" s="2040">
        <v>5.0199999999999996</v>
      </c>
      <c r="L67" s="2041">
        <v>6.71</v>
      </c>
      <c r="N67" s="2084">
        <f t="shared" si="266"/>
        <v>3.0339138143848032E-2</v>
      </c>
      <c r="O67" s="2085">
        <f t="shared" si="266"/>
        <v>2.0922341588790472E-2</v>
      </c>
      <c r="P67" s="2085">
        <f t="shared" si="267"/>
        <v>5.6164796592717003E-2</v>
      </c>
      <c r="Q67" s="2085">
        <f t="shared" si="267"/>
        <v>6.5704536723887319E-2</v>
      </c>
      <c r="R67" s="2033"/>
      <c r="S67" s="2032"/>
      <c r="T67" s="2017"/>
      <c r="U67" s="2017"/>
      <c r="V67" s="2017"/>
      <c r="X67" s="2086"/>
      <c r="Y67" s="2086"/>
      <c r="Z67" s="2086"/>
    </row>
    <row r="68" spans="1:26">
      <c r="A68" s="2029" t="s">
        <v>492</v>
      </c>
      <c r="B68" s="2030">
        <f t="shared" si="268"/>
        <v>163.84913591779542</v>
      </c>
      <c r="C68" s="2030">
        <f t="shared" si="268"/>
        <v>145.0283378746594</v>
      </c>
      <c r="D68" s="2030">
        <f t="shared" si="246"/>
        <v>145.0283378746594</v>
      </c>
      <c r="E68" s="2030">
        <f t="shared" si="269"/>
        <v>204.95180722891567</v>
      </c>
      <c r="F68" s="2030">
        <f t="shared" si="269"/>
        <v>125.95920303605313</v>
      </c>
      <c r="G68" s="3532">
        <v>2007</v>
      </c>
      <c r="H68" s="2031">
        <v>1</v>
      </c>
      <c r="I68" s="2031">
        <v>3.58</v>
      </c>
      <c r="J68" s="2031">
        <v>3.08</v>
      </c>
      <c r="K68" s="2031">
        <v>4.34</v>
      </c>
      <c r="L68" s="2035">
        <v>3.21</v>
      </c>
      <c r="N68" s="2087">
        <f t="shared" si="266"/>
        <v>3.0497710174814063E-2</v>
      </c>
      <c r="O68" s="2088">
        <f t="shared" si="266"/>
        <v>2.8569772160704998E-2</v>
      </c>
      <c r="P68" s="2088">
        <f t="shared" si="267"/>
        <v>5.1034908866234296E-2</v>
      </c>
      <c r="Q68" s="2088">
        <f t="shared" si="267"/>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46"/>
        <v>141</v>
      </c>
      <c r="E69" s="2053">
        <v>195</v>
      </c>
      <c r="F69" s="2054">
        <v>122</v>
      </c>
      <c r="G69" s="3530">
        <v>2006</v>
      </c>
      <c r="H69" s="2046">
        <v>4</v>
      </c>
      <c r="I69" s="2046">
        <v>3.79</v>
      </c>
      <c r="J69" s="2046">
        <v>2.21</v>
      </c>
      <c r="K69" s="2046">
        <v>5.65</v>
      </c>
      <c r="L69" s="2047">
        <v>5.41</v>
      </c>
      <c r="N69" s="2084">
        <f t="shared" ref="N69:O72" si="270">I69/SUM(I$69:I$72)*(B$69/B$73-1)</f>
        <v>7.245466462748526E-2</v>
      </c>
      <c r="O69" s="2085">
        <f t="shared" si="270"/>
        <v>2.3237230038062766E-2</v>
      </c>
      <c r="P69" s="2085">
        <f t="shared" ref="P69:Q72" si="271">K69/SUM(K$69:K$72)*(E$69/E$73-1)</f>
        <v>0.16146893866323722</v>
      </c>
      <c r="Q69" s="2085">
        <f t="shared" si="271"/>
        <v>5.0755230321793784E-2</v>
      </c>
      <c r="R69" s="2033"/>
      <c r="S69" s="2042"/>
      <c r="T69" s="2043"/>
      <c r="U69" s="2043"/>
      <c r="V69" s="2043"/>
      <c r="X69" s="2086"/>
      <c r="Y69" s="2086"/>
      <c r="Z69" s="2086"/>
    </row>
    <row r="70" spans="1:26">
      <c r="A70" s="2029" t="s">
        <v>494</v>
      </c>
      <c r="B70" s="2030">
        <f t="shared" ref="B70:C72" si="272">B71+(B$69-B$73)*I70/SUM(I$69:I$72)</f>
        <v>149.00125628140702</v>
      </c>
      <c r="C70" s="2030">
        <f t="shared" si="272"/>
        <v>137.95592286501378</v>
      </c>
      <c r="D70" s="2030">
        <f t="shared" si="246"/>
        <v>137.95592286501378</v>
      </c>
      <c r="E70" s="2030">
        <f t="shared" ref="E70:F72" si="273">E71+(E$69-E$73)*K70/SUM(K$69:K$72)</f>
        <v>169.97231450719823</v>
      </c>
      <c r="F70" s="2030">
        <f t="shared" si="273"/>
        <v>116.21390374331551</v>
      </c>
      <c r="G70" s="3531">
        <v>2006</v>
      </c>
      <c r="H70" s="2051">
        <v>3</v>
      </c>
      <c r="I70" s="2051">
        <v>0.92</v>
      </c>
      <c r="J70" s="2051">
        <v>1.08</v>
      </c>
      <c r="K70" s="2051">
        <v>0.73</v>
      </c>
      <c r="L70" s="2052">
        <v>1.08</v>
      </c>
      <c r="N70" s="2084">
        <f t="shared" si="270"/>
        <v>1.7587939698492462E-2</v>
      </c>
      <c r="O70" s="2085">
        <f t="shared" si="270"/>
        <v>1.1355750425840628E-2</v>
      </c>
      <c r="P70" s="2085">
        <f t="shared" si="271"/>
        <v>2.0862358446754544E-2</v>
      </c>
      <c r="Q70" s="2085">
        <f t="shared" si="271"/>
        <v>1.0132282578103011E-2</v>
      </c>
      <c r="R70" s="2033"/>
      <c r="S70" s="2032"/>
      <c r="T70" s="2017"/>
      <c r="U70" s="2017"/>
      <c r="V70" s="2017"/>
      <c r="X70" s="2086"/>
      <c r="Y70" s="2086"/>
      <c r="Z70" s="2086"/>
    </row>
    <row r="71" spans="1:26">
      <c r="A71" s="2029" t="s">
        <v>495</v>
      </c>
      <c r="B71" s="2030">
        <f t="shared" si="272"/>
        <v>146.57412060301507</v>
      </c>
      <c r="C71" s="2030">
        <f t="shared" si="272"/>
        <v>136.46831955922866</v>
      </c>
      <c r="D71" s="2030">
        <f t="shared" si="246"/>
        <v>136.46831955922866</v>
      </c>
      <c r="E71" s="2030">
        <f t="shared" si="273"/>
        <v>166.73864894795128</v>
      </c>
      <c r="F71" s="2030">
        <f t="shared" si="273"/>
        <v>115.05882352941177</v>
      </c>
      <c r="G71" s="3531">
        <v>2006</v>
      </c>
      <c r="H71" s="2040">
        <v>2</v>
      </c>
      <c r="I71" s="2040">
        <v>0.96</v>
      </c>
      <c r="J71" s="2040">
        <v>0.25</v>
      </c>
      <c r="K71" s="2040">
        <v>1.9</v>
      </c>
      <c r="L71" s="2041">
        <v>0.95</v>
      </c>
      <c r="N71" s="2084">
        <f t="shared" si="270"/>
        <v>1.8352632728861701E-2</v>
      </c>
      <c r="O71" s="2085">
        <f t="shared" si="270"/>
        <v>2.6286459319075526E-3</v>
      </c>
      <c r="P71" s="2085">
        <f t="shared" si="271"/>
        <v>5.4299289107991269E-2</v>
      </c>
      <c r="Q71" s="2085">
        <f t="shared" si="271"/>
        <v>8.9126559714794995E-3</v>
      </c>
      <c r="R71" s="2033"/>
      <c r="S71" s="2032"/>
      <c r="T71" s="2017"/>
      <c r="U71" s="2017"/>
      <c r="V71" s="2017"/>
      <c r="X71" s="2086"/>
      <c r="Y71" s="2086"/>
      <c r="Z71" s="2086"/>
    </row>
    <row r="72" spans="1:26">
      <c r="A72" s="2029" t="s">
        <v>496</v>
      </c>
      <c r="B72" s="2030">
        <f t="shared" si="272"/>
        <v>144.04145728643215</v>
      </c>
      <c r="C72" s="2030">
        <f t="shared" si="272"/>
        <v>136.12396694214877</v>
      </c>
      <c r="D72" s="2030">
        <f t="shared" si="246"/>
        <v>136.12396694214877</v>
      </c>
      <c r="E72" s="2030">
        <f t="shared" si="273"/>
        <v>158.32225913621264</v>
      </c>
      <c r="F72" s="2030">
        <f t="shared" si="273"/>
        <v>114.04278074866311</v>
      </c>
      <c r="G72" s="3532">
        <v>2006</v>
      </c>
      <c r="H72" s="2031">
        <v>1</v>
      </c>
      <c r="I72" s="2031">
        <v>2.29</v>
      </c>
      <c r="J72" s="2031">
        <v>3.72</v>
      </c>
      <c r="K72" s="2031">
        <v>0.75</v>
      </c>
      <c r="L72" s="2035">
        <v>0.04</v>
      </c>
      <c r="N72" s="2087">
        <f t="shared" si="270"/>
        <v>4.3778675988638847E-2</v>
      </c>
      <c r="O72" s="2088">
        <f t="shared" si="270"/>
        <v>3.9114251466784385E-2</v>
      </c>
      <c r="P72" s="2088">
        <f t="shared" si="271"/>
        <v>2.1433929911049188E-2</v>
      </c>
      <c r="Q72" s="2088">
        <f t="shared" si="271"/>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46"/>
        <v>131</v>
      </c>
      <c r="E73" s="2053">
        <v>155</v>
      </c>
      <c r="F73" s="2054">
        <v>114</v>
      </c>
      <c r="G73" s="3530">
        <v>2005</v>
      </c>
      <c r="H73" s="2046">
        <v>4</v>
      </c>
      <c r="I73" s="2046">
        <v>3.29</v>
      </c>
      <c r="J73" s="2046">
        <v>1.44</v>
      </c>
      <c r="K73" s="2046">
        <v>0.66</v>
      </c>
      <c r="L73" s="2047">
        <v>7.78</v>
      </c>
      <c r="N73" s="2084">
        <f t="shared" ref="N73:O76" si="274">I73/SUM(I$73:I$76)*(B$73/B$77-1)</f>
        <v>9.9404603216919935E-2</v>
      </c>
      <c r="O73" s="2085">
        <f t="shared" si="274"/>
        <v>4.7636550760861554E-2</v>
      </c>
      <c r="P73" s="2085">
        <f t="shared" ref="P73:Q76" si="275">K73/SUM(K$73:K$76)*(E$73/E$77-1)</f>
        <v>8.3756345177664976E-2</v>
      </c>
      <c r="Q73" s="2085">
        <f t="shared" si="275"/>
        <v>5.2148766661559584E-2</v>
      </c>
      <c r="R73" s="2033"/>
      <c r="S73" s="2042"/>
      <c r="T73" s="2043"/>
      <c r="U73" s="2043"/>
      <c r="V73" s="2043"/>
      <c r="X73" s="2086"/>
      <c r="Y73" s="2086"/>
      <c r="Z73" s="2086"/>
    </row>
    <row r="74" spans="1:26">
      <c r="A74" s="2029" t="s">
        <v>498</v>
      </c>
      <c r="B74" s="2030">
        <f t="shared" ref="B74:C76" si="276">B75+(B$73-B$77)*I74/SUM(I$73:I$76)</f>
        <v>125.9720430107527</v>
      </c>
      <c r="C74" s="2030">
        <f t="shared" si="276"/>
        <v>125.1883408071749</v>
      </c>
      <c r="D74" s="2030">
        <f t="shared" si="246"/>
        <v>125.1883408071749</v>
      </c>
      <c r="E74" s="2030">
        <f t="shared" ref="E74:F76" si="277">E75+(E$73-E$77)*K74/SUM(K$73:K$76)</f>
        <v>144.61421319796952</v>
      </c>
      <c r="F74" s="2030">
        <f t="shared" si="277"/>
        <v>108.42008196721311</v>
      </c>
      <c r="G74" s="3531">
        <v>2005</v>
      </c>
      <c r="H74" s="2051">
        <v>3</v>
      </c>
      <c r="I74" s="2051">
        <v>0.46</v>
      </c>
      <c r="J74" s="2051">
        <v>0.32</v>
      </c>
      <c r="K74" s="2051">
        <v>0.42</v>
      </c>
      <c r="L74" s="2052">
        <v>0.64</v>
      </c>
      <c r="N74" s="2084">
        <f t="shared" si="274"/>
        <v>1.3898515951301874E-2</v>
      </c>
      <c r="O74" s="2085">
        <f t="shared" si="274"/>
        <v>1.0585900169080346E-2</v>
      </c>
      <c r="P74" s="2085">
        <f t="shared" si="275"/>
        <v>5.3299492385786795E-2</v>
      </c>
      <c r="Q74" s="2085">
        <f t="shared" si="275"/>
        <v>4.2898728359123568E-3</v>
      </c>
      <c r="R74" s="2033"/>
      <c r="S74" s="2032"/>
      <c r="T74" s="2017"/>
      <c r="U74" s="2017"/>
      <c r="V74" s="2017"/>
      <c r="X74" s="2086"/>
      <c r="Y74" s="2086"/>
      <c r="Z74" s="2086"/>
    </row>
    <row r="75" spans="1:26">
      <c r="A75" s="2029" t="s">
        <v>499</v>
      </c>
      <c r="B75" s="2030">
        <f t="shared" si="276"/>
        <v>124.29032258064517</v>
      </c>
      <c r="C75" s="2030">
        <f t="shared" si="276"/>
        <v>123.8968609865471</v>
      </c>
      <c r="D75" s="2030">
        <f t="shared" si="246"/>
        <v>123.8968609865471</v>
      </c>
      <c r="E75" s="2030">
        <f t="shared" si="277"/>
        <v>138.00507614213197</v>
      </c>
      <c r="F75" s="2030">
        <f t="shared" si="277"/>
        <v>107.96106557377048</v>
      </c>
      <c r="G75" s="3531">
        <v>2005</v>
      </c>
      <c r="H75" s="2040">
        <v>2</v>
      </c>
      <c r="I75" s="2040">
        <v>0.47</v>
      </c>
      <c r="J75" s="2040">
        <v>0.1</v>
      </c>
      <c r="K75" s="2040">
        <v>0.52</v>
      </c>
      <c r="L75" s="2041">
        <v>0.79</v>
      </c>
      <c r="N75" s="2084">
        <f t="shared" si="274"/>
        <v>1.420065760241713E-2</v>
      </c>
      <c r="O75" s="2085">
        <f t="shared" si="274"/>
        <v>3.3080938028376083E-3</v>
      </c>
      <c r="P75" s="2085">
        <f t="shared" si="275"/>
        <v>6.598984771573603E-2</v>
      </c>
      <c r="Q75" s="2085">
        <f t="shared" si="275"/>
        <v>5.2953117818293153E-3</v>
      </c>
      <c r="R75" s="2033"/>
      <c r="S75" s="2032"/>
      <c r="T75" s="2017"/>
      <c r="U75" s="2017"/>
      <c r="V75" s="2017"/>
      <c r="X75" s="2086"/>
      <c r="Y75" s="2086"/>
      <c r="Z75" s="2086"/>
    </row>
    <row r="76" spans="1:26">
      <c r="A76" s="2029" t="s">
        <v>500</v>
      </c>
      <c r="B76" s="2030">
        <f t="shared" si="276"/>
        <v>122.57204301075269</v>
      </c>
      <c r="C76" s="2030">
        <f t="shared" si="276"/>
        <v>123.4932735426009</v>
      </c>
      <c r="D76" s="2030">
        <f t="shared" si="246"/>
        <v>123.4932735426009</v>
      </c>
      <c r="E76" s="2030">
        <f t="shared" si="277"/>
        <v>129.82233502538071</v>
      </c>
      <c r="F76" s="2030">
        <f t="shared" si="277"/>
        <v>107.39446721311475</v>
      </c>
      <c r="G76" s="3532">
        <v>2005</v>
      </c>
      <c r="H76" s="2031">
        <v>1</v>
      </c>
      <c r="I76" s="2031">
        <v>0.43</v>
      </c>
      <c r="J76" s="2031">
        <v>0.37</v>
      </c>
      <c r="K76" s="2031">
        <v>0.37</v>
      </c>
      <c r="L76" s="2035">
        <v>0.55000000000000004</v>
      </c>
      <c r="N76" s="2087">
        <f t="shared" si="274"/>
        <v>1.2992090997956099E-2</v>
      </c>
      <c r="O76" s="2088">
        <f t="shared" si="274"/>
        <v>1.2239947070499151E-2</v>
      </c>
      <c r="P76" s="2088">
        <f t="shared" si="275"/>
        <v>4.6954314720812178E-2</v>
      </c>
      <c r="Q76" s="2088">
        <f t="shared" si="275"/>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46"/>
        <v>122</v>
      </c>
      <c r="E77" s="2072">
        <v>124</v>
      </c>
      <c r="F77" s="2073">
        <v>107</v>
      </c>
      <c r="G77" s="3530">
        <v>2004</v>
      </c>
      <c r="H77" s="2046">
        <v>4</v>
      </c>
      <c r="I77" s="2046">
        <v>0.33</v>
      </c>
      <c r="J77" s="2046">
        <v>0.5</v>
      </c>
      <c r="K77" s="2046">
        <v>0.5</v>
      </c>
      <c r="L77" s="2047">
        <v>0</v>
      </c>
      <c r="N77" s="2084">
        <f t="shared" ref="N77:O80" si="278">I77/SUM(I$77:I$80)*(B$77/B$81-1)</f>
        <v>1.3391770148526898E-2</v>
      </c>
      <c r="O77" s="2085">
        <f t="shared" si="278"/>
        <v>1.063264221158958E-2</v>
      </c>
      <c r="P77" s="2085">
        <f t="shared" ref="P77:Q80" si="279">K77/SUM(K$77:K$80)*(E$77/E$81-1)</f>
        <v>2.2244466688911134E-2</v>
      </c>
      <c r="Q77" s="2085">
        <f t="shared" si="279"/>
        <v>0</v>
      </c>
      <c r="R77" s="2033"/>
      <c r="S77" s="2042"/>
      <c r="T77" s="2043"/>
      <c r="U77" s="2043"/>
      <c r="V77" s="2043"/>
      <c r="X77" s="2086"/>
      <c r="Y77" s="2086"/>
      <c r="Z77" s="2086"/>
    </row>
    <row r="78" spans="1:26">
      <c r="A78" s="2029" t="s">
        <v>502</v>
      </c>
      <c r="B78" s="2030">
        <f t="shared" ref="B78:C80" si="280">B79+(B$77-B$81)*I78/SUM(I$77:I$80)</f>
        <v>119.51351351351352</v>
      </c>
      <c r="C78" s="2030">
        <f t="shared" si="280"/>
        <v>120.7878787878788</v>
      </c>
      <c r="D78" s="2030">
        <f t="shared" si="246"/>
        <v>120.7878787878788</v>
      </c>
      <c r="E78" s="2030">
        <f t="shared" ref="E78:F80" si="281">E79+(E$77-E$81)*K78/SUM(K$77:K$80)</f>
        <v>121.5975975975976</v>
      </c>
      <c r="F78" s="2030">
        <f t="shared" si="281"/>
        <v>107</v>
      </c>
      <c r="G78" s="3531">
        <v>2004</v>
      </c>
      <c r="H78" s="2051">
        <v>3</v>
      </c>
      <c r="I78" s="2051">
        <v>0.56000000000000005</v>
      </c>
      <c r="J78" s="2051">
        <v>0.8</v>
      </c>
      <c r="K78" s="2051">
        <v>0.83</v>
      </c>
      <c r="L78" s="2052">
        <v>0.06</v>
      </c>
      <c r="N78" s="2084">
        <f t="shared" si="278"/>
        <v>2.2725428130833527E-2</v>
      </c>
      <c r="O78" s="2085">
        <f t="shared" si="278"/>
        <v>1.7012227538543329E-2</v>
      </c>
      <c r="P78" s="2085">
        <f t="shared" si="279"/>
        <v>3.6925814703592477E-2</v>
      </c>
      <c r="Q78" s="2085">
        <f t="shared" si="279"/>
        <v>2.8846153846153744E-2</v>
      </c>
      <c r="R78" s="2033"/>
      <c r="S78" s="2032"/>
      <c r="T78" s="2017"/>
      <c r="U78" s="2017"/>
      <c r="V78" s="2017"/>
      <c r="X78" s="2086"/>
      <c r="Y78" s="2086"/>
      <c r="Z78" s="2086"/>
    </row>
    <row r="79" spans="1:26">
      <c r="A79" s="2029" t="s">
        <v>503</v>
      </c>
      <c r="B79" s="2030">
        <f t="shared" si="280"/>
        <v>116.99099099099099</v>
      </c>
      <c r="C79" s="2030">
        <f t="shared" si="280"/>
        <v>118.84848484848486</v>
      </c>
      <c r="D79" s="2030">
        <f t="shared" si="246"/>
        <v>118.84848484848486</v>
      </c>
      <c r="E79" s="2030">
        <f t="shared" si="281"/>
        <v>117.60960960960961</v>
      </c>
      <c r="F79" s="2030">
        <f t="shared" si="281"/>
        <v>104</v>
      </c>
      <c r="G79" s="3531">
        <v>2004</v>
      </c>
      <c r="H79" s="2040">
        <v>2</v>
      </c>
      <c r="I79" s="2040">
        <v>1</v>
      </c>
      <c r="J79" s="2040">
        <v>1.5</v>
      </c>
      <c r="K79" s="2040">
        <v>1.5</v>
      </c>
      <c r="L79" s="2041">
        <v>0</v>
      </c>
      <c r="N79" s="2084">
        <f t="shared" si="278"/>
        <v>4.0581121662202721E-2</v>
      </c>
      <c r="O79" s="2085">
        <f t="shared" si="278"/>
        <v>3.1897926634768738E-2</v>
      </c>
      <c r="P79" s="2085">
        <f t="shared" si="279"/>
        <v>6.6733400066733395E-2</v>
      </c>
      <c r="Q79" s="2085">
        <f t="shared" si="279"/>
        <v>0</v>
      </c>
      <c r="R79" s="2033"/>
      <c r="S79" s="2032"/>
      <c r="T79" s="2017"/>
      <c r="U79" s="2017"/>
      <c r="V79" s="2017"/>
      <c r="X79" s="2086"/>
      <c r="Y79" s="2086"/>
      <c r="Z79" s="2086"/>
    </row>
    <row r="80" spans="1:26" s="2078" customFormat="1" ht="13.5" thickBot="1">
      <c r="A80" s="2029" t="s">
        <v>504</v>
      </c>
      <c r="B80" s="2075">
        <f t="shared" si="280"/>
        <v>112.48648648648648</v>
      </c>
      <c r="C80" s="2075">
        <f t="shared" si="280"/>
        <v>115.21212121212122</v>
      </c>
      <c r="D80" s="2075">
        <f t="shared" si="246"/>
        <v>115.21212121212122</v>
      </c>
      <c r="E80" s="2075">
        <f t="shared" si="281"/>
        <v>110.4024024024024</v>
      </c>
      <c r="F80" s="2075">
        <f t="shared" si="281"/>
        <v>104</v>
      </c>
      <c r="G80" s="3532">
        <v>2004</v>
      </c>
      <c r="H80" s="2076">
        <v>1</v>
      </c>
      <c r="I80" s="2076">
        <v>0.33</v>
      </c>
      <c r="J80" s="2076">
        <v>0.5</v>
      </c>
      <c r="K80" s="2076">
        <v>0.5</v>
      </c>
      <c r="L80" s="2077">
        <v>0</v>
      </c>
      <c r="N80" s="2089">
        <f t="shared" si="278"/>
        <v>1.3391770148526898E-2</v>
      </c>
      <c r="O80" s="2090">
        <f t="shared" si="278"/>
        <v>1.063264221158958E-2</v>
      </c>
      <c r="P80" s="2090">
        <f t="shared" si="279"/>
        <v>2.2244466688911134E-2</v>
      </c>
      <c r="Q80" s="2090">
        <f t="shared" si="279"/>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46"/>
        <v>114</v>
      </c>
      <c r="E81" s="2092">
        <v>108</v>
      </c>
      <c r="F81" s="2093">
        <v>104</v>
      </c>
      <c r="G81" s="3530">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282">B83+(B$81-B$85)/4</f>
        <v>109.75</v>
      </c>
      <c r="C82" s="2096">
        <f t="shared" si="282"/>
        <v>112.25</v>
      </c>
      <c r="D82" s="2096">
        <f t="shared" si="246"/>
        <v>112.25</v>
      </c>
      <c r="E82" s="2096">
        <f t="shared" ref="E82:F84" si="283">E83+(E$81-E$85)/4</f>
        <v>107.25</v>
      </c>
      <c r="F82" s="2096">
        <f t="shared" si="283"/>
        <v>103.5</v>
      </c>
      <c r="G82" s="3531">
        <v>2003</v>
      </c>
      <c r="H82" s="2051">
        <v>3</v>
      </c>
      <c r="I82" s="2094"/>
      <c r="J82" s="2094"/>
      <c r="K82" s="2094"/>
      <c r="L82" s="2094"/>
      <c r="X82" s="2086"/>
      <c r="Y82" s="2086"/>
      <c r="Z82" s="2086"/>
    </row>
    <row r="83" spans="1:26">
      <c r="A83" s="2029" t="s">
        <v>507</v>
      </c>
      <c r="B83" s="2096">
        <f t="shared" si="282"/>
        <v>108.5</v>
      </c>
      <c r="C83" s="2096">
        <f t="shared" si="282"/>
        <v>110.5</v>
      </c>
      <c r="D83" s="2096">
        <f t="shared" si="246"/>
        <v>110.5</v>
      </c>
      <c r="E83" s="2096">
        <f t="shared" si="283"/>
        <v>106.5</v>
      </c>
      <c r="F83" s="2096">
        <f t="shared" si="283"/>
        <v>103</v>
      </c>
      <c r="G83" s="3531">
        <v>2003</v>
      </c>
      <c r="H83" s="2040">
        <v>2</v>
      </c>
      <c r="I83" s="2094"/>
      <c r="J83" s="2094"/>
      <c r="K83" s="2094"/>
      <c r="L83" s="2094"/>
      <c r="X83" s="2086"/>
      <c r="Y83" s="2086"/>
      <c r="Z83" s="2086"/>
    </row>
    <row r="84" spans="1:26" ht="13.5" thickBot="1">
      <c r="A84" s="2029" t="s">
        <v>508</v>
      </c>
      <c r="B84" s="2096">
        <f t="shared" si="282"/>
        <v>107.25</v>
      </c>
      <c r="C84" s="2096">
        <f t="shared" si="282"/>
        <v>108.75</v>
      </c>
      <c r="D84" s="2096">
        <f t="shared" si="246"/>
        <v>108.75</v>
      </c>
      <c r="E84" s="2096">
        <f t="shared" si="283"/>
        <v>105.75</v>
      </c>
      <c r="F84" s="2096">
        <f t="shared" si="283"/>
        <v>102.5</v>
      </c>
      <c r="G84" s="3532">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46"/>
        <v>107</v>
      </c>
      <c r="E85" s="2098">
        <v>105</v>
      </c>
      <c r="F85" s="2099">
        <v>102</v>
      </c>
      <c r="G85" s="3530">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284">B87+(B$85-B$89)/4</f>
        <v>105</v>
      </c>
      <c r="C86" s="2096">
        <f t="shared" si="284"/>
        <v>106</v>
      </c>
      <c r="D86" s="2096">
        <f t="shared" si="246"/>
        <v>106</v>
      </c>
      <c r="E86" s="2096">
        <f t="shared" ref="E86:F88" si="285">E87+(E$85-E$89)/4</f>
        <v>104.5</v>
      </c>
      <c r="F86" s="2096">
        <f t="shared" si="285"/>
        <v>101.5</v>
      </c>
      <c r="G86" s="3531">
        <v>2002</v>
      </c>
      <c r="H86" s="2051">
        <v>3</v>
      </c>
      <c r="I86" s="2094"/>
      <c r="J86" s="2094"/>
      <c r="K86" s="2094"/>
      <c r="L86" s="2094"/>
      <c r="X86" s="2086"/>
      <c r="Y86" s="2086"/>
      <c r="Z86" s="2086"/>
    </row>
    <row r="87" spans="1:26">
      <c r="A87" s="2029" t="s">
        <v>511</v>
      </c>
      <c r="B87" s="2096">
        <f t="shared" si="284"/>
        <v>104</v>
      </c>
      <c r="C87" s="2096">
        <f t="shared" si="284"/>
        <v>105</v>
      </c>
      <c r="D87" s="2096">
        <f t="shared" si="246"/>
        <v>105</v>
      </c>
      <c r="E87" s="2096">
        <f t="shared" si="285"/>
        <v>104</v>
      </c>
      <c r="F87" s="2096">
        <f t="shared" si="285"/>
        <v>101</v>
      </c>
      <c r="G87" s="3531">
        <v>2002</v>
      </c>
      <c r="H87" s="2040">
        <v>2</v>
      </c>
      <c r="I87" s="2094"/>
      <c r="J87" s="2094"/>
      <c r="K87" s="2094"/>
      <c r="L87" s="2094"/>
      <c r="X87" s="2086"/>
      <c r="Y87" s="2086"/>
      <c r="Z87" s="2086"/>
    </row>
    <row r="88" spans="1:26" s="2061" customFormat="1" ht="13.5" thickBot="1">
      <c r="A88" s="2057" t="s">
        <v>512</v>
      </c>
      <c r="B88" s="2064">
        <f t="shared" si="284"/>
        <v>103</v>
      </c>
      <c r="C88" s="2064">
        <f t="shared" si="284"/>
        <v>104</v>
      </c>
      <c r="D88" s="2064">
        <f t="shared" si="246"/>
        <v>104</v>
      </c>
      <c r="E88" s="2064">
        <f t="shared" si="285"/>
        <v>103.5</v>
      </c>
      <c r="F88" s="2064">
        <f t="shared" si="285"/>
        <v>100.5</v>
      </c>
      <c r="G88" s="3532">
        <v>2002</v>
      </c>
      <c r="H88" s="2100">
        <v>1</v>
      </c>
      <c r="I88" s="2101"/>
      <c r="J88" s="2101"/>
      <c r="K88" s="2101"/>
      <c r="L88" s="2101"/>
      <c r="N88" s="2102"/>
      <c r="S88" s="2102"/>
      <c r="X88" s="2103"/>
      <c r="Y88" s="2103"/>
      <c r="Z88" s="2103"/>
    </row>
    <row r="89" spans="1:26" ht="13.5" thickBot="1">
      <c r="B89" s="2104">
        <v>102</v>
      </c>
      <c r="C89" s="2105">
        <v>103</v>
      </c>
      <c r="D89" s="2105">
        <f t="shared" si="246"/>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E1" sqref="E1"/>
    </sheetView>
  </sheetViews>
  <sheetFormatPr defaultRowHeight="13.5"/>
  <cols>
    <col min="1" max="1" width="4.875" style="1149" customWidth="1"/>
    <col min="2" max="2" width="13.25" style="1155" customWidth="1"/>
    <col min="3" max="3" width="15.625" style="1155" customWidth="1"/>
    <col min="4" max="4" width="9.375" style="1155" bestFit="1" customWidth="1"/>
    <col min="5" max="5" width="13.5" style="1155" customWidth="1"/>
    <col min="6" max="6" width="9" style="1155"/>
    <col min="7" max="7" width="9.375" style="1155" bestFit="1" customWidth="1"/>
    <col min="8" max="8" width="12.25" style="1155" customWidth="1"/>
    <col min="9" max="9" width="9" style="1155"/>
    <col min="10" max="10" width="9.375" style="1155" bestFit="1" customWidth="1"/>
    <col min="11" max="11" width="4" style="1149" customWidth="1"/>
    <col min="12" max="12" width="5.125" style="1155" customWidth="1"/>
    <col min="13" max="13" width="13.75" style="1155" customWidth="1"/>
    <col min="14" max="256" width="9" style="1155"/>
    <col min="257" max="257" width="4.875" style="1146" customWidth="1"/>
    <col min="258" max="258" width="13.25" style="1146" customWidth="1"/>
    <col min="259" max="259" width="15.625" style="1146" customWidth="1"/>
    <col min="260" max="260" width="9.375" style="1146" bestFit="1" customWidth="1"/>
    <col min="261" max="261" width="13.5" style="1146" customWidth="1"/>
    <col min="262" max="262" width="9" style="1146"/>
    <col min="263" max="263" width="9.375" style="1146" bestFit="1" customWidth="1"/>
    <col min="264" max="265" width="9" style="1146"/>
    <col min="266" max="266" width="9.375" style="1146" bestFit="1" customWidth="1"/>
    <col min="267" max="267" width="4" style="1146" customWidth="1"/>
    <col min="268" max="268" width="5.125" style="1146" customWidth="1"/>
    <col min="269" max="269" width="13.75" style="1146" customWidth="1"/>
    <col min="270" max="512" width="9" style="1146"/>
    <col min="513" max="513" width="4.875" style="1146" customWidth="1"/>
    <col min="514" max="514" width="13.25" style="1146" customWidth="1"/>
    <col min="515" max="515" width="15.625" style="1146" customWidth="1"/>
    <col min="516" max="516" width="9.375" style="1146" bestFit="1" customWidth="1"/>
    <col min="517" max="517" width="13.5" style="1146" customWidth="1"/>
    <col min="518" max="518" width="9" style="1146"/>
    <col min="519" max="519" width="9.375" style="1146" bestFit="1" customWidth="1"/>
    <col min="520" max="521" width="9" style="1146"/>
    <col min="522" max="522" width="9.375" style="1146" bestFit="1" customWidth="1"/>
    <col min="523" max="523" width="4" style="1146" customWidth="1"/>
    <col min="524" max="524" width="5.125" style="1146" customWidth="1"/>
    <col min="525" max="525" width="13.75" style="1146" customWidth="1"/>
    <col min="526" max="768" width="9" style="1146"/>
    <col min="769" max="769" width="4.875" style="1146" customWidth="1"/>
    <col min="770" max="770" width="13.25" style="1146" customWidth="1"/>
    <col min="771" max="771" width="15.625" style="1146" customWidth="1"/>
    <col min="772" max="772" width="9.375" style="1146" bestFit="1" customWidth="1"/>
    <col min="773" max="773" width="13.5" style="1146" customWidth="1"/>
    <col min="774" max="774" width="9" style="1146"/>
    <col min="775" max="775" width="9.375" style="1146" bestFit="1" customWidth="1"/>
    <col min="776" max="777" width="9" style="1146"/>
    <col min="778" max="778" width="9.375" style="1146" bestFit="1" customWidth="1"/>
    <col min="779" max="779" width="4" style="1146" customWidth="1"/>
    <col min="780" max="780" width="5.125" style="1146" customWidth="1"/>
    <col min="781" max="781" width="13.75" style="1146" customWidth="1"/>
    <col min="782" max="1024" width="9" style="1146"/>
    <col min="1025" max="1025" width="4.875" style="1146" customWidth="1"/>
    <col min="1026" max="1026" width="13.25" style="1146" customWidth="1"/>
    <col min="1027" max="1027" width="15.625" style="1146" customWidth="1"/>
    <col min="1028" max="1028" width="9.375" style="1146" bestFit="1" customWidth="1"/>
    <col min="1029" max="1029" width="13.5" style="1146" customWidth="1"/>
    <col min="1030" max="1030" width="9" style="1146"/>
    <col min="1031" max="1031" width="9.375" style="1146" bestFit="1" customWidth="1"/>
    <col min="1032" max="1033" width="9" style="1146"/>
    <col min="1034" max="1034" width="9.375" style="1146" bestFit="1" customWidth="1"/>
    <col min="1035" max="1035" width="4" style="1146" customWidth="1"/>
    <col min="1036" max="1036" width="5.125" style="1146" customWidth="1"/>
    <col min="1037" max="1037" width="13.75" style="1146" customWidth="1"/>
    <col min="1038" max="1280" width="9" style="1146"/>
    <col min="1281" max="1281" width="4.875" style="1146" customWidth="1"/>
    <col min="1282" max="1282" width="13.25" style="1146" customWidth="1"/>
    <col min="1283" max="1283" width="15.625" style="1146" customWidth="1"/>
    <col min="1284" max="1284" width="9.375" style="1146" bestFit="1" customWidth="1"/>
    <col min="1285" max="1285" width="13.5" style="1146" customWidth="1"/>
    <col min="1286" max="1286" width="9" style="1146"/>
    <col min="1287" max="1287" width="9.375" style="1146" bestFit="1" customWidth="1"/>
    <col min="1288" max="1289" width="9" style="1146"/>
    <col min="1290" max="1290" width="9.375" style="1146" bestFit="1" customWidth="1"/>
    <col min="1291" max="1291" width="4" style="1146" customWidth="1"/>
    <col min="1292" max="1292" width="5.125" style="1146" customWidth="1"/>
    <col min="1293" max="1293" width="13.75" style="1146" customWidth="1"/>
    <col min="1294" max="1536" width="9" style="1146"/>
    <col min="1537" max="1537" width="4.875" style="1146" customWidth="1"/>
    <col min="1538" max="1538" width="13.25" style="1146" customWidth="1"/>
    <col min="1539" max="1539" width="15.625" style="1146" customWidth="1"/>
    <col min="1540" max="1540" width="9.375" style="1146" bestFit="1" customWidth="1"/>
    <col min="1541" max="1541" width="13.5" style="1146" customWidth="1"/>
    <col min="1542" max="1542" width="9" style="1146"/>
    <col min="1543" max="1543" width="9.375" style="1146" bestFit="1" customWidth="1"/>
    <col min="1544" max="1545" width="9" style="1146"/>
    <col min="1546" max="1546" width="9.375" style="1146" bestFit="1" customWidth="1"/>
    <col min="1547" max="1547" width="4" style="1146" customWidth="1"/>
    <col min="1548" max="1548" width="5.125" style="1146" customWidth="1"/>
    <col min="1549" max="1549" width="13.75" style="1146" customWidth="1"/>
    <col min="1550" max="1792" width="9" style="1146"/>
    <col min="1793" max="1793" width="4.875" style="1146" customWidth="1"/>
    <col min="1794" max="1794" width="13.25" style="1146" customWidth="1"/>
    <col min="1795" max="1795" width="15.625" style="1146" customWidth="1"/>
    <col min="1796" max="1796" width="9.375" style="1146" bestFit="1" customWidth="1"/>
    <col min="1797" max="1797" width="13.5" style="1146" customWidth="1"/>
    <col min="1798" max="1798" width="9" style="1146"/>
    <col min="1799" max="1799" width="9.375" style="1146" bestFit="1" customWidth="1"/>
    <col min="1800" max="1801" width="9" style="1146"/>
    <col min="1802" max="1802" width="9.375" style="1146" bestFit="1" customWidth="1"/>
    <col min="1803" max="1803" width="4" style="1146" customWidth="1"/>
    <col min="1804" max="1804" width="5.125" style="1146" customWidth="1"/>
    <col min="1805" max="1805" width="13.75" style="1146" customWidth="1"/>
    <col min="1806" max="2048" width="9" style="1146"/>
    <col min="2049" max="2049" width="4.875" style="1146" customWidth="1"/>
    <col min="2050" max="2050" width="13.25" style="1146" customWidth="1"/>
    <col min="2051" max="2051" width="15.625" style="1146" customWidth="1"/>
    <col min="2052" max="2052" width="9.375" style="1146" bestFit="1" customWidth="1"/>
    <col min="2053" max="2053" width="13.5" style="1146" customWidth="1"/>
    <col min="2054" max="2054" width="9" style="1146"/>
    <col min="2055" max="2055" width="9.375" style="1146" bestFit="1" customWidth="1"/>
    <col min="2056" max="2057" width="9" style="1146"/>
    <col min="2058" max="2058" width="9.375" style="1146" bestFit="1" customWidth="1"/>
    <col min="2059" max="2059" width="4" style="1146" customWidth="1"/>
    <col min="2060" max="2060" width="5.125" style="1146" customWidth="1"/>
    <col min="2061" max="2061" width="13.75" style="1146" customWidth="1"/>
    <col min="2062" max="2304" width="9" style="1146"/>
    <col min="2305" max="2305" width="4.875" style="1146" customWidth="1"/>
    <col min="2306" max="2306" width="13.25" style="1146" customWidth="1"/>
    <col min="2307" max="2307" width="15.625" style="1146" customWidth="1"/>
    <col min="2308" max="2308" width="9.375" style="1146" bestFit="1" customWidth="1"/>
    <col min="2309" max="2309" width="13.5" style="1146" customWidth="1"/>
    <col min="2310" max="2310" width="9" style="1146"/>
    <col min="2311" max="2311" width="9.375" style="1146" bestFit="1" customWidth="1"/>
    <col min="2312" max="2313" width="9" style="1146"/>
    <col min="2314" max="2314" width="9.375" style="1146" bestFit="1" customWidth="1"/>
    <col min="2315" max="2315" width="4" style="1146" customWidth="1"/>
    <col min="2316" max="2316" width="5.125" style="1146" customWidth="1"/>
    <col min="2317" max="2317" width="13.75" style="1146" customWidth="1"/>
    <col min="2318" max="2560" width="9" style="1146"/>
    <col min="2561" max="2561" width="4.875" style="1146" customWidth="1"/>
    <col min="2562" max="2562" width="13.25" style="1146" customWidth="1"/>
    <col min="2563" max="2563" width="15.625" style="1146" customWidth="1"/>
    <col min="2564" max="2564" width="9.375" style="1146" bestFit="1" customWidth="1"/>
    <col min="2565" max="2565" width="13.5" style="1146" customWidth="1"/>
    <col min="2566" max="2566" width="9" style="1146"/>
    <col min="2567" max="2567" width="9.375" style="1146" bestFit="1" customWidth="1"/>
    <col min="2568" max="2569" width="9" style="1146"/>
    <col min="2570" max="2570" width="9.375" style="1146" bestFit="1" customWidth="1"/>
    <col min="2571" max="2571" width="4" style="1146" customWidth="1"/>
    <col min="2572" max="2572" width="5.125" style="1146" customWidth="1"/>
    <col min="2573" max="2573" width="13.75" style="1146" customWidth="1"/>
    <col min="2574" max="2816" width="9" style="1146"/>
    <col min="2817" max="2817" width="4.875" style="1146" customWidth="1"/>
    <col min="2818" max="2818" width="13.25" style="1146" customWidth="1"/>
    <col min="2819" max="2819" width="15.625" style="1146" customWidth="1"/>
    <col min="2820" max="2820" width="9.375" style="1146" bestFit="1" customWidth="1"/>
    <col min="2821" max="2821" width="13.5" style="1146" customWidth="1"/>
    <col min="2822" max="2822" width="9" style="1146"/>
    <col min="2823" max="2823" width="9.375" style="1146" bestFit="1" customWidth="1"/>
    <col min="2824" max="2825" width="9" style="1146"/>
    <col min="2826" max="2826" width="9.375" style="1146" bestFit="1" customWidth="1"/>
    <col min="2827" max="2827" width="4" style="1146" customWidth="1"/>
    <col min="2828" max="2828" width="5.125" style="1146" customWidth="1"/>
    <col min="2829" max="2829" width="13.75" style="1146" customWidth="1"/>
    <col min="2830" max="3072" width="9" style="1146"/>
    <col min="3073" max="3073" width="4.875" style="1146" customWidth="1"/>
    <col min="3074" max="3074" width="13.25" style="1146" customWidth="1"/>
    <col min="3075" max="3075" width="15.625" style="1146" customWidth="1"/>
    <col min="3076" max="3076" width="9.375" style="1146" bestFit="1" customWidth="1"/>
    <col min="3077" max="3077" width="13.5" style="1146" customWidth="1"/>
    <col min="3078" max="3078" width="9" style="1146"/>
    <col min="3079" max="3079" width="9.375" style="1146" bestFit="1" customWidth="1"/>
    <col min="3080" max="3081" width="9" style="1146"/>
    <col min="3082" max="3082" width="9.375" style="1146" bestFit="1" customWidth="1"/>
    <col min="3083" max="3083" width="4" style="1146" customWidth="1"/>
    <col min="3084" max="3084" width="5.125" style="1146" customWidth="1"/>
    <col min="3085" max="3085" width="13.75" style="1146" customWidth="1"/>
    <col min="3086" max="3328" width="9" style="1146"/>
    <col min="3329" max="3329" width="4.875" style="1146" customWidth="1"/>
    <col min="3330" max="3330" width="13.25" style="1146" customWidth="1"/>
    <col min="3331" max="3331" width="15.625" style="1146" customWidth="1"/>
    <col min="3332" max="3332" width="9.375" style="1146" bestFit="1" customWidth="1"/>
    <col min="3333" max="3333" width="13.5" style="1146" customWidth="1"/>
    <col min="3334" max="3334" width="9" style="1146"/>
    <col min="3335" max="3335" width="9.375" style="1146" bestFit="1" customWidth="1"/>
    <col min="3336" max="3337" width="9" style="1146"/>
    <col min="3338" max="3338" width="9.375" style="1146" bestFit="1" customWidth="1"/>
    <col min="3339" max="3339" width="4" style="1146" customWidth="1"/>
    <col min="3340" max="3340" width="5.125" style="1146" customWidth="1"/>
    <col min="3341" max="3341" width="13.75" style="1146" customWidth="1"/>
    <col min="3342" max="3584" width="9" style="1146"/>
    <col min="3585" max="3585" width="4.875" style="1146" customWidth="1"/>
    <col min="3586" max="3586" width="13.25" style="1146" customWidth="1"/>
    <col min="3587" max="3587" width="15.625" style="1146" customWidth="1"/>
    <col min="3588" max="3588" width="9.375" style="1146" bestFit="1" customWidth="1"/>
    <col min="3589" max="3589" width="13.5" style="1146" customWidth="1"/>
    <col min="3590" max="3590" width="9" style="1146"/>
    <col min="3591" max="3591" width="9.375" style="1146" bestFit="1" customWidth="1"/>
    <col min="3592" max="3593" width="9" style="1146"/>
    <col min="3594" max="3594" width="9.375" style="1146" bestFit="1" customWidth="1"/>
    <col min="3595" max="3595" width="4" style="1146" customWidth="1"/>
    <col min="3596" max="3596" width="5.125" style="1146" customWidth="1"/>
    <col min="3597" max="3597" width="13.75" style="1146" customWidth="1"/>
    <col min="3598" max="3840" width="9" style="1146"/>
    <col min="3841" max="3841" width="4.875" style="1146" customWidth="1"/>
    <col min="3842" max="3842" width="13.25" style="1146" customWidth="1"/>
    <col min="3843" max="3843" width="15.625" style="1146" customWidth="1"/>
    <col min="3844" max="3844" width="9.375" style="1146" bestFit="1" customWidth="1"/>
    <col min="3845" max="3845" width="13.5" style="1146" customWidth="1"/>
    <col min="3846" max="3846" width="9" style="1146"/>
    <col min="3847" max="3847" width="9.375" style="1146" bestFit="1" customWidth="1"/>
    <col min="3848" max="3849" width="9" style="1146"/>
    <col min="3850" max="3850" width="9.375" style="1146" bestFit="1" customWidth="1"/>
    <col min="3851" max="3851" width="4" style="1146" customWidth="1"/>
    <col min="3852" max="3852" width="5.125" style="1146" customWidth="1"/>
    <col min="3853" max="3853" width="13.75" style="1146" customWidth="1"/>
    <col min="3854" max="4096" width="9" style="1146"/>
    <col min="4097" max="4097" width="4.875" style="1146" customWidth="1"/>
    <col min="4098" max="4098" width="13.25" style="1146" customWidth="1"/>
    <col min="4099" max="4099" width="15.625" style="1146" customWidth="1"/>
    <col min="4100" max="4100" width="9.375" style="1146" bestFit="1" customWidth="1"/>
    <col min="4101" max="4101" width="13.5" style="1146" customWidth="1"/>
    <col min="4102" max="4102" width="9" style="1146"/>
    <col min="4103" max="4103" width="9.375" style="1146" bestFit="1" customWidth="1"/>
    <col min="4104" max="4105" width="9" style="1146"/>
    <col min="4106" max="4106" width="9.375" style="1146" bestFit="1" customWidth="1"/>
    <col min="4107" max="4107" width="4" style="1146" customWidth="1"/>
    <col min="4108" max="4108" width="5.125" style="1146" customWidth="1"/>
    <col min="4109" max="4109" width="13.75" style="1146" customWidth="1"/>
    <col min="4110" max="4352" width="9" style="1146"/>
    <col min="4353" max="4353" width="4.875" style="1146" customWidth="1"/>
    <col min="4354" max="4354" width="13.25" style="1146" customWidth="1"/>
    <col min="4355" max="4355" width="15.625" style="1146" customWidth="1"/>
    <col min="4356" max="4356" width="9.375" style="1146" bestFit="1" customWidth="1"/>
    <col min="4357" max="4357" width="13.5" style="1146" customWidth="1"/>
    <col min="4358" max="4358" width="9" style="1146"/>
    <col min="4359" max="4359" width="9.375" style="1146" bestFit="1" customWidth="1"/>
    <col min="4360" max="4361" width="9" style="1146"/>
    <col min="4362" max="4362" width="9.375" style="1146" bestFit="1" customWidth="1"/>
    <col min="4363" max="4363" width="4" style="1146" customWidth="1"/>
    <col min="4364" max="4364" width="5.125" style="1146" customWidth="1"/>
    <col min="4365" max="4365" width="13.75" style="1146" customWidth="1"/>
    <col min="4366" max="4608" width="9" style="1146"/>
    <col min="4609" max="4609" width="4.875" style="1146" customWidth="1"/>
    <col min="4610" max="4610" width="13.25" style="1146" customWidth="1"/>
    <col min="4611" max="4611" width="15.625" style="1146" customWidth="1"/>
    <col min="4612" max="4612" width="9.375" style="1146" bestFit="1" customWidth="1"/>
    <col min="4613" max="4613" width="13.5" style="1146" customWidth="1"/>
    <col min="4614" max="4614" width="9" style="1146"/>
    <col min="4615" max="4615" width="9.375" style="1146" bestFit="1" customWidth="1"/>
    <col min="4616" max="4617" width="9" style="1146"/>
    <col min="4618" max="4618" width="9.375" style="1146" bestFit="1" customWidth="1"/>
    <col min="4619" max="4619" width="4" style="1146" customWidth="1"/>
    <col min="4620" max="4620" width="5.125" style="1146" customWidth="1"/>
    <col min="4621" max="4621" width="13.75" style="1146" customWidth="1"/>
    <col min="4622" max="4864" width="9" style="1146"/>
    <col min="4865" max="4865" width="4.875" style="1146" customWidth="1"/>
    <col min="4866" max="4866" width="13.25" style="1146" customWidth="1"/>
    <col min="4867" max="4867" width="15.625" style="1146" customWidth="1"/>
    <col min="4868" max="4868" width="9.375" style="1146" bestFit="1" customWidth="1"/>
    <col min="4869" max="4869" width="13.5" style="1146" customWidth="1"/>
    <col min="4870" max="4870" width="9" style="1146"/>
    <col min="4871" max="4871" width="9.375" style="1146" bestFit="1" customWidth="1"/>
    <col min="4872" max="4873" width="9" style="1146"/>
    <col min="4874" max="4874" width="9.375" style="1146" bestFit="1" customWidth="1"/>
    <col min="4875" max="4875" width="4" style="1146" customWidth="1"/>
    <col min="4876" max="4876" width="5.125" style="1146" customWidth="1"/>
    <col min="4877" max="4877" width="13.75" style="1146" customWidth="1"/>
    <col min="4878" max="5120" width="9" style="1146"/>
    <col min="5121" max="5121" width="4.875" style="1146" customWidth="1"/>
    <col min="5122" max="5122" width="13.25" style="1146" customWidth="1"/>
    <col min="5123" max="5123" width="15.625" style="1146" customWidth="1"/>
    <col min="5124" max="5124" width="9.375" style="1146" bestFit="1" customWidth="1"/>
    <col min="5125" max="5125" width="13.5" style="1146" customWidth="1"/>
    <col min="5126" max="5126" width="9" style="1146"/>
    <col min="5127" max="5127" width="9.375" style="1146" bestFit="1" customWidth="1"/>
    <col min="5128" max="5129" width="9" style="1146"/>
    <col min="5130" max="5130" width="9.375" style="1146" bestFit="1" customWidth="1"/>
    <col min="5131" max="5131" width="4" style="1146" customWidth="1"/>
    <col min="5132" max="5132" width="5.125" style="1146" customWidth="1"/>
    <col min="5133" max="5133" width="13.75" style="1146" customWidth="1"/>
    <col min="5134" max="5376" width="9" style="1146"/>
    <col min="5377" max="5377" width="4.875" style="1146" customWidth="1"/>
    <col min="5378" max="5378" width="13.25" style="1146" customWidth="1"/>
    <col min="5379" max="5379" width="15.625" style="1146" customWidth="1"/>
    <col min="5380" max="5380" width="9.375" style="1146" bestFit="1" customWidth="1"/>
    <col min="5381" max="5381" width="13.5" style="1146" customWidth="1"/>
    <col min="5382" max="5382" width="9" style="1146"/>
    <col min="5383" max="5383" width="9.375" style="1146" bestFit="1" customWidth="1"/>
    <col min="5384" max="5385" width="9" style="1146"/>
    <col min="5386" max="5386" width="9.375" style="1146" bestFit="1" customWidth="1"/>
    <col min="5387" max="5387" width="4" style="1146" customWidth="1"/>
    <col min="5388" max="5388" width="5.125" style="1146" customWidth="1"/>
    <col min="5389" max="5389" width="13.75" style="1146" customWidth="1"/>
    <col min="5390" max="5632" width="9" style="1146"/>
    <col min="5633" max="5633" width="4.875" style="1146" customWidth="1"/>
    <col min="5634" max="5634" width="13.25" style="1146" customWidth="1"/>
    <col min="5635" max="5635" width="15.625" style="1146" customWidth="1"/>
    <col min="5636" max="5636" width="9.375" style="1146" bestFit="1" customWidth="1"/>
    <col min="5637" max="5637" width="13.5" style="1146" customWidth="1"/>
    <col min="5638" max="5638" width="9" style="1146"/>
    <col min="5639" max="5639" width="9.375" style="1146" bestFit="1" customWidth="1"/>
    <col min="5640" max="5641" width="9" style="1146"/>
    <col min="5642" max="5642" width="9.375" style="1146" bestFit="1" customWidth="1"/>
    <col min="5643" max="5643" width="4" style="1146" customWidth="1"/>
    <col min="5644" max="5644" width="5.125" style="1146" customWidth="1"/>
    <col min="5645" max="5645" width="13.75" style="1146" customWidth="1"/>
    <col min="5646" max="5888" width="9" style="1146"/>
    <col min="5889" max="5889" width="4.875" style="1146" customWidth="1"/>
    <col min="5890" max="5890" width="13.25" style="1146" customWidth="1"/>
    <col min="5891" max="5891" width="15.625" style="1146" customWidth="1"/>
    <col min="5892" max="5892" width="9.375" style="1146" bestFit="1" customWidth="1"/>
    <col min="5893" max="5893" width="13.5" style="1146" customWidth="1"/>
    <col min="5894" max="5894" width="9" style="1146"/>
    <col min="5895" max="5895" width="9.375" style="1146" bestFit="1" customWidth="1"/>
    <col min="5896" max="5897" width="9" style="1146"/>
    <col min="5898" max="5898" width="9.375" style="1146" bestFit="1" customWidth="1"/>
    <col min="5899" max="5899" width="4" style="1146" customWidth="1"/>
    <col min="5900" max="5900" width="5.125" style="1146" customWidth="1"/>
    <col min="5901" max="5901" width="13.75" style="1146" customWidth="1"/>
    <col min="5902" max="6144" width="9" style="1146"/>
    <col min="6145" max="6145" width="4.875" style="1146" customWidth="1"/>
    <col min="6146" max="6146" width="13.25" style="1146" customWidth="1"/>
    <col min="6147" max="6147" width="15.625" style="1146" customWidth="1"/>
    <col min="6148" max="6148" width="9.375" style="1146" bestFit="1" customWidth="1"/>
    <col min="6149" max="6149" width="13.5" style="1146" customWidth="1"/>
    <col min="6150" max="6150" width="9" style="1146"/>
    <col min="6151" max="6151" width="9.375" style="1146" bestFit="1" customWidth="1"/>
    <col min="6152" max="6153" width="9" style="1146"/>
    <col min="6154" max="6154" width="9.375" style="1146" bestFit="1" customWidth="1"/>
    <col min="6155" max="6155" width="4" style="1146" customWidth="1"/>
    <col min="6156" max="6156" width="5.125" style="1146" customWidth="1"/>
    <col min="6157" max="6157" width="13.75" style="1146" customWidth="1"/>
    <col min="6158" max="6400" width="9" style="1146"/>
    <col min="6401" max="6401" width="4.875" style="1146" customWidth="1"/>
    <col min="6402" max="6402" width="13.25" style="1146" customWidth="1"/>
    <col min="6403" max="6403" width="15.625" style="1146" customWidth="1"/>
    <col min="6404" max="6404" width="9.375" style="1146" bestFit="1" customWidth="1"/>
    <col min="6405" max="6405" width="13.5" style="1146" customWidth="1"/>
    <col min="6406" max="6406" width="9" style="1146"/>
    <col min="6407" max="6407" width="9.375" style="1146" bestFit="1" customWidth="1"/>
    <col min="6408" max="6409" width="9" style="1146"/>
    <col min="6410" max="6410" width="9.375" style="1146" bestFit="1" customWidth="1"/>
    <col min="6411" max="6411" width="4" style="1146" customWidth="1"/>
    <col min="6412" max="6412" width="5.125" style="1146" customWidth="1"/>
    <col min="6413" max="6413" width="13.75" style="1146" customWidth="1"/>
    <col min="6414" max="6656" width="9" style="1146"/>
    <col min="6657" max="6657" width="4.875" style="1146" customWidth="1"/>
    <col min="6658" max="6658" width="13.25" style="1146" customWidth="1"/>
    <col min="6659" max="6659" width="15.625" style="1146" customWidth="1"/>
    <col min="6660" max="6660" width="9.375" style="1146" bestFit="1" customWidth="1"/>
    <col min="6661" max="6661" width="13.5" style="1146" customWidth="1"/>
    <col min="6662" max="6662" width="9" style="1146"/>
    <col min="6663" max="6663" width="9.375" style="1146" bestFit="1" customWidth="1"/>
    <col min="6664" max="6665" width="9" style="1146"/>
    <col min="6666" max="6666" width="9.375" style="1146" bestFit="1" customWidth="1"/>
    <col min="6667" max="6667" width="4" style="1146" customWidth="1"/>
    <col min="6668" max="6668" width="5.125" style="1146" customWidth="1"/>
    <col min="6669" max="6669" width="13.75" style="1146" customWidth="1"/>
    <col min="6670" max="6912" width="9" style="1146"/>
    <col min="6913" max="6913" width="4.875" style="1146" customWidth="1"/>
    <col min="6914" max="6914" width="13.25" style="1146" customWidth="1"/>
    <col min="6915" max="6915" width="15.625" style="1146" customWidth="1"/>
    <col min="6916" max="6916" width="9.375" style="1146" bestFit="1" customWidth="1"/>
    <col min="6917" max="6917" width="13.5" style="1146" customWidth="1"/>
    <col min="6918" max="6918" width="9" style="1146"/>
    <col min="6919" max="6919" width="9.375" style="1146" bestFit="1" customWidth="1"/>
    <col min="6920" max="6921" width="9" style="1146"/>
    <col min="6922" max="6922" width="9.375" style="1146" bestFit="1" customWidth="1"/>
    <col min="6923" max="6923" width="4" style="1146" customWidth="1"/>
    <col min="6924" max="6924" width="5.125" style="1146" customWidth="1"/>
    <col min="6925" max="6925" width="13.75" style="1146" customWidth="1"/>
    <col min="6926" max="7168" width="9" style="1146"/>
    <col min="7169" max="7169" width="4.875" style="1146" customWidth="1"/>
    <col min="7170" max="7170" width="13.25" style="1146" customWidth="1"/>
    <col min="7171" max="7171" width="15.625" style="1146" customWidth="1"/>
    <col min="7172" max="7172" width="9.375" style="1146" bestFit="1" customWidth="1"/>
    <col min="7173" max="7173" width="13.5" style="1146" customWidth="1"/>
    <col min="7174" max="7174" width="9" style="1146"/>
    <col min="7175" max="7175" width="9.375" style="1146" bestFit="1" customWidth="1"/>
    <col min="7176" max="7177" width="9" style="1146"/>
    <col min="7178" max="7178" width="9.375" style="1146" bestFit="1" customWidth="1"/>
    <col min="7179" max="7179" width="4" style="1146" customWidth="1"/>
    <col min="7180" max="7180" width="5.125" style="1146" customWidth="1"/>
    <col min="7181" max="7181" width="13.75" style="1146" customWidth="1"/>
    <col min="7182" max="7424" width="9" style="1146"/>
    <col min="7425" max="7425" width="4.875" style="1146" customWidth="1"/>
    <col min="7426" max="7426" width="13.25" style="1146" customWidth="1"/>
    <col min="7427" max="7427" width="15.625" style="1146" customWidth="1"/>
    <col min="7428" max="7428" width="9.375" style="1146" bestFit="1" customWidth="1"/>
    <col min="7429" max="7429" width="13.5" style="1146" customWidth="1"/>
    <col min="7430" max="7430" width="9" style="1146"/>
    <col min="7431" max="7431" width="9.375" style="1146" bestFit="1" customWidth="1"/>
    <col min="7432" max="7433" width="9" style="1146"/>
    <col min="7434" max="7434" width="9.375" style="1146" bestFit="1" customWidth="1"/>
    <col min="7435" max="7435" width="4" style="1146" customWidth="1"/>
    <col min="7436" max="7436" width="5.125" style="1146" customWidth="1"/>
    <col min="7437" max="7437" width="13.75" style="1146" customWidth="1"/>
    <col min="7438" max="7680" width="9" style="1146"/>
    <col min="7681" max="7681" width="4.875" style="1146" customWidth="1"/>
    <col min="7682" max="7682" width="13.25" style="1146" customWidth="1"/>
    <col min="7683" max="7683" width="15.625" style="1146" customWidth="1"/>
    <col min="7684" max="7684" width="9.375" style="1146" bestFit="1" customWidth="1"/>
    <col min="7685" max="7685" width="13.5" style="1146" customWidth="1"/>
    <col min="7686" max="7686" width="9" style="1146"/>
    <col min="7687" max="7687" width="9.375" style="1146" bestFit="1" customWidth="1"/>
    <col min="7688" max="7689" width="9" style="1146"/>
    <col min="7690" max="7690" width="9.375" style="1146" bestFit="1" customWidth="1"/>
    <col min="7691" max="7691" width="4" style="1146" customWidth="1"/>
    <col min="7692" max="7692" width="5.125" style="1146" customWidth="1"/>
    <col min="7693" max="7693" width="13.75" style="1146" customWidth="1"/>
    <col min="7694" max="7936" width="9" style="1146"/>
    <col min="7937" max="7937" width="4.875" style="1146" customWidth="1"/>
    <col min="7938" max="7938" width="13.25" style="1146" customWidth="1"/>
    <col min="7939" max="7939" width="15.625" style="1146" customWidth="1"/>
    <col min="7940" max="7940" width="9.375" style="1146" bestFit="1" customWidth="1"/>
    <col min="7941" max="7941" width="13.5" style="1146" customWidth="1"/>
    <col min="7942" max="7942" width="9" style="1146"/>
    <col min="7943" max="7943" width="9.375" style="1146" bestFit="1" customWidth="1"/>
    <col min="7944" max="7945" width="9" style="1146"/>
    <col min="7946" max="7946" width="9.375" style="1146" bestFit="1" customWidth="1"/>
    <col min="7947" max="7947" width="4" style="1146" customWidth="1"/>
    <col min="7948" max="7948" width="5.125" style="1146" customWidth="1"/>
    <col min="7949" max="7949" width="13.75" style="1146" customWidth="1"/>
    <col min="7950" max="8192" width="9" style="1146"/>
    <col min="8193" max="8193" width="4.875" style="1146" customWidth="1"/>
    <col min="8194" max="8194" width="13.25" style="1146" customWidth="1"/>
    <col min="8195" max="8195" width="15.625" style="1146" customWidth="1"/>
    <col min="8196" max="8196" width="9.375" style="1146" bestFit="1" customWidth="1"/>
    <col min="8197" max="8197" width="13.5" style="1146" customWidth="1"/>
    <col min="8198" max="8198" width="9" style="1146"/>
    <col min="8199" max="8199" width="9.375" style="1146" bestFit="1" customWidth="1"/>
    <col min="8200" max="8201" width="9" style="1146"/>
    <col min="8202" max="8202" width="9.375" style="1146" bestFit="1" customWidth="1"/>
    <col min="8203" max="8203" width="4" style="1146" customWidth="1"/>
    <col min="8204" max="8204" width="5.125" style="1146" customWidth="1"/>
    <col min="8205" max="8205" width="13.75" style="1146" customWidth="1"/>
    <col min="8206" max="8448" width="9" style="1146"/>
    <col min="8449" max="8449" width="4.875" style="1146" customWidth="1"/>
    <col min="8450" max="8450" width="13.25" style="1146" customWidth="1"/>
    <col min="8451" max="8451" width="15.625" style="1146" customWidth="1"/>
    <col min="8452" max="8452" width="9.375" style="1146" bestFit="1" customWidth="1"/>
    <col min="8453" max="8453" width="13.5" style="1146" customWidth="1"/>
    <col min="8454" max="8454" width="9" style="1146"/>
    <col min="8455" max="8455" width="9.375" style="1146" bestFit="1" customWidth="1"/>
    <col min="8456" max="8457" width="9" style="1146"/>
    <col min="8458" max="8458" width="9.375" style="1146" bestFit="1" customWidth="1"/>
    <col min="8459" max="8459" width="4" style="1146" customWidth="1"/>
    <col min="8460" max="8460" width="5.125" style="1146" customWidth="1"/>
    <col min="8461" max="8461" width="13.75" style="1146" customWidth="1"/>
    <col min="8462" max="8704" width="9" style="1146"/>
    <col min="8705" max="8705" width="4.875" style="1146" customWidth="1"/>
    <col min="8706" max="8706" width="13.25" style="1146" customWidth="1"/>
    <col min="8707" max="8707" width="15.625" style="1146" customWidth="1"/>
    <col min="8708" max="8708" width="9.375" style="1146" bestFit="1" customWidth="1"/>
    <col min="8709" max="8709" width="13.5" style="1146" customWidth="1"/>
    <col min="8710" max="8710" width="9" style="1146"/>
    <col min="8711" max="8711" width="9.375" style="1146" bestFit="1" customWidth="1"/>
    <col min="8712" max="8713" width="9" style="1146"/>
    <col min="8714" max="8714" width="9.375" style="1146" bestFit="1" customWidth="1"/>
    <col min="8715" max="8715" width="4" style="1146" customWidth="1"/>
    <col min="8716" max="8716" width="5.125" style="1146" customWidth="1"/>
    <col min="8717" max="8717" width="13.75" style="1146" customWidth="1"/>
    <col min="8718" max="8960" width="9" style="1146"/>
    <col min="8961" max="8961" width="4.875" style="1146" customWidth="1"/>
    <col min="8962" max="8962" width="13.25" style="1146" customWidth="1"/>
    <col min="8963" max="8963" width="15.625" style="1146" customWidth="1"/>
    <col min="8964" max="8964" width="9.375" style="1146" bestFit="1" customWidth="1"/>
    <col min="8965" max="8965" width="13.5" style="1146" customWidth="1"/>
    <col min="8966" max="8966" width="9" style="1146"/>
    <col min="8967" max="8967" width="9.375" style="1146" bestFit="1" customWidth="1"/>
    <col min="8968" max="8969" width="9" style="1146"/>
    <col min="8970" max="8970" width="9.375" style="1146" bestFit="1" customWidth="1"/>
    <col min="8971" max="8971" width="4" style="1146" customWidth="1"/>
    <col min="8972" max="8972" width="5.125" style="1146" customWidth="1"/>
    <col min="8973" max="8973" width="13.75" style="1146" customWidth="1"/>
    <col min="8974" max="9216" width="9" style="1146"/>
    <col min="9217" max="9217" width="4.875" style="1146" customWidth="1"/>
    <col min="9218" max="9218" width="13.25" style="1146" customWidth="1"/>
    <col min="9219" max="9219" width="15.625" style="1146" customWidth="1"/>
    <col min="9220" max="9220" width="9.375" style="1146" bestFit="1" customWidth="1"/>
    <col min="9221" max="9221" width="13.5" style="1146" customWidth="1"/>
    <col min="9222" max="9222" width="9" style="1146"/>
    <col min="9223" max="9223" width="9.375" style="1146" bestFit="1" customWidth="1"/>
    <col min="9224" max="9225" width="9" style="1146"/>
    <col min="9226" max="9226" width="9.375" style="1146" bestFit="1" customWidth="1"/>
    <col min="9227" max="9227" width="4" style="1146" customWidth="1"/>
    <col min="9228" max="9228" width="5.125" style="1146" customWidth="1"/>
    <col min="9229" max="9229" width="13.75" style="1146" customWidth="1"/>
    <col min="9230" max="9472" width="9" style="1146"/>
    <col min="9473" max="9473" width="4.875" style="1146" customWidth="1"/>
    <col min="9474" max="9474" width="13.25" style="1146" customWidth="1"/>
    <col min="9475" max="9475" width="15.625" style="1146" customWidth="1"/>
    <col min="9476" max="9476" width="9.375" style="1146" bestFit="1" customWidth="1"/>
    <col min="9477" max="9477" width="13.5" style="1146" customWidth="1"/>
    <col min="9478" max="9478" width="9" style="1146"/>
    <col min="9479" max="9479" width="9.375" style="1146" bestFit="1" customWidth="1"/>
    <col min="9480" max="9481" width="9" style="1146"/>
    <col min="9482" max="9482" width="9.375" style="1146" bestFit="1" customWidth="1"/>
    <col min="9483" max="9483" width="4" style="1146" customWidth="1"/>
    <col min="9484" max="9484" width="5.125" style="1146" customWidth="1"/>
    <col min="9485" max="9485" width="13.75" style="1146" customWidth="1"/>
    <col min="9486" max="9728" width="9" style="1146"/>
    <col min="9729" max="9729" width="4.875" style="1146" customWidth="1"/>
    <col min="9730" max="9730" width="13.25" style="1146" customWidth="1"/>
    <col min="9731" max="9731" width="15.625" style="1146" customWidth="1"/>
    <col min="9732" max="9732" width="9.375" style="1146" bestFit="1" customWidth="1"/>
    <col min="9733" max="9733" width="13.5" style="1146" customWidth="1"/>
    <col min="9734" max="9734" width="9" style="1146"/>
    <col min="9735" max="9735" width="9.375" style="1146" bestFit="1" customWidth="1"/>
    <col min="9736" max="9737" width="9" style="1146"/>
    <col min="9738" max="9738" width="9.375" style="1146" bestFit="1" customWidth="1"/>
    <col min="9739" max="9739" width="4" style="1146" customWidth="1"/>
    <col min="9740" max="9740" width="5.125" style="1146" customWidth="1"/>
    <col min="9741" max="9741" width="13.75" style="1146" customWidth="1"/>
    <col min="9742" max="9984" width="9" style="1146"/>
    <col min="9985" max="9985" width="4.875" style="1146" customWidth="1"/>
    <col min="9986" max="9986" width="13.25" style="1146" customWidth="1"/>
    <col min="9987" max="9987" width="15.625" style="1146" customWidth="1"/>
    <col min="9988" max="9988" width="9.375" style="1146" bestFit="1" customWidth="1"/>
    <col min="9989" max="9989" width="13.5" style="1146" customWidth="1"/>
    <col min="9990" max="9990" width="9" style="1146"/>
    <col min="9991" max="9991" width="9.375" style="1146" bestFit="1" customWidth="1"/>
    <col min="9992" max="9993" width="9" style="1146"/>
    <col min="9994" max="9994" width="9.375" style="1146" bestFit="1" customWidth="1"/>
    <col min="9995" max="9995" width="4" style="1146" customWidth="1"/>
    <col min="9996" max="9996" width="5.125" style="1146" customWidth="1"/>
    <col min="9997" max="9997" width="13.75" style="1146" customWidth="1"/>
    <col min="9998" max="10240" width="9" style="1146"/>
    <col min="10241" max="10241" width="4.875" style="1146" customWidth="1"/>
    <col min="10242" max="10242" width="13.25" style="1146" customWidth="1"/>
    <col min="10243" max="10243" width="15.625" style="1146" customWidth="1"/>
    <col min="10244" max="10244" width="9.375" style="1146" bestFit="1" customWidth="1"/>
    <col min="10245" max="10245" width="13.5" style="1146" customWidth="1"/>
    <col min="10246" max="10246" width="9" style="1146"/>
    <col min="10247" max="10247" width="9.375" style="1146" bestFit="1" customWidth="1"/>
    <col min="10248" max="10249" width="9" style="1146"/>
    <col min="10250" max="10250" width="9.375" style="1146" bestFit="1" customWidth="1"/>
    <col min="10251" max="10251" width="4" style="1146" customWidth="1"/>
    <col min="10252" max="10252" width="5.125" style="1146" customWidth="1"/>
    <col min="10253" max="10253" width="13.75" style="1146" customWidth="1"/>
    <col min="10254" max="10496" width="9" style="1146"/>
    <col min="10497" max="10497" width="4.875" style="1146" customWidth="1"/>
    <col min="10498" max="10498" width="13.25" style="1146" customWidth="1"/>
    <col min="10499" max="10499" width="15.625" style="1146" customWidth="1"/>
    <col min="10500" max="10500" width="9.375" style="1146" bestFit="1" customWidth="1"/>
    <col min="10501" max="10501" width="13.5" style="1146" customWidth="1"/>
    <col min="10502" max="10502" width="9" style="1146"/>
    <col min="10503" max="10503" width="9.375" style="1146" bestFit="1" customWidth="1"/>
    <col min="10504" max="10505" width="9" style="1146"/>
    <col min="10506" max="10506" width="9.375" style="1146" bestFit="1" customWidth="1"/>
    <col min="10507" max="10507" width="4" style="1146" customWidth="1"/>
    <col min="10508" max="10508" width="5.125" style="1146" customWidth="1"/>
    <col min="10509" max="10509" width="13.75" style="1146" customWidth="1"/>
    <col min="10510" max="10752" width="9" style="1146"/>
    <col min="10753" max="10753" width="4.875" style="1146" customWidth="1"/>
    <col min="10754" max="10754" width="13.25" style="1146" customWidth="1"/>
    <col min="10755" max="10755" width="15.625" style="1146" customWidth="1"/>
    <col min="10756" max="10756" width="9.375" style="1146" bestFit="1" customWidth="1"/>
    <col min="10757" max="10757" width="13.5" style="1146" customWidth="1"/>
    <col min="10758" max="10758" width="9" style="1146"/>
    <col min="10759" max="10759" width="9.375" style="1146" bestFit="1" customWidth="1"/>
    <col min="10760" max="10761" width="9" style="1146"/>
    <col min="10762" max="10762" width="9.375" style="1146" bestFit="1" customWidth="1"/>
    <col min="10763" max="10763" width="4" style="1146" customWidth="1"/>
    <col min="10764" max="10764" width="5.125" style="1146" customWidth="1"/>
    <col min="10765" max="10765" width="13.75" style="1146" customWidth="1"/>
    <col min="10766" max="11008" width="9" style="1146"/>
    <col min="11009" max="11009" width="4.875" style="1146" customWidth="1"/>
    <col min="11010" max="11010" width="13.25" style="1146" customWidth="1"/>
    <col min="11011" max="11011" width="15.625" style="1146" customWidth="1"/>
    <col min="11012" max="11012" width="9.375" style="1146" bestFit="1" customWidth="1"/>
    <col min="11013" max="11013" width="13.5" style="1146" customWidth="1"/>
    <col min="11014" max="11014" width="9" style="1146"/>
    <col min="11015" max="11015" width="9.375" style="1146" bestFit="1" customWidth="1"/>
    <col min="11016" max="11017" width="9" style="1146"/>
    <col min="11018" max="11018" width="9.375" style="1146" bestFit="1" customWidth="1"/>
    <col min="11019" max="11019" width="4" style="1146" customWidth="1"/>
    <col min="11020" max="11020" width="5.125" style="1146" customWidth="1"/>
    <col min="11021" max="11021" width="13.75" style="1146" customWidth="1"/>
    <col min="11022" max="11264" width="9" style="1146"/>
    <col min="11265" max="11265" width="4.875" style="1146" customWidth="1"/>
    <col min="11266" max="11266" width="13.25" style="1146" customWidth="1"/>
    <col min="11267" max="11267" width="15.625" style="1146" customWidth="1"/>
    <col min="11268" max="11268" width="9.375" style="1146" bestFit="1" customWidth="1"/>
    <col min="11269" max="11269" width="13.5" style="1146" customWidth="1"/>
    <col min="11270" max="11270" width="9" style="1146"/>
    <col min="11271" max="11271" width="9.375" style="1146" bestFit="1" customWidth="1"/>
    <col min="11272" max="11273" width="9" style="1146"/>
    <col min="11274" max="11274" width="9.375" style="1146" bestFit="1" customWidth="1"/>
    <col min="11275" max="11275" width="4" style="1146" customWidth="1"/>
    <col min="11276" max="11276" width="5.125" style="1146" customWidth="1"/>
    <col min="11277" max="11277" width="13.75" style="1146" customWidth="1"/>
    <col min="11278" max="11520" width="9" style="1146"/>
    <col min="11521" max="11521" width="4.875" style="1146" customWidth="1"/>
    <col min="11522" max="11522" width="13.25" style="1146" customWidth="1"/>
    <col min="11523" max="11523" width="15.625" style="1146" customWidth="1"/>
    <col min="11524" max="11524" width="9.375" style="1146" bestFit="1" customWidth="1"/>
    <col min="11525" max="11525" width="13.5" style="1146" customWidth="1"/>
    <col min="11526" max="11526" width="9" style="1146"/>
    <col min="11527" max="11527" width="9.375" style="1146" bestFit="1" customWidth="1"/>
    <col min="11528" max="11529" width="9" style="1146"/>
    <col min="11530" max="11530" width="9.375" style="1146" bestFit="1" customWidth="1"/>
    <col min="11531" max="11531" width="4" style="1146" customWidth="1"/>
    <col min="11532" max="11532" width="5.125" style="1146" customWidth="1"/>
    <col min="11533" max="11533" width="13.75" style="1146" customWidth="1"/>
    <col min="11534" max="11776" width="9" style="1146"/>
    <col min="11777" max="11777" width="4.875" style="1146" customWidth="1"/>
    <col min="11778" max="11778" width="13.25" style="1146" customWidth="1"/>
    <col min="11779" max="11779" width="15.625" style="1146" customWidth="1"/>
    <col min="11780" max="11780" width="9.375" style="1146" bestFit="1" customWidth="1"/>
    <col min="11781" max="11781" width="13.5" style="1146" customWidth="1"/>
    <col min="11782" max="11782" width="9" style="1146"/>
    <col min="11783" max="11783" width="9.375" style="1146" bestFit="1" customWidth="1"/>
    <col min="11784" max="11785" width="9" style="1146"/>
    <col min="11786" max="11786" width="9.375" style="1146" bestFit="1" customWidth="1"/>
    <col min="11787" max="11787" width="4" style="1146" customWidth="1"/>
    <col min="11788" max="11788" width="5.125" style="1146" customWidth="1"/>
    <col min="11789" max="11789" width="13.75" style="1146" customWidth="1"/>
    <col min="11790" max="12032" width="9" style="1146"/>
    <col min="12033" max="12033" width="4.875" style="1146" customWidth="1"/>
    <col min="12034" max="12034" width="13.25" style="1146" customWidth="1"/>
    <col min="12035" max="12035" width="15.625" style="1146" customWidth="1"/>
    <col min="12036" max="12036" width="9.375" style="1146" bestFit="1" customWidth="1"/>
    <col min="12037" max="12037" width="13.5" style="1146" customWidth="1"/>
    <col min="12038" max="12038" width="9" style="1146"/>
    <col min="12039" max="12039" width="9.375" style="1146" bestFit="1" customWidth="1"/>
    <col min="12040" max="12041" width="9" style="1146"/>
    <col min="12042" max="12042" width="9.375" style="1146" bestFit="1" customWidth="1"/>
    <col min="12043" max="12043" width="4" style="1146" customWidth="1"/>
    <col min="12044" max="12044" width="5.125" style="1146" customWidth="1"/>
    <col min="12045" max="12045" width="13.75" style="1146" customWidth="1"/>
    <col min="12046" max="12288" width="9" style="1146"/>
    <col min="12289" max="12289" width="4.875" style="1146" customWidth="1"/>
    <col min="12290" max="12290" width="13.25" style="1146" customWidth="1"/>
    <col min="12291" max="12291" width="15.625" style="1146" customWidth="1"/>
    <col min="12292" max="12292" width="9.375" style="1146" bestFit="1" customWidth="1"/>
    <col min="12293" max="12293" width="13.5" style="1146" customWidth="1"/>
    <col min="12294" max="12294" width="9" style="1146"/>
    <col min="12295" max="12295" width="9.375" style="1146" bestFit="1" customWidth="1"/>
    <col min="12296" max="12297" width="9" style="1146"/>
    <col min="12298" max="12298" width="9.375" style="1146" bestFit="1" customWidth="1"/>
    <col min="12299" max="12299" width="4" style="1146" customWidth="1"/>
    <col min="12300" max="12300" width="5.125" style="1146" customWidth="1"/>
    <col min="12301" max="12301" width="13.75" style="1146" customWidth="1"/>
    <col min="12302" max="12544" width="9" style="1146"/>
    <col min="12545" max="12545" width="4.875" style="1146" customWidth="1"/>
    <col min="12546" max="12546" width="13.25" style="1146" customWidth="1"/>
    <col min="12547" max="12547" width="15.625" style="1146" customWidth="1"/>
    <col min="12548" max="12548" width="9.375" style="1146" bestFit="1" customWidth="1"/>
    <col min="12549" max="12549" width="13.5" style="1146" customWidth="1"/>
    <col min="12550" max="12550" width="9" style="1146"/>
    <col min="12551" max="12551" width="9.375" style="1146" bestFit="1" customWidth="1"/>
    <col min="12552" max="12553" width="9" style="1146"/>
    <col min="12554" max="12554" width="9.375" style="1146" bestFit="1" customWidth="1"/>
    <col min="12555" max="12555" width="4" style="1146" customWidth="1"/>
    <col min="12556" max="12556" width="5.125" style="1146" customWidth="1"/>
    <col min="12557" max="12557" width="13.75" style="1146" customWidth="1"/>
    <col min="12558" max="12800" width="9" style="1146"/>
    <col min="12801" max="12801" width="4.875" style="1146" customWidth="1"/>
    <col min="12802" max="12802" width="13.25" style="1146" customWidth="1"/>
    <col min="12803" max="12803" width="15.625" style="1146" customWidth="1"/>
    <col min="12804" max="12804" width="9.375" style="1146" bestFit="1" customWidth="1"/>
    <col min="12805" max="12805" width="13.5" style="1146" customWidth="1"/>
    <col min="12806" max="12806" width="9" style="1146"/>
    <col min="12807" max="12807" width="9.375" style="1146" bestFit="1" customWidth="1"/>
    <col min="12808" max="12809" width="9" style="1146"/>
    <col min="12810" max="12810" width="9.375" style="1146" bestFit="1" customWidth="1"/>
    <col min="12811" max="12811" width="4" style="1146" customWidth="1"/>
    <col min="12812" max="12812" width="5.125" style="1146" customWidth="1"/>
    <col min="12813" max="12813" width="13.75" style="1146" customWidth="1"/>
    <col min="12814" max="13056" width="9" style="1146"/>
    <col min="13057" max="13057" width="4.875" style="1146" customWidth="1"/>
    <col min="13058" max="13058" width="13.25" style="1146" customWidth="1"/>
    <col min="13059" max="13059" width="15.625" style="1146" customWidth="1"/>
    <col min="13060" max="13060" width="9.375" style="1146" bestFit="1" customWidth="1"/>
    <col min="13061" max="13061" width="13.5" style="1146" customWidth="1"/>
    <col min="13062" max="13062" width="9" style="1146"/>
    <col min="13063" max="13063" width="9.375" style="1146" bestFit="1" customWidth="1"/>
    <col min="13064" max="13065" width="9" style="1146"/>
    <col min="13066" max="13066" width="9.375" style="1146" bestFit="1" customWidth="1"/>
    <col min="13067" max="13067" width="4" style="1146" customWidth="1"/>
    <col min="13068" max="13068" width="5.125" style="1146" customWidth="1"/>
    <col min="13069" max="13069" width="13.75" style="1146" customWidth="1"/>
    <col min="13070" max="13312" width="9" style="1146"/>
    <col min="13313" max="13313" width="4.875" style="1146" customWidth="1"/>
    <col min="13314" max="13314" width="13.25" style="1146" customWidth="1"/>
    <col min="13315" max="13315" width="15.625" style="1146" customWidth="1"/>
    <col min="13316" max="13316" width="9.375" style="1146" bestFit="1" customWidth="1"/>
    <col min="13317" max="13317" width="13.5" style="1146" customWidth="1"/>
    <col min="13318" max="13318" width="9" style="1146"/>
    <col min="13319" max="13319" width="9.375" style="1146" bestFit="1" customWidth="1"/>
    <col min="13320" max="13321" width="9" style="1146"/>
    <col min="13322" max="13322" width="9.375" style="1146" bestFit="1" customWidth="1"/>
    <col min="13323" max="13323" width="4" style="1146" customWidth="1"/>
    <col min="13324" max="13324" width="5.125" style="1146" customWidth="1"/>
    <col min="13325" max="13325" width="13.75" style="1146" customWidth="1"/>
    <col min="13326" max="13568" width="9" style="1146"/>
    <col min="13569" max="13569" width="4.875" style="1146" customWidth="1"/>
    <col min="13570" max="13570" width="13.25" style="1146" customWidth="1"/>
    <col min="13571" max="13571" width="15.625" style="1146" customWidth="1"/>
    <col min="13572" max="13572" width="9.375" style="1146" bestFit="1" customWidth="1"/>
    <col min="13573" max="13573" width="13.5" style="1146" customWidth="1"/>
    <col min="13574" max="13574" width="9" style="1146"/>
    <col min="13575" max="13575" width="9.375" style="1146" bestFit="1" customWidth="1"/>
    <col min="13576" max="13577" width="9" style="1146"/>
    <col min="13578" max="13578" width="9.375" style="1146" bestFit="1" customWidth="1"/>
    <col min="13579" max="13579" width="4" style="1146" customWidth="1"/>
    <col min="13580" max="13580" width="5.125" style="1146" customWidth="1"/>
    <col min="13581" max="13581" width="13.75" style="1146" customWidth="1"/>
    <col min="13582" max="13824" width="9" style="1146"/>
    <col min="13825" max="13825" width="4.875" style="1146" customWidth="1"/>
    <col min="13826" max="13826" width="13.25" style="1146" customWidth="1"/>
    <col min="13827" max="13827" width="15.625" style="1146" customWidth="1"/>
    <col min="13828" max="13828" width="9.375" style="1146" bestFit="1" customWidth="1"/>
    <col min="13829" max="13829" width="13.5" style="1146" customWidth="1"/>
    <col min="13830" max="13830" width="9" style="1146"/>
    <col min="13831" max="13831" width="9.375" style="1146" bestFit="1" customWidth="1"/>
    <col min="13832" max="13833" width="9" style="1146"/>
    <col min="13834" max="13834" width="9.375" style="1146" bestFit="1" customWidth="1"/>
    <col min="13835" max="13835" width="4" style="1146" customWidth="1"/>
    <col min="13836" max="13836" width="5.125" style="1146" customWidth="1"/>
    <col min="13837" max="13837" width="13.75" style="1146" customWidth="1"/>
    <col min="13838" max="14080" width="9" style="1146"/>
    <col min="14081" max="14081" width="4.875" style="1146" customWidth="1"/>
    <col min="14082" max="14082" width="13.25" style="1146" customWidth="1"/>
    <col min="14083" max="14083" width="15.625" style="1146" customWidth="1"/>
    <col min="14084" max="14084" width="9.375" style="1146" bestFit="1" customWidth="1"/>
    <col min="14085" max="14085" width="13.5" style="1146" customWidth="1"/>
    <col min="14086" max="14086" width="9" style="1146"/>
    <col min="14087" max="14087" width="9.375" style="1146" bestFit="1" customWidth="1"/>
    <col min="14088" max="14089" width="9" style="1146"/>
    <col min="14090" max="14090" width="9.375" style="1146" bestFit="1" customWidth="1"/>
    <col min="14091" max="14091" width="4" style="1146" customWidth="1"/>
    <col min="14092" max="14092" width="5.125" style="1146" customWidth="1"/>
    <col min="14093" max="14093" width="13.75" style="1146" customWidth="1"/>
    <col min="14094" max="14336" width="9" style="1146"/>
    <col min="14337" max="14337" width="4.875" style="1146" customWidth="1"/>
    <col min="14338" max="14338" width="13.25" style="1146" customWidth="1"/>
    <col min="14339" max="14339" width="15.625" style="1146" customWidth="1"/>
    <col min="14340" max="14340" width="9.375" style="1146" bestFit="1" customWidth="1"/>
    <col min="14341" max="14341" width="13.5" style="1146" customWidth="1"/>
    <col min="14342" max="14342" width="9" style="1146"/>
    <col min="14343" max="14343" width="9.375" style="1146" bestFit="1" customWidth="1"/>
    <col min="14344" max="14345" width="9" style="1146"/>
    <col min="14346" max="14346" width="9.375" style="1146" bestFit="1" customWidth="1"/>
    <col min="14347" max="14347" width="4" style="1146" customWidth="1"/>
    <col min="14348" max="14348" width="5.125" style="1146" customWidth="1"/>
    <col min="14349" max="14349" width="13.75" style="1146" customWidth="1"/>
    <col min="14350" max="14592" width="9" style="1146"/>
    <col min="14593" max="14593" width="4.875" style="1146" customWidth="1"/>
    <col min="14594" max="14594" width="13.25" style="1146" customWidth="1"/>
    <col min="14595" max="14595" width="15.625" style="1146" customWidth="1"/>
    <col min="14596" max="14596" width="9.375" style="1146" bestFit="1" customWidth="1"/>
    <col min="14597" max="14597" width="13.5" style="1146" customWidth="1"/>
    <col min="14598" max="14598" width="9" style="1146"/>
    <col min="14599" max="14599" width="9.375" style="1146" bestFit="1" customWidth="1"/>
    <col min="14600" max="14601" width="9" style="1146"/>
    <col min="14602" max="14602" width="9.375" style="1146" bestFit="1" customWidth="1"/>
    <col min="14603" max="14603" width="4" style="1146" customWidth="1"/>
    <col min="14604" max="14604" width="5.125" style="1146" customWidth="1"/>
    <col min="14605" max="14605" width="13.75" style="1146" customWidth="1"/>
    <col min="14606" max="14848" width="9" style="1146"/>
    <col min="14849" max="14849" width="4.875" style="1146" customWidth="1"/>
    <col min="14850" max="14850" width="13.25" style="1146" customWidth="1"/>
    <col min="14851" max="14851" width="15.625" style="1146" customWidth="1"/>
    <col min="14852" max="14852" width="9.375" style="1146" bestFit="1" customWidth="1"/>
    <col min="14853" max="14853" width="13.5" style="1146" customWidth="1"/>
    <col min="14854" max="14854" width="9" style="1146"/>
    <col min="14855" max="14855" width="9.375" style="1146" bestFit="1" customWidth="1"/>
    <col min="14856" max="14857" width="9" style="1146"/>
    <col min="14858" max="14858" width="9.375" style="1146" bestFit="1" customWidth="1"/>
    <col min="14859" max="14859" width="4" style="1146" customWidth="1"/>
    <col min="14860" max="14860" width="5.125" style="1146" customWidth="1"/>
    <col min="14861" max="14861" width="13.75" style="1146" customWidth="1"/>
    <col min="14862" max="15104" width="9" style="1146"/>
    <col min="15105" max="15105" width="4.875" style="1146" customWidth="1"/>
    <col min="15106" max="15106" width="13.25" style="1146" customWidth="1"/>
    <col min="15107" max="15107" width="15.625" style="1146" customWidth="1"/>
    <col min="15108" max="15108" width="9.375" style="1146" bestFit="1" customWidth="1"/>
    <col min="15109" max="15109" width="13.5" style="1146" customWidth="1"/>
    <col min="15110" max="15110" width="9" style="1146"/>
    <col min="15111" max="15111" width="9.375" style="1146" bestFit="1" customWidth="1"/>
    <col min="15112" max="15113" width="9" style="1146"/>
    <col min="15114" max="15114" width="9.375" style="1146" bestFit="1" customWidth="1"/>
    <col min="15115" max="15115" width="4" style="1146" customWidth="1"/>
    <col min="15116" max="15116" width="5.125" style="1146" customWidth="1"/>
    <col min="15117" max="15117" width="13.75" style="1146" customWidth="1"/>
    <col min="15118" max="15360" width="9" style="1146"/>
    <col min="15361" max="15361" width="4.875" style="1146" customWidth="1"/>
    <col min="15362" max="15362" width="13.25" style="1146" customWidth="1"/>
    <col min="15363" max="15363" width="15.625" style="1146" customWidth="1"/>
    <col min="15364" max="15364" width="9.375" style="1146" bestFit="1" customWidth="1"/>
    <col min="15365" max="15365" width="13.5" style="1146" customWidth="1"/>
    <col min="15366" max="15366" width="9" style="1146"/>
    <col min="15367" max="15367" width="9.375" style="1146" bestFit="1" customWidth="1"/>
    <col min="15368" max="15369" width="9" style="1146"/>
    <col min="15370" max="15370" width="9.375" style="1146" bestFit="1" customWidth="1"/>
    <col min="15371" max="15371" width="4" style="1146" customWidth="1"/>
    <col min="15372" max="15372" width="5.125" style="1146" customWidth="1"/>
    <col min="15373" max="15373" width="13.75" style="1146" customWidth="1"/>
    <col min="15374" max="15616" width="9" style="1146"/>
    <col min="15617" max="15617" width="4.875" style="1146" customWidth="1"/>
    <col min="15618" max="15618" width="13.25" style="1146" customWidth="1"/>
    <col min="15619" max="15619" width="15.625" style="1146" customWidth="1"/>
    <col min="15620" max="15620" width="9.375" style="1146" bestFit="1" customWidth="1"/>
    <col min="15621" max="15621" width="13.5" style="1146" customWidth="1"/>
    <col min="15622" max="15622" width="9" style="1146"/>
    <col min="15623" max="15623" width="9.375" style="1146" bestFit="1" customWidth="1"/>
    <col min="15624" max="15625" width="9" style="1146"/>
    <col min="15626" max="15626" width="9.375" style="1146" bestFit="1" customWidth="1"/>
    <col min="15627" max="15627" width="4" style="1146" customWidth="1"/>
    <col min="15628" max="15628" width="5.125" style="1146" customWidth="1"/>
    <col min="15629" max="15629" width="13.75" style="1146" customWidth="1"/>
    <col min="15630" max="15872" width="9" style="1146"/>
    <col min="15873" max="15873" width="4.875" style="1146" customWidth="1"/>
    <col min="15874" max="15874" width="13.25" style="1146" customWidth="1"/>
    <col min="15875" max="15875" width="15.625" style="1146" customWidth="1"/>
    <col min="15876" max="15876" width="9.375" style="1146" bestFit="1" customWidth="1"/>
    <col min="15877" max="15877" width="13.5" style="1146" customWidth="1"/>
    <col min="15878" max="15878" width="9" style="1146"/>
    <col min="15879" max="15879" width="9.375" style="1146" bestFit="1" customWidth="1"/>
    <col min="15880" max="15881" width="9" style="1146"/>
    <col min="15882" max="15882" width="9.375" style="1146" bestFit="1" customWidth="1"/>
    <col min="15883" max="15883" width="4" style="1146" customWidth="1"/>
    <col min="15884" max="15884" width="5.125" style="1146" customWidth="1"/>
    <col min="15885" max="15885" width="13.75" style="1146" customWidth="1"/>
    <col min="15886" max="16128" width="9" style="1146"/>
    <col min="16129" max="16129" width="4.875" style="1146" customWidth="1"/>
    <col min="16130" max="16130" width="13.25" style="1146" customWidth="1"/>
    <col min="16131" max="16131" width="15.625" style="1146" customWidth="1"/>
    <col min="16132" max="16132" width="9.375" style="1146" bestFit="1" customWidth="1"/>
    <col min="16133" max="16133" width="13.5" style="1146" customWidth="1"/>
    <col min="16134" max="16134" width="9" style="1146"/>
    <col min="16135" max="16135" width="9.375" style="1146" bestFit="1" customWidth="1"/>
    <col min="16136" max="16137" width="9" style="1146"/>
    <col min="16138" max="16138" width="9.375" style="1146" bestFit="1" customWidth="1"/>
    <col min="16139" max="16139" width="4" style="1146" customWidth="1"/>
    <col min="16140" max="16140" width="5.125" style="1146" customWidth="1"/>
    <col min="16141" max="16141" width="13.75" style="1146" customWidth="1"/>
    <col min="16142" max="16384" width="9" style="1146"/>
  </cols>
  <sheetData>
    <row r="1" spans="1:257" s="1206" customFormat="1" ht="14.25" thickBot="1">
      <c r="A1" s="1200"/>
      <c r="B1" s="1207" t="s">
        <v>602</v>
      </c>
      <c r="C1" s="1201">
        <f>项目基本情况!D3</f>
        <v>45596</v>
      </c>
      <c r="D1" s="1207" t="s">
        <v>603</v>
      </c>
      <c r="E1" s="1202">
        <f>'数据-取费表'!B22</f>
        <v>2</v>
      </c>
      <c r="F1" s="1207" t="s">
        <v>604</v>
      </c>
      <c r="G1" s="1203">
        <f ca="1">INDIRECT("d"&amp;$K$1)/100</f>
        <v>3.1E-2</v>
      </c>
      <c r="H1" s="1207" t="s">
        <v>634</v>
      </c>
      <c r="I1" s="1203">
        <f ca="1">F4/100</f>
        <v>1.4999999999999999E-2</v>
      </c>
      <c r="J1" s="1208">
        <f>IF(C1&gt;C13,0,MATCH(C1,C$13:C$114,-1))+IF(SUMIF(C13:C114,C1,D13:D114)=0,13,12)</f>
        <v>13</v>
      </c>
      <c r="K1" s="1208">
        <f>MATCH(E1,C3:C7,1)+IF(SUMIF(C3:C7,E1,D3:D7)=0,2,1)</f>
        <v>5</v>
      </c>
      <c r="L1" s="1208">
        <f>IF(C1&gt;M13,0,MATCH(C1,M$13:M$100,-1))+IF(SUMIF(M13:M100,C1,N13:N100)=0,13,12)</f>
        <v>13</v>
      </c>
      <c r="M1" s="1200"/>
      <c r="N1" s="1200"/>
      <c r="O1" s="1200"/>
      <c r="P1" s="1200"/>
      <c r="Q1" s="1200"/>
      <c r="R1" s="1200"/>
      <c r="S1" s="1200"/>
      <c r="T1" s="1200"/>
      <c r="U1" s="1200"/>
      <c r="V1" s="1200"/>
      <c r="W1" s="1200"/>
      <c r="X1" s="1200"/>
      <c r="Y1" s="1200"/>
      <c r="Z1" s="1200"/>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c r="DI1" s="1204"/>
      <c r="DJ1" s="1204"/>
      <c r="DK1" s="1204"/>
      <c r="DL1" s="1204"/>
      <c r="DM1" s="1204"/>
      <c r="DN1" s="1204"/>
      <c r="DO1" s="1204"/>
      <c r="DP1" s="1204"/>
      <c r="DQ1" s="1204"/>
      <c r="DR1" s="1204"/>
      <c r="DS1" s="1204"/>
      <c r="DT1" s="1204"/>
      <c r="DU1" s="1204"/>
      <c r="DV1" s="1204"/>
      <c r="DW1" s="1204"/>
      <c r="DX1" s="1204"/>
      <c r="DY1" s="1204"/>
      <c r="DZ1" s="1204"/>
      <c r="EA1" s="1204"/>
      <c r="EB1" s="1204"/>
      <c r="EC1" s="1204"/>
      <c r="ED1" s="1204"/>
      <c r="EE1" s="1204"/>
      <c r="EF1" s="1204"/>
      <c r="EG1" s="1204"/>
      <c r="EH1" s="1204"/>
      <c r="EI1" s="1204"/>
      <c r="EJ1" s="1204"/>
      <c r="EK1" s="1204"/>
      <c r="EL1" s="1204"/>
      <c r="EM1" s="1204"/>
      <c r="EN1" s="1204"/>
      <c r="EO1" s="1204"/>
      <c r="EP1" s="1204"/>
      <c r="EQ1" s="1204"/>
      <c r="ER1" s="1204"/>
      <c r="ES1" s="1204"/>
      <c r="ET1" s="1204"/>
      <c r="EU1" s="1204"/>
      <c r="EV1" s="1204"/>
      <c r="EW1" s="1204"/>
      <c r="EX1" s="1204"/>
      <c r="EY1" s="1204"/>
      <c r="EZ1" s="1204"/>
      <c r="FA1" s="1204"/>
      <c r="FB1" s="1204"/>
      <c r="FC1" s="1204"/>
      <c r="FD1" s="1204"/>
      <c r="FE1" s="1204"/>
      <c r="FF1" s="1204"/>
      <c r="FG1" s="1204"/>
      <c r="FH1" s="1204"/>
      <c r="FI1" s="1204"/>
      <c r="FJ1" s="1204"/>
      <c r="FK1" s="1204"/>
      <c r="FL1" s="1204"/>
      <c r="FM1" s="1204"/>
      <c r="FN1" s="1204"/>
      <c r="FO1" s="1204"/>
      <c r="FP1" s="1204"/>
      <c r="FQ1" s="1204"/>
      <c r="FR1" s="1204"/>
      <c r="FS1" s="1204"/>
      <c r="FT1" s="1204"/>
      <c r="FU1" s="1204"/>
      <c r="FV1" s="1204"/>
      <c r="FW1" s="1204"/>
      <c r="FX1" s="1204"/>
      <c r="FY1" s="1204"/>
      <c r="FZ1" s="1204"/>
      <c r="GA1" s="1204"/>
      <c r="GB1" s="1204"/>
      <c r="GC1" s="1204"/>
      <c r="GD1" s="1204"/>
      <c r="GE1" s="1204"/>
      <c r="GF1" s="1204"/>
      <c r="GG1" s="1204"/>
      <c r="GH1" s="1204"/>
      <c r="GI1" s="1204"/>
      <c r="GJ1" s="1204"/>
      <c r="GK1" s="1204"/>
      <c r="GL1" s="1204"/>
      <c r="GM1" s="1204"/>
      <c r="GN1" s="1204"/>
      <c r="GO1" s="1204"/>
      <c r="GP1" s="1204"/>
      <c r="GQ1" s="1204"/>
      <c r="GR1" s="1204"/>
      <c r="GS1" s="1204"/>
      <c r="GT1" s="1204"/>
      <c r="GU1" s="1204"/>
      <c r="GV1" s="1204"/>
      <c r="GW1" s="1204"/>
      <c r="GX1" s="1204"/>
      <c r="GY1" s="1204"/>
      <c r="GZ1" s="1204"/>
      <c r="HA1" s="1204"/>
      <c r="HB1" s="1204"/>
      <c r="HC1" s="1204"/>
      <c r="HD1" s="1204"/>
      <c r="HE1" s="1204"/>
      <c r="HF1" s="1204"/>
      <c r="HG1" s="1204"/>
      <c r="HH1" s="1204"/>
      <c r="HI1" s="1204"/>
      <c r="HJ1" s="1204"/>
      <c r="HK1" s="1204"/>
      <c r="HL1" s="1204"/>
      <c r="HM1" s="1204"/>
      <c r="HN1" s="1204"/>
      <c r="HO1" s="1204"/>
      <c r="HP1" s="1204"/>
      <c r="HQ1" s="1204"/>
      <c r="HR1" s="1204"/>
      <c r="HS1" s="1204"/>
      <c r="HT1" s="1204"/>
      <c r="HU1" s="1204"/>
      <c r="HV1" s="1204"/>
      <c r="HW1" s="1204"/>
      <c r="HX1" s="1204"/>
      <c r="HY1" s="1204"/>
      <c r="HZ1" s="1204"/>
      <c r="IA1" s="1204"/>
      <c r="IB1" s="1204"/>
      <c r="IC1" s="1204"/>
      <c r="ID1" s="1204"/>
      <c r="IE1" s="1204"/>
      <c r="IF1" s="1204"/>
      <c r="IG1" s="1204"/>
      <c r="IH1" s="1204"/>
      <c r="II1" s="1204"/>
      <c r="IJ1" s="1204"/>
      <c r="IK1" s="1204"/>
      <c r="IL1" s="1204"/>
      <c r="IM1" s="1204"/>
      <c r="IN1" s="1204"/>
      <c r="IO1" s="1204"/>
      <c r="IP1" s="1204"/>
      <c r="IQ1" s="1204"/>
      <c r="IR1" s="1204"/>
      <c r="IS1" s="1204"/>
      <c r="IT1" s="1204"/>
      <c r="IU1" s="1204"/>
      <c r="IV1" s="1204"/>
      <c r="IW1" s="1205"/>
    </row>
    <row r="2" spans="1:257" ht="15" thickTop="1" thickBot="1">
      <c r="A2" s="1147"/>
      <c r="B2" s="1147"/>
      <c r="C2" s="1147"/>
      <c r="D2" s="1147" t="s">
        <v>605</v>
      </c>
      <c r="E2" s="1147"/>
      <c r="F2" s="1147" t="s">
        <v>606</v>
      </c>
      <c r="G2" s="1148"/>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c r="FX2" s="1147"/>
      <c r="FY2" s="1147"/>
      <c r="FZ2" s="1147"/>
      <c r="GA2" s="1147"/>
      <c r="GB2" s="1147"/>
      <c r="GC2" s="1147"/>
      <c r="GD2" s="1147"/>
      <c r="GE2" s="1147"/>
      <c r="GF2" s="1147"/>
      <c r="GG2" s="1147"/>
      <c r="GH2" s="1147"/>
      <c r="GI2" s="1147"/>
      <c r="GJ2" s="1147"/>
      <c r="GK2" s="1147"/>
      <c r="GL2" s="1147"/>
      <c r="GM2" s="1147"/>
      <c r="GN2" s="1147"/>
      <c r="GO2" s="1147"/>
      <c r="GP2" s="1147"/>
      <c r="GQ2" s="1147"/>
      <c r="GR2" s="1147"/>
      <c r="GS2" s="1147"/>
      <c r="GT2" s="1147"/>
      <c r="GU2" s="1147"/>
      <c r="GV2" s="1147"/>
      <c r="GW2" s="1147"/>
      <c r="GX2" s="1147"/>
      <c r="GY2" s="1147"/>
      <c r="GZ2" s="1147"/>
      <c r="HA2" s="1147"/>
      <c r="HB2" s="1147"/>
      <c r="HC2" s="1147"/>
      <c r="HD2" s="1147"/>
      <c r="HE2" s="1147"/>
      <c r="HF2" s="1147"/>
      <c r="HG2" s="1147"/>
      <c r="HH2" s="1147"/>
      <c r="HI2" s="1147"/>
      <c r="HJ2" s="1147"/>
      <c r="HK2" s="1147"/>
      <c r="HL2" s="1147"/>
      <c r="HM2" s="1147"/>
      <c r="HN2" s="1147"/>
      <c r="HO2" s="1147"/>
      <c r="HP2" s="1147"/>
      <c r="HQ2" s="1147"/>
      <c r="HR2" s="1147"/>
      <c r="HS2" s="1147"/>
      <c r="HT2" s="1147"/>
      <c r="HU2" s="1147"/>
      <c r="HV2" s="1147"/>
      <c r="HW2" s="1147"/>
      <c r="HX2" s="1147"/>
      <c r="HY2" s="1147"/>
      <c r="HZ2" s="1147"/>
      <c r="IA2" s="1147"/>
      <c r="IB2" s="1147"/>
      <c r="IC2" s="1147"/>
      <c r="ID2" s="1147"/>
      <c r="IE2" s="1147"/>
      <c r="IF2" s="1147"/>
      <c r="IG2" s="1147"/>
      <c r="IH2" s="1147"/>
      <c r="II2" s="1147"/>
      <c r="IJ2" s="1147"/>
      <c r="IK2" s="1147"/>
      <c r="IL2" s="1147"/>
      <c r="IM2" s="1147"/>
      <c r="IN2" s="1147"/>
      <c r="IO2" s="1147"/>
      <c r="IP2" s="1147"/>
      <c r="IQ2" s="1147"/>
      <c r="IR2" s="1147"/>
      <c r="IS2" s="1147"/>
      <c r="IT2" s="1147"/>
      <c r="IU2" s="1147"/>
      <c r="IV2" s="1147"/>
      <c r="IW2" s="1147"/>
    </row>
    <row r="3" spans="1:257">
      <c r="B3" s="1150" t="s">
        <v>607</v>
      </c>
      <c r="C3" s="1151">
        <v>0</v>
      </c>
      <c r="D3" s="1152">
        <f ca="1">INDIRECT("d"&amp;$J$1)</f>
        <v>3.1</v>
      </c>
      <c r="E3" s="1153">
        <v>0.5</v>
      </c>
      <c r="F3" s="1154">
        <f ca="1">INDIRECT("p"&amp;$L$1)</f>
        <v>1.3</v>
      </c>
      <c r="G3" s="1149"/>
      <c r="H3" s="1149"/>
      <c r="I3" s="1149"/>
      <c r="J3" s="1149"/>
      <c r="L3" s="1149"/>
      <c r="M3" s="1149"/>
      <c r="N3" s="1149"/>
      <c r="O3" s="1149"/>
      <c r="P3" s="1149"/>
      <c r="Q3" s="1149"/>
      <c r="R3" s="1149"/>
      <c r="S3" s="1149"/>
      <c r="T3" s="1149"/>
      <c r="U3" s="1149"/>
      <c r="V3" s="1149"/>
      <c r="W3" s="1149"/>
      <c r="X3" s="1149"/>
      <c r="Y3" s="1149"/>
      <c r="Z3" s="1149"/>
    </row>
    <row r="4" spans="1:257">
      <c r="B4" s="1156" t="s">
        <v>608</v>
      </c>
      <c r="C4" s="1157">
        <v>0.5</v>
      </c>
      <c r="D4" s="1158">
        <f ca="1">INDIRECT("e"&amp;$J$1)</f>
        <v>3.1</v>
      </c>
      <c r="E4" s="1159">
        <v>1</v>
      </c>
      <c r="F4" s="1160">
        <f ca="1">INDIRECT("q"&amp;$L$1)</f>
        <v>1.5</v>
      </c>
      <c r="G4" s="1149"/>
      <c r="H4" s="1149"/>
      <c r="I4" s="1149"/>
      <c r="J4" s="1149"/>
      <c r="L4" s="1149"/>
      <c r="M4" s="1149"/>
      <c r="N4" s="1149"/>
      <c r="O4" s="1149"/>
      <c r="P4" s="1149"/>
      <c r="Q4" s="1149"/>
      <c r="R4" s="1149"/>
      <c r="S4" s="1149"/>
      <c r="T4" s="1149"/>
      <c r="U4" s="1149"/>
      <c r="V4" s="1149"/>
      <c r="W4" s="1149"/>
      <c r="X4" s="1149"/>
      <c r="Y4" s="1149"/>
      <c r="Z4" s="1149"/>
    </row>
    <row r="5" spans="1:257">
      <c r="B5" s="1156" t="s">
        <v>609</v>
      </c>
      <c r="C5" s="1157">
        <v>1</v>
      </c>
      <c r="D5" s="1158">
        <f ca="1">INDIRECT("f"&amp;$J$1)</f>
        <v>3.1</v>
      </c>
      <c r="E5" s="1159">
        <v>2</v>
      </c>
      <c r="F5" s="1160">
        <f ca="1">INDIRECT("r"&amp;$L$1)</f>
        <v>2.1</v>
      </c>
      <c r="G5" s="1149"/>
      <c r="H5" s="1149"/>
      <c r="I5" s="1149"/>
      <c r="J5" s="1149"/>
      <c r="L5" s="1149"/>
      <c r="M5" s="1149"/>
      <c r="N5" s="1149"/>
      <c r="O5" s="1149"/>
      <c r="P5" s="1149"/>
      <c r="Q5" s="1149"/>
      <c r="R5" s="1149"/>
      <c r="S5" s="1149"/>
      <c r="T5" s="1149"/>
      <c r="U5" s="1149"/>
      <c r="V5" s="1149"/>
      <c r="W5" s="1149"/>
      <c r="X5" s="1149"/>
      <c r="Y5" s="1149"/>
      <c r="Z5" s="1149"/>
    </row>
    <row r="6" spans="1:257">
      <c r="B6" s="1156" t="s">
        <v>610</v>
      </c>
      <c r="C6" s="1157">
        <v>3</v>
      </c>
      <c r="D6" s="1158">
        <f ca="1">INDIRECT("g"&amp;$J$1)</f>
        <v>3.1</v>
      </c>
      <c r="E6" s="1159">
        <v>3</v>
      </c>
      <c r="F6" s="1160">
        <f ca="1">INDIRECT("s"&amp;$L$1)</f>
        <v>2.75</v>
      </c>
      <c r="G6" s="1149"/>
      <c r="H6" s="1149"/>
      <c r="I6" s="1149"/>
      <c r="J6" s="1149"/>
      <c r="L6" s="1149"/>
      <c r="M6" s="1149"/>
      <c r="N6" s="1149"/>
      <c r="O6" s="1149"/>
      <c r="P6" s="1149"/>
      <c r="Q6" s="1149"/>
      <c r="R6" s="1149"/>
      <c r="S6" s="1149"/>
      <c r="T6" s="1149"/>
      <c r="U6" s="1149"/>
      <c r="V6" s="1149"/>
      <c r="W6" s="1149"/>
      <c r="X6" s="1149"/>
      <c r="Y6" s="1149"/>
      <c r="Z6" s="1149"/>
    </row>
    <row r="7" spans="1:257" ht="14.25" thickBot="1">
      <c r="B7" s="1161" t="s">
        <v>611</v>
      </c>
      <c r="C7" s="1162">
        <v>5</v>
      </c>
      <c r="D7" s="1163">
        <f ca="1">INDIRECT("h"&amp;$J$1)</f>
        <v>3.6</v>
      </c>
      <c r="E7" s="1164">
        <v>5</v>
      </c>
      <c r="F7" s="1165">
        <f ca="1">INDIRECT("t"&amp;$L$1)</f>
        <v>0</v>
      </c>
      <c r="G7" s="1149"/>
      <c r="H7" s="1149"/>
      <c r="I7" s="1149"/>
      <c r="J7" s="1149"/>
      <c r="L7" s="1149"/>
      <c r="M7" s="1149"/>
      <c r="N7" s="1149"/>
      <c r="O7" s="1149"/>
      <c r="P7" s="1149"/>
      <c r="Q7" s="1149"/>
      <c r="R7" s="1149"/>
      <c r="S7" s="1149"/>
      <c r="T7" s="1149"/>
      <c r="U7" s="1149"/>
      <c r="V7" s="1149"/>
      <c r="W7" s="1149"/>
      <c r="X7" s="1149"/>
      <c r="Y7" s="1149"/>
      <c r="Z7" s="1149"/>
    </row>
    <row r="8" spans="1:257">
      <c r="A8" s="1166"/>
      <c r="B8" s="1167"/>
      <c r="C8" s="1168"/>
      <c r="D8" s="1149"/>
      <c r="E8" s="1149"/>
      <c r="F8" s="1149"/>
      <c r="G8" s="1149"/>
      <c r="H8" s="1149"/>
      <c r="I8" s="1149"/>
      <c r="J8" s="1149"/>
      <c r="L8" s="1149"/>
      <c r="M8" s="1149"/>
      <c r="N8" s="1149"/>
      <c r="O8" s="1149"/>
      <c r="P8" s="1149"/>
      <c r="Q8" s="1149"/>
      <c r="R8" s="1149"/>
      <c r="S8" s="1149"/>
      <c r="T8" s="1149"/>
      <c r="U8" s="1149"/>
      <c r="V8" s="1149"/>
      <c r="W8" s="1149"/>
      <c r="X8" s="1149"/>
      <c r="Y8" s="1149"/>
      <c r="Z8" s="1149"/>
    </row>
    <row r="9" spans="1:257" ht="20.25">
      <c r="A9" s="1169"/>
      <c r="B9" s="1170" t="s">
        <v>612</v>
      </c>
      <c r="C9" s="1171"/>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3"/>
      <c r="AB9" s="1173"/>
      <c r="AC9" s="1173"/>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3"/>
      <c r="BM9" s="1173"/>
      <c r="BN9" s="1173"/>
      <c r="BO9" s="1173"/>
      <c r="BP9" s="1173"/>
      <c r="BQ9" s="1173"/>
      <c r="BR9" s="1173"/>
      <c r="BS9" s="1173"/>
      <c r="BT9" s="1173"/>
      <c r="BU9" s="1173"/>
      <c r="BV9" s="1173"/>
      <c r="BW9" s="1173"/>
      <c r="BX9" s="1173"/>
      <c r="BY9" s="1173"/>
      <c r="BZ9" s="1173"/>
      <c r="CA9" s="1173"/>
      <c r="CB9" s="1173"/>
      <c r="CC9" s="1173"/>
      <c r="CD9" s="1173"/>
      <c r="CE9" s="1173"/>
      <c r="CF9" s="1173"/>
      <c r="CG9" s="1173"/>
      <c r="CH9" s="1173"/>
      <c r="CI9" s="1173"/>
      <c r="CJ9" s="1173"/>
      <c r="CK9" s="1173"/>
      <c r="CL9" s="1173"/>
      <c r="CM9" s="1173"/>
      <c r="CN9" s="1173"/>
      <c r="CO9" s="1173"/>
      <c r="CP9" s="1173"/>
      <c r="CQ9" s="1173"/>
      <c r="CR9" s="1173"/>
      <c r="CS9" s="1173"/>
      <c r="CT9" s="1173"/>
      <c r="CU9" s="1173"/>
      <c r="CV9" s="1173"/>
      <c r="CW9" s="1173"/>
      <c r="CX9" s="1173"/>
      <c r="CY9" s="1173"/>
      <c r="CZ9" s="1173"/>
      <c r="DA9" s="1173"/>
      <c r="DB9" s="1173"/>
      <c r="DC9" s="1173"/>
      <c r="DD9" s="1173"/>
      <c r="DE9" s="1173"/>
      <c r="DF9" s="1173"/>
      <c r="DG9" s="1173"/>
      <c r="DH9" s="1173"/>
      <c r="DI9" s="1173"/>
      <c r="DJ9" s="1173"/>
      <c r="DK9" s="1173"/>
      <c r="DL9" s="1173"/>
      <c r="DM9" s="1173"/>
      <c r="DN9" s="1173"/>
      <c r="DO9" s="1173"/>
      <c r="DP9" s="1173"/>
      <c r="DQ9" s="1173"/>
      <c r="DR9" s="1173"/>
      <c r="DS9" s="1173"/>
      <c r="DT9" s="1173"/>
      <c r="DU9" s="1173"/>
      <c r="DV9" s="1173"/>
      <c r="DW9" s="1173"/>
      <c r="DX9" s="1173"/>
      <c r="DY9" s="1173"/>
      <c r="DZ9" s="1173"/>
      <c r="EA9" s="1173"/>
      <c r="EB9" s="1173"/>
      <c r="EC9" s="1173"/>
      <c r="ED9" s="1173"/>
      <c r="EE9" s="1173"/>
      <c r="EF9" s="1173"/>
      <c r="EG9" s="1173"/>
      <c r="EH9" s="1173"/>
      <c r="EI9" s="1173"/>
      <c r="EJ9" s="1173"/>
      <c r="EK9" s="1173"/>
      <c r="EL9" s="1173"/>
      <c r="EM9" s="1173"/>
      <c r="EN9" s="1173"/>
      <c r="EO9" s="1173"/>
      <c r="EP9" s="1173"/>
      <c r="EQ9" s="1173"/>
      <c r="ER9" s="1173"/>
      <c r="ES9" s="1173"/>
      <c r="ET9" s="1173"/>
      <c r="EU9" s="1173"/>
      <c r="EV9" s="1173"/>
      <c r="EW9" s="1173"/>
      <c r="EX9" s="1173"/>
      <c r="EY9" s="1173"/>
      <c r="EZ9" s="1173"/>
      <c r="FA9" s="1173"/>
      <c r="FB9" s="1173"/>
      <c r="FC9" s="1173"/>
      <c r="FD9" s="1173"/>
      <c r="FE9" s="1173"/>
      <c r="FF9" s="1173"/>
      <c r="FG9" s="1173"/>
      <c r="FH9" s="1173"/>
      <c r="FI9" s="1173"/>
      <c r="FJ9" s="1173"/>
      <c r="FK9" s="1173"/>
      <c r="FL9" s="1173"/>
      <c r="FM9" s="1173"/>
      <c r="FN9" s="1173"/>
      <c r="FO9" s="1173"/>
      <c r="FP9" s="1173"/>
      <c r="FQ9" s="1173"/>
      <c r="FR9" s="1173"/>
      <c r="FS9" s="1173"/>
      <c r="FT9" s="1173"/>
      <c r="FU9" s="1173"/>
      <c r="FV9" s="1173"/>
      <c r="FW9" s="1173"/>
      <c r="FX9" s="1173"/>
      <c r="FY9" s="1173"/>
      <c r="FZ9" s="1173"/>
      <c r="GA9" s="1173"/>
      <c r="GB9" s="1173"/>
      <c r="GC9" s="1173"/>
      <c r="GD9" s="1173"/>
      <c r="GE9" s="1173"/>
      <c r="GF9" s="1173"/>
      <c r="GG9" s="1173"/>
      <c r="GH9" s="1173"/>
      <c r="GI9" s="1173"/>
      <c r="GJ9" s="1173"/>
      <c r="GK9" s="1173"/>
      <c r="GL9" s="1173"/>
      <c r="GM9" s="1173"/>
      <c r="GN9" s="1173"/>
      <c r="GO9" s="1173"/>
      <c r="GP9" s="1173"/>
      <c r="GQ9" s="1173"/>
      <c r="GR9" s="1173"/>
      <c r="GS9" s="1173"/>
      <c r="GT9" s="1173"/>
      <c r="GU9" s="1173"/>
      <c r="GV9" s="1173"/>
      <c r="GW9" s="1173"/>
      <c r="GX9" s="1173"/>
      <c r="GY9" s="1173"/>
      <c r="GZ9" s="1173"/>
      <c r="HA9" s="1173"/>
      <c r="HB9" s="1173"/>
      <c r="HC9" s="1173"/>
      <c r="HD9" s="1173"/>
      <c r="HE9" s="1173"/>
      <c r="HF9" s="1173"/>
      <c r="HG9" s="1173"/>
      <c r="HH9" s="1173"/>
      <c r="HI9" s="1173"/>
      <c r="HJ9" s="1173"/>
      <c r="HK9" s="1173"/>
      <c r="HL9" s="1173"/>
      <c r="HM9" s="1173"/>
      <c r="HN9" s="1173"/>
      <c r="HO9" s="1173"/>
      <c r="HP9" s="1173"/>
      <c r="HQ9" s="1173"/>
      <c r="HR9" s="1173"/>
      <c r="HS9" s="1173"/>
      <c r="HT9" s="1173"/>
      <c r="HU9" s="1173"/>
      <c r="HV9" s="1173"/>
      <c r="HW9" s="1173"/>
      <c r="HX9" s="1173"/>
      <c r="HY9" s="1173"/>
      <c r="HZ9" s="1173"/>
      <c r="IA9" s="1173"/>
      <c r="IB9" s="1173"/>
      <c r="IC9" s="1173"/>
      <c r="ID9" s="1173"/>
      <c r="IE9" s="1173"/>
      <c r="IF9" s="1173"/>
      <c r="IG9" s="1173"/>
      <c r="IH9" s="1173"/>
      <c r="II9" s="1173"/>
      <c r="IJ9" s="1173"/>
      <c r="IK9" s="1173"/>
      <c r="IL9" s="1173"/>
      <c r="IM9" s="1173"/>
      <c r="IN9" s="1173"/>
      <c r="IO9" s="1173"/>
      <c r="IP9" s="1173"/>
      <c r="IQ9" s="1173"/>
      <c r="IR9" s="1173"/>
      <c r="IS9" s="1173"/>
      <c r="IT9" s="1173"/>
      <c r="IU9" s="1173"/>
      <c r="IV9" s="1173"/>
      <c r="IW9" s="1174"/>
    </row>
    <row r="10" spans="1:257" ht="22.5">
      <c r="A10" s="1175"/>
      <c r="B10" s="1176" t="s">
        <v>613</v>
      </c>
      <c r="C10" s="1175"/>
      <c r="D10" s="1175"/>
      <c r="E10" s="1175"/>
      <c r="F10" s="1175"/>
      <c r="G10" s="1175"/>
      <c r="H10" s="1175"/>
      <c r="I10" s="1149"/>
      <c r="J10" s="1149"/>
      <c r="K10" s="1175"/>
      <c r="L10" s="1176" t="s">
        <v>614</v>
      </c>
      <c r="M10" s="1175"/>
      <c r="N10" s="1175"/>
      <c r="O10" s="1175"/>
      <c r="P10" s="1175"/>
      <c r="Q10" s="1175"/>
      <c r="R10" s="1175"/>
      <c r="S10" s="1175"/>
      <c r="T10" s="1175"/>
      <c r="U10" s="1175"/>
      <c r="V10" s="1175"/>
      <c r="W10" s="1175"/>
      <c r="X10" s="1175"/>
      <c r="Y10" s="1175"/>
      <c r="Z10" s="1175"/>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7">
      <c r="A11" s="1178"/>
      <c r="B11" s="1179" t="s">
        <v>615</v>
      </c>
      <c r="C11" s="1180" t="s">
        <v>616</v>
      </c>
      <c r="D11" s="1181" t="s">
        <v>617</v>
      </c>
      <c r="E11" s="1182"/>
      <c r="F11" s="1181" t="s">
        <v>618</v>
      </c>
      <c r="G11" s="1183"/>
      <c r="H11" s="1182"/>
      <c r="I11" s="1181" t="s">
        <v>619</v>
      </c>
      <c r="J11" s="1182"/>
      <c r="K11" s="1178"/>
      <c r="L11" s="1179" t="s">
        <v>615</v>
      </c>
      <c r="M11" s="1180" t="s">
        <v>616</v>
      </c>
      <c r="N11" s="1179" t="s">
        <v>620</v>
      </c>
      <c r="O11" s="1181" t="s">
        <v>621</v>
      </c>
      <c r="P11" s="1183"/>
      <c r="Q11" s="1183"/>
      <c r="R11" s="1183"/>
      <c r="S11" s="1183"/>
      <c r="T11" s="1182"/>
      <c r="U11" s="1181" t="s">
        <v>622</v>
      </c>
      <c r="V11" s="1183"/>
      <c r="W11" s="1182"/>
      <c r="X11" s="1179" t="s">
        <v>623</v>
      </c>
      <c r="Y11" s="1179" t="s">
        <v>624</v>
      </c>
      <c r="Z11" s="1179" t="s">
        <v>625</v>
      </c>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1184"/>
      <c r="BU11" s="1184"/>
      <c r="BV11" s="1184"/>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c r="EX11" s="1184"/>
      <c r="EY11" s="1184"/>
      <c r="EZ11" s="1184"/>
      <c r="FA11" s="1184"/>
      <c r="FB11" s="1184"/>
      <c r="FC11" s="1184"/>
      <c r="FD11" s="1184"/>
      <c r="FE11" s="1184"/>
      <c r="FF11" s="1184"/>
      <c r="FG11" s="1184"/>
      <c r="FH11" s="1184"/>
      <c r="FI11" s="1184"/>
      <c r="FJ11" s="1184"/>
      <c r="FK11" s="1184"/>
      <c r="FL11" s="1184"/>
      <c r="FM11" s="1184"/>
      <c r="FN11" s="1184"/>
      <c r="FO11" s="1184"/>
      <c r="FP11" s="1184"/>
      <c r="FQ11" s="1184"/>
      <c r="FR11" s="1184"/>
      <c r="FS11" s="1184"/>
      <c r="FT11" s="1184"/>
      <c r="FU11" s="1184"/>
      <c r="FV11" s="1184"/>
      <c r="FW11" s="1184"/>
      <c r="FX11" s="1184"/>
      <c r="FY11" s="1184"/>
      <c r="FZ11" s="1184"/>
      <c r="GA11" s="1184"/>
      <c r="GB11" s="1184"/>
      <c r="GC11" s="1184"/>
      <c r="GD11" s="1184"/>
      <c r="GE11" s="1184"/>
      <c r="GF11" s="1184"/>
      <c r="GG11" s="1184"/>
      <c r="GH11" s="1184"/>
      <c r="GI11" s="1184"/>
      <c r="GJ11" s="1184"/>
      <c r="GK11" s="1184"/>
      <c r="GL11" s="1184"/>
      <c r="GM11" s="1184"/>
      <c r="GN11" s="1184"/>
      <c r="GO11" s="1184"/>
      <c r="GP11" s="1184"/>
      <c r="GQ11" s="1184"/>
      <c r="GR11" s="1184"/>
      <c r="GS11" s="1184"/>
      <c r="GT11" s="1184"/>
      <c r="GU11" s="1184"/>
      <c r="GV11" s="1184"/>
      <c r="GW11" s="1184"/>
      <c r="GX11" s="1184"/>
      <c r="GY11" s="1184"/>
      <c r="GZ11" s="1184"/>
      <c r="HA11" s="1184"/>
      <c r="HB11" s="1184"/>
      <c r="HC11" s="1184"/>
      <c r="HD11" s="1184"/>
      <c r="HE11" s="1184"/>
      <c r="HF11" s="1184"/>
      <c r="HG11" s="1184"/>
      <c r="HH11" s="1184"/>
      <c r="HI11" s="1184"/>
      <c r="HJ11" s="1184"/>
      <c r="HK11" s="1184"/>
      <c r="HL11" s="1184"/>
      <c r="HM11" s="1184"/>
      <c r="HN11" s="1184"/>
      <c r="HO11" s="1184"/>
      <c r="HP11" s="1184"/>
      <c r="HQ11" s="1184"/>
      <c r="HR11" s="1184"/>
      <c r="HS11" s="1184"/>
      <c r="HT11" s="1184"/>
      <c r="HU11" s="1184"/>
      <c r="HV11" s="1184"/>
      <c r="HW11" s="1184"/>
      <c r="HX11" s="1184"/>
      <c r="HY11" s="1184"/>
      <c r="HZ11" s="1184"/>
      <c r="IA11" s="1184"/>
      <c r="IB11" s="1184"/>
      <c r="IC11" s="1184"/>
      <c r="ID11" s="1184"/>
      <c r="IE11" s="1184"/>
      <c r="IF11" s="1184"/>
      <c r="IG11" s="1184"/>
      <c r="IH11" s="1184"/>
      <c r="II11" s="1184"/>
      <c r="IJ11" s="1184"/>
      <c r="IK11" s="1184"/>
      <c r="IL11" s="1184"/>
      <c r="IM11" s="1184"/>
      <c r="IN11" s="1184"/>
      <c r="IO11" s="1184"/>
      <c r="IP11" s="1184"/>
      <c r="IQ11" s="1184"/>
      <c r="IR11" s="1184"/>
      <c r="IS11" s="1184"/>
      <c r="IT11" s="1184"/>
      <c r="IU11" s="1184"/>
      <c r="IV11" s="1184"/>
    </row>
    <row r="12" spans="1:257">
      <c r="A12" s="1178"/>
      <c r="B12" s="1185"/>
      <c r="C12" s="1186"/>
      <c r="D12" s="1187" t="s">
        <v>626</v>
      </c>
      <c r="E12" s="1187" t="s">
        <v>627</v>
      </c>
      <c r="F12" s="1187" t="s">
        <v>628</v>
      </c>
      <c r="G12" s="1187" t="s">
        <v>629</v>
      </c>
      <c r="H12" s="1187" t="s">
        <v>611</v>
      </c>
      <c r="I12" s="1188" t="s">
        <v>630</v>
      </c>
      <c r="J12" s="1188" t="s">
        <v>630</v>
      </c>
      <c r="K12" s="1178"/>
      <c r="L12" s="1185"/>
      <c r="M12" s="1186"/>
      <c r="N12" s="1185"/>
      <c r="O12" s="1188" t="s">
        <v>631</v>
      </c>
      <c r="P12" s="1188">
        <v>0.5</v>
      </c>
      <c r="Q12" s="1188">
        <v>1</v>
      </c>
      <c r="R12" s="1188">
        <v>2</v>
      </c>
      <c r="S12" s="1188">
        <v>3</v>
      </c>
      <c r="T12" s="1188">
        <v>5</v>
      </c>
      <c r="U12" s="1188">
        <v>1</v>
      </c>
      <c r="V12" s="1188">
        <v>3</v>
      </c>
      <c r="W12" s="1188">
        <v>5</v>
      </c>
      <c r="X12" s="1185"/>
      <c r="Y12" s="1185"/>
      <c r="Z12" s="1185"/>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1184"/>
      <c r="BU12" s="1184"/>
      <c r="BV12" s="1184"/>
      <c r="BW12" s="1184"/>
      <c r="BX12" s="1184"/>
      <c r="BY12" s="1184"/>
      <c r="BZ12" s="1184"/>
      <c r="CA12" s="1184"/>
      <c r="CB12" s="1184"/>
      <c r="CC12" s="1184"/>
      <c r="CD12" s="1184"/>
      <c r="CE12" s="1184"/>
      <c r="CF12" s="1184"/>
      <c r="CG12" s="1184"/>
      <c r="CH12" s="1184"/>
      <c r="CI12" s="1184"/>
      <c r="CJ12" s="1184"/>
      <c r="CK12" s="1184"/>
      <c r="CL12" s="1184"/>
      <c r="CM12" s="1184"/>
      <c r="CN12" s="1184"/>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c r="EX12" s="1184"/>
      <c r="EY12" s="1184"/>
      <c r="EZ12" s="1184"/>
      <c r="FA12" s="1184"/>
      <c r="FB12" s="1184"/>
      <c r="FC12" s="1184"/>
      <c r="FD12" s="1184"/>
      <c r="FE12" s="1184"/>
      <c r="FF12" s="1184"/>
      <c r="FG12" s="1184"/>
      <c r="FH12" s="1184"/>
      <c r="FI12" s="1184"/>
      <c r="FJ12" s="1184"/>
      <c r="FK12" s="1184"/>
      <c r="FL12" s="1184"/>
      <c r="FM12" s="1184"/>
      <c r="FN12" s="1184"/>
      <c r="FO12" s="1184"/>
      <c r="FP12" s="1184"/>
      <c r="FQ12" s="1184"/>
      <c r="FR12" s="1184"/>
      <c r="FS12" s="1184"/>
      <c r="FT12" s="1184"/>
      <c r="FU12" s="1184"/>
      <c r="FV12" s="1184"/>
      <c r="FW12" s="1184"/>
      <c r="FX12" s="1184"/>
      <c r="FY12" s="1184"/>
      <c r="FZ12" s="1184"/>
      <c r="GA12" s="1184"/>
      <c r="GB12" s="1184"/>
      <c r="GC12" s="1184"/>
      <c r="GD12" s="1184"/>
      <c r="GE12" s="1184"/>
      <c r="GF12" s="1184"/>
      <c r="GG12" s="1184"/>
      <c r="GH12" s="1184"/>
      <c r="GI12" s="1184"/>
      <c r="GJ12" s="1184"/>
      <c r="GK12" s="1184"/>
      <c r="GL12" s="1184"/>
      <c r="GM12" s="1184"/>
      <c r="GN12" s="1184"/>
      <c r="GO12" s="1184"/>
      <c r="GP12" s="1184"/>
      <c r="GQ12" s="1184"/>
      <c r="GR12" s="1184"/>
      <c r="GS12" s="1184"/>
      <c r="GT12" s="1184"/>
      <c r="GU12" s="1184"/>
      <c r="GV12" s="1184"/>
      <c r="GW12" s="1184"/>
      <c r="GX12" s="1184"/>
      <c r="GY12" s="1184"/>
      <c r="GZ12" s="1184"/>
      <c r="HA12" s="1184"/>
      <c r="HB12" s="1184"/>
      <c r="HC12" s="1184"/>
      <c r="HD12" s="1184"/>
      <c r="HE12" s="1184"/>
      <c r="HF12" s="1184"/>
      <c r="HG12" s="1184"/>
      <c r="HH12" s="1184"/>
      <c r="HI12" s="1184"/>
      <c r="HJ12" s="1184"/>
      <c r="HK12" s="1184"/>
      <c r="HL12" s="1184"/>
      <c r="HM12" s="1184"/>
      <c r="HN12" s="1184"/>
      <c r="HO12" s="1184"/>
      <c r="HP12" s="1184"/>
      <c r="HQ12" s="1184"/>
      <c r="HR12" s="1184"/>
      <c r="HS12" s="1184"/>
      <c r="HT12" s="1184"/>
      <c r="HU12" s="1184"/>
      <c r="HV12" s="1184"/>
      <c r="HW12" s="1184"/>
      <c r="HX12" s="1184"/>
      <c r="HY12" s="1184"/>
      <c r="HZ12" s="1184"/>
      <c r="IA12" s="1184"/>
      <c r="IB12" s="1184"/>
      <c r="IC12" s="1184"/>
      <c r="ID12" s="1184"/>
      <c r="IE12" s="1184"/>
      <c r="IF12" s="1184"/>
      <c r="IG12" s="1184"/>
      <c r="IH12" s="1184"/>
      <c r="II12" s="1184"/>
      <c r="IJ12" s="1184"/>
      <c r="IK12" s="1184"/>
      <c r="IL12" s="1184"/>
      <c r="IM12" s="1184"/>
      <c r="IN12" s="1184"/>
      <c r="IO12" s="1184"/>
      <c r="IP12" s="1184"/>
      <c r="IQ12" s="1184"/>
      <c r="IR12" s="1184"/>
      <c r="IS12" s="1184"/>
      <c r="IT12" s="1184"/>
      <c r="IU12" s="1184"/>
      <c r="IV12" s="1184"/>
    </row>
    <row r="13" spans="1:257" ht="14.25">
      <c r="A13" s="1189"/>
      <c r="B13" s="1190" t="s">
        <v>632</v>
      </c>
      <c r="C13" s="2563">
        <v>45586</v>
      </c>
      <c r="D13" s="1191">
        <v>3.1</v>
      </c>
      <c r="E13" s="1191">
        <f>D13</f>
        <v>3.1</v>
      </c>
      <c r="F13" s="1191">
        <f>D13</f>
        <v>3.1</v>
      </c>
      <c r="G13" s="1191">
        <f>D13</f>
        <v>3.1</v>
      </c>
      <c r="H13" s="1191">
        <v>3.6</v>
      </c>
      <c r="I13" s="1191"/>
      <c r="J13" s="1191"/>
      <c r="K13" s="1189"/>
      <c r="L13" s="1190" t="s">
        <v>632</v>
      </c>
      <c r="M13" s="1192">
        <v>42301</v>
      </c>
      <c r="N13" s="1191">
        <v>0.35</v>
      </c>
      <c r="O13" s="1191">
        <v>1.1000000000000001</v>
      </c>
      <c r="P13" s="1191">
        <v>1.3</v>
      </c>
      <c r="Q13" s="1191">
        <v>1.5</v>
      </c>
      <c r="R13" s="1191">
        <v>2.1</v>
      </c>
      <c r="S13" s="1191">
        <v>2.75</v>
      </c>
      <c r="T13" s="1191"/>
      <c r="U13" s="1191"/>
      <c r="V13" s="1191"/>
      <c r="W13" s="1191"/>
      <c r="X13" s="1191"/>
      <c r="Y13" s="1191"/>
      <c r="Z13" s="1191"/>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3"/>
      <c r="GE13" s="1193"/>
      <c r="GF13" s="1193"/>
      <c r="GG13" s="1193"/>
      <c r="GH13" s="1193"/>
      <c r="GI13" s="1193"/>
      <c r="GJ13" s="1193"/>
      <c r="GK13" s="1193"/>
      <c r="GL13" s="1193"/>
      <c r="GM13" s="1193"/>
      <c r="GN13" s="1193"/>
      <c r="GO13" s="1193"/>
      <c r="GP13" s="1193"/>
      <c r="GQ13" s="1193"/>
      <c r="GR13" s="1193"/>
      <c r="GS13" s="1193"/>
      <c r="GT13" s="1193"/>
      <c r="GU13" s="1193"/>
      <c r="GV13" s="1193"/>
      <c r="GW13" s="1193"/>
      <c r="GX13" s="1193"/>
      <c r="GY13" s="1193"/>
      <c r="GZ13" s="1193"/>
      <c r="HA13" s="1193"/>
      <c r="HB13" s="1193"/>
      <c r="HC13" s="1193"/>
      <c r="HD13" s="1193"/>
      <c r="HE13" s="1193"/>
      <c r="HF13" s="1193"/>
      <c r="HG13" s="1193"/>
      <c r="HH13" s="1193"/>
      <c r="HI13" s="1193"/>
      <c r="HJ13" s="1193"/>
      <c r="HK13" s="1193"/>
      <c r="HL13" s="1193"/>
      <c r="HM13" s="1193"/>
      <c r="HN13" s="1193"/>
      <c r="HO13" s="1193"/>
      <c r="HP13" s="1193"/>
      <c r="HQ13" s="1193"/>
      <c r="HR13" s="1193"/>
      <c r="HS13" s="1193"/>
      <c r="HT13" s="1193"/>
      <c r="HU13" s="1193"/>
      <c r="HV13" s="1193"/>
      <c r="HW13" s="1193"/>
      <c r="HX13" s="1193"/>
      <c r="HY13" s="1193"/>
      <c r="HZ13" s="1193"/>
      <c r="IA13" s="1193"/>
      <c r="IB13" s="1193"/>
      <c r="IC13" s="1193"/>
      <c r="ID13" s="1193"/>
      <c r="IE13" s="1193"/>
      <c r="IF13" s="1193"/>
      <c r="IG13" s="1193"/>
      <c r="IH13" s="1193"/>
      <c r="II13" s="1193"/>
      <c r="IJ13" s="1193"/>
      <c r="IK13" s="1193"/>
      <c r="IL13" s="1193"/>
      <c r="IM13" s="1193"/>
      <c r="IN13" s="1193"/>
      <c r="IO13" s="1193"/>
      <c r="IP13" s="1193"/>
      <c r="IQ13" s="1193"/>
      <c r="IR13" s="1193"/>
      <c r="IS13" s="1193"/>
      <c r="IT13" s="1193"/>
      <c r="IU13" s="1193"/>
      <c r="IV13" s="1193"/>
      <c r="IW13" s="1194"/>
    </row>
    <row r="14" spans="1:257" ht="14.25">
      <c r="A14" s="1189"/>
      <c r="B14" s="1190"/>
      <c r="C14" s="1196">
        <v>45495</v>
      </c>
      <c r="D14" s="1195">
        <v>3.35</v>
      </c>
      <c r="E14" s="1195">
        <f>D14</f>
        <v>3.35</v>
      </c>
      <c r="F14" s="1195">
        <f>D14</f>
        <v>3.35</v>
      </c>
      <c r="G14" s="1195">
        <f>D14</f>
        <v>3.35</v>
      </c>
      <c r="H14" s="1195">
        <v>3.85</v>
      </c>
      <c r="I14" s="1191"/>
      <c r="J14" s="1191"/>
      <c r="K14" s="1189"/>
      <c r="L14" s="1195"/>
      <c r="M14" s="1196">
        <v>42242</v>
      </c>
      <c r="N14" s="1195">
        <v>0.35</v>
      </c>
      <c r="O14" s="1195">
        <v>1.35</v>
      </c>
      <c r="P14" s="1195">
        <v>1.55</v>
      </c>
      <c r="Q14" s="1195">
        <v>1.75</v>
      </c>
      <c r="R14" s="1195">
        <v>2.35</v>
      </c>
      <c r="S14" s="1195">
        <v>3</v>
      </c>
      <c r="T14" s="1195"/>
      <c r="U14" s="1195"/>
      <c r="V14" s="1195"/>
      <c r="W14" s="1195"/>
      <c r="X14" s="1195"/>
      <c r="Y14" s="1195"/>
      <c r="Z14" s="1195"/>
    </row>
    <row r="15" spans="1:257" ht="14.25">
      <c r="A15" s="1189"/>
      <c r="B15" s="1190"/>
      <c r="C15" s="1196">
        <v>45342</v>
      </c>
      <c r="D15" s="1195">
        <v>3.45</v>
      </c>
      <c r="E15" s="1195">
        <f>D15</f>
        <v>3.45</v>
      </c>
      <c r="F15" s="1195">
        <f>D15</f>
        <v>3.45</v>
      </c>
      <c r="G15" s="1195">
        <f>D15</f>
        <v>3.45</v>
      </c>
      <c r="H15" s="1195">
        <v>3.95</v>
      </c>
      <c r="I15" s="1191"/>
      <c r="J15" s="1191"/>
      <c r="K15" s="1189"/>
      <c r="L15" s="1195"/>
      <c r="M15" s="1196">
        <v>42183</v>
      </c>
      <c r="N15" s="1195">
        <v>0.35</v>
      </c>
      <c r="O15" s="1195">
        <v>1.6</v>
      </c>
      <c r="P15" s="1195">
        <v>1.8</v>
      </c>
      <c r="Q15" s="1195">
        <v>2</v>
      </c>
      <c r="R15" s="1195">
        <v>2.6</v>
      </c>
      <c r="S15" s="1195">
        <v>3.25</v>
      </c>
      <c r="T15" s="1195"/>
      <c r="U15" s="1195"/>
      <c r="V15" s="1195"/>
      <c r="W15" s="1195"/>
      <c r="X15" s="1195"/>
      <c r="Y15" s="1195"/>
      <c r="Z15" s="1195"/>
    </row>
    <row r="16" spans="1:257" ht="14.25">
      <c r="A16" s="1189"/>
      <c r="B16" s="1190"/>
      <c r="C16" s="1196">
        <v>45159</v>
      </c>
      <c r="D16" s="1195">
        <v>3.45</v>
      </c>
      <c r="E16" s="1195">
        <f>D16</f>
        <v>3.45</v>
      </c>
      <c r="F16" s="1195">
        <f>D16</f>
        <v>3.45</v>
      </c>
      <c r="G16" s="1195">
        <f>D16</f>
        <v>3.45</v>
      </c>
      <c r="H16" s="1195">
        <v>4.2</v>
      </c>
      <c r="I16" s="1191"/>
      <c r="J16" s="1191"/>
      <c r="K16" s="1189"/>
      <c r="L16" s="1195"/>
      <c r="M16" s="1196">
        <v>42135</v>
      </c>
      <c r="N16" s="1195">
        <v>0.35</v>
      </c>
      <c r="O16" s="1195">
        <v>1.85</v>
      </c>
      <c r="P16" s="1195">
        <v>2.0499999999999998</v>
      </c>
      <c r="Q16" s="1195">
        <v>2.25</v>
      </c>
      <c r="R16" s="1195">
        <v>2.85</v>
      </c>
      <c r="S16" s="1195">
        <v>3.5</v>
      </c>
      <c r="T16" s="1195"/>
      <c r="U16" s="1195"/>
      <c r="V16" s="1195"/>
      <c r="W16" s="1195"/>
      <c r="X16" s="1195"/>
      <c r="Y16" s="1195"/>
      <c r="Z16" s="1195"/>
    </row>
    <row r="17" spans="1:256" ht="14.25">
      <c r="A17" s="1189"/>
      <c r="B17" s="1190"/>
      <c r="C17" s="1196">
        <v>45097</v>
      </c>
      <c r="D17" s="1195">
        <v>3.55</v>
      </c>
      <c r="E17" s="1195">
        <f>D17</f>
        <v>3.55</v>
      </c>
      <c r="F17" s="1195">
        <f>D17</f>
        <v>3.55</v>
      </c>
      <c r="G17" s="1195">
        <f>D17</f>
        <v>3.55</v>
      </c>
      <c r="H17" s="1195">
        <v>4.2</v>
      </c>
      <c r="I17" s="1191"/>
      <c r="J17" s="1191"/>
      <c r="L17" s="1195"/>
      <c r="M17" s="1196">
        <v>42064</v>
      </c>
      <c r="N17" s="1195">
        <v>0.35</v>
      </c>
      <c r="O17" s="1195">
        <v>2.1</v>
      </c>
      <c r="P17" s="1195">
        <v>2.2999999999999998</v>
      </c>
      <c r="Q17" s="1195">
        <v>2.5</v>
      </c>
      <c r="R17" s="1195">
        <v>3.1</v>
      </c>
      <c r="S17" s="1195">
        <v>3.75</v>
      </c>
      <c r="T17" s="1195">
        <v>4.5</v>
      </c>
      <c r="U17" s="1195">
        <v>2.35</v>
      </c>
      <c r="V17" s="1195">
        <v>2.5499999999999998</v>
      </c>
      <c r="W17" s="1195">
        <v>2.75</v>
      </c>
      <c r="X17" s="1195"/>
      <c r="Y17" s="1195">
        <v>0.8</v>
      </c>
      <c r="Z17" s="1195">
        <v>1.35</v>
      </c>
    </row>
    <row r="18" spans="1:256" ht="15">
      <c r="A18" s="1189"/>
      <c r="B18" s="1190"/>
      <c r="C18" s="1196">
        <v>44795</v>
      </c>
      <c r="D18" s="1195">
        <v>3.65</v>
      </c>
      <c r="E18" s="1195">
        <v>3.65</v>
      </c>
      <c r="F18" s="1195">
        <v>3.65</v>
      </c>
      <c r="G18" s="1195">
        <v>3.65</v>
      </c>
      <c r="H18" s="1195">
        <v>4.3</v>
      </c>
      <c r="I18" s="1191"/>
      <c r="J18" s="1191"/>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89"/>
      <c r="B19" s="1190"/>
      <c r="C19" s="1196">
        <v>44701</v>
      </c>
      <c r="D19" s="1195">
        <v>3.7</v>
      </c>
      <c r="E19" s="1195">
        <f>D19</f>
        <v>3.7</v>
      </c>
      <c r="F19" s="1195">
        <f>D19</f>
        <v>3.7</v>
      </c>
      <c r="G19" s="1195">
        <f>D19</f>
        <v>3.7</v>
      </c>
      <c r="H19" s="1195">
        <v>4.45</v>
      </c>
      <c r="I19" s="1191"/>
      <c r="J19" s="1191"/>
      <c r="K19" s="1149"/>
      <c r="L19" s="1195"/>
      <c r="M19" s="1196">
        <v>41096</v>
      </c>
      <c r="N19" s="1195">
        <v>0.35</v>
      </c>
      <c r="O19" s="1195">
        <v>2.6</v>
      </c>
      <c r="P19" s="1195">
        <v>2.8</v>
      </c>
      <c r="Q19" s="1195">
        <v>3</v>
      </c>
      <c r="R19" s="1195">
        <v>3.75</v>
      </c>
      <c r="S19" s="1195">
        <v>4.25</v>
      </c>
      <c r="T19" s="1195">
        <v>4.75</v>
      </c>
      <c r="U19" s="1195">
        <v>2.85</v>
      </c>
      <c r="V19" s="1195">
        <v>2.9</v>
      </c>
      <c r="W19" s="1195">
        <v>3</v>
      </c>
      <c r="X19" s="1195">
        <v>1.1499999999999999</v>
      </c>
      <c r="Y19" s="1195">
        <v>0.8</v>
      </c>
      <c r="Z19" s="1195">
        <v>1.35</v>
      </c>
      <c r="AA19" s="1184"/>
      <c r="AB19" s="1184"/>
      <c r="AC19" s="1184"/>
      <c r="AD19" s="1184"/>
      <c r="AE19" s="1184"/>
      <c r="AF19" s="1184"/>
      <c r="AG19" s="1184"/>
      <c r="AH19" s="1184"/>
      <c r="AI19" s="1184"/>
      <c r="AJ19" s="1184"/>
      <c r="AK19" s="1184"/>
      <c r="AL19" s="1184"/>
      <c r="AM19" s="1184"/>
      <c r="AN19" s="1184"/>
      <c r="AO19" s="1184"/>
      <c r="AP19" s="1184"/>
      <c r="AQ19" s="1184"/>
      <c r="AR19" s="1184"/>
      <c r="AS19" s="1184"/>
      <c r="AT19" s="1184"/>
      <c r="AU19" s="1184"/>
      <c r="AV19" s="1184"/>
      <c r="AW19" s="1184"/>
      <c r="AX19" s="1184"/>
      <c r="AY19" s="1184"/>
      <c r="AZ19" s="1184"/>
      <c r="BA19" s="1184"/>
      <c r="BB19" s="1184"/>
      <c r="BC19" s="1184"/>
      <c r="BD19" s="1184"/>
      <c r="BE19" s="1184"/>
      <c r="BF19" s="1184"/>
      <c r="BG19" s="1184"/>
      <c r="BH19" s="1184"/>
      <c r="BI19" s="1184"/>
      <c r="BJ19" s="1184"/>
      <c r="BK19" s="1184"/>
      <c r="BL19" s="1184"/>
      <c r="BM19" s="1184"/>
      <c r="BN19" s="1184"/>
      <c r="BO19" s="1184"/>
      <c r="BP19" s="1184"/>
      <c r="BQ19" s="1184"/>
      <c r="BR19" s="1184"/>
      <c r="BS19" s="1184"/>
      <c r="BT19" s="1184"/>
      <c r="BU19" s="1184"/>
      <c r="BV19" s="1184"/>
      <c r="BW19" s="1184"/>
      <c r="BX19" s="1184"/>
      <c r="BY19" s="1184"/>
      <c r="BZ19" s="1184"/>
      <c r="CA19" s="1184"/>
      <c r="CB19" s="1184"/>
      <c r="CC19" s="1184"/>
      <c r="CD19" s="1184"/>
      <c r="CE19" s="1184"/>
      <c r="CF19" s="1184"/>
      <c r="CG19" s="1184"/>
      <c r="CH19" s="1184"/>
      <c r="CI19" s="1184"/>
      <c r="CJ19" s="1184"/>
      <c r="CK19" s="1184"/>
      <c r="CL19" s="1184"/>
      <c r="CM19" s="1184"/>
      <c r="CN19" s="1184"/>
      <c r="CO19" s="1184"/>
      <c r="CP19" s="1184"/>
      <c r="CQ19" s="1184"/>
      <c r="CR19" s="1184"/>
      <c r="CS19" s="1184"/>
      <c r="CT19" s="1184"/>
      <c r="CU19" s="1184"/>
      <c r="CV19" s="1184"/>
      <c r="CW19" s="1184"/>
      <c r="CX19" s="1184"/>
      <c r="CY19" s="1184"/>
      <c r="CZ19" s="1184"/>
      <c r="DA19" s="1184"/>
      <c r="DB19" s="1184"/>
      <c r="DC19" s="1184"/>
      <c r="DD19" s="1184"/>
      <c r="DE19" s="1184"/>
      <c r="DF19" s="1184"/>
      <c r="DG19" s="1184"/>
      <c r="DH19" s="1184"/>
      <c r="DI19" s="1184"/>
      <c r="DJ19" s="1184"/>
      <c r="DK19" s="1184"/>
      <c r="DL19" s="1184"/>
      <c r="DM19" s="1184"/>
      <c r="DN19" s="1184"/>
      <c r="DO19" s="1184"/>
      <c r="DP19" s="1184"/>
      <c r="DQ19" s="1184"/>
      <c r="DR19" s="1184"/>
      <c r="DS19" s="1184"/>
      <c r="DT19" s="1184"/>
      <c r="DU19" s="1184"/>
      <c r="DV19" s="1184"/>
      <c r="DW19" s="1184"/>
      <c r="DX19" s="1184"/>
      <c r="DY19" s="1184"/>
      <c r="DZ19" s="1184"/>
      <c r="EA19" s="1184"/>
      <c r="EB19" s="1184"/>
      <c r="EC19" s="1184"/>
      <c r="ED19" s="1184"/>
      <c r="EE19" s="1184"/>
      <c r="EF19" s="1184"/>
      <c r="EG19" s="1184"/>
      <c r="EH19" s="1184"/>
      <c r="EI19" s="1184"/>
      <c r="EJ19" s="1184"/>
      <c r="EK19" s="1184"/>
      <c r="EL19" s="1184"/>
      <c r="EM19" s="1184"/>
      <c r="EN19" s="1184"/>
      <c r="EO19" s="1184"/>
      <c r="EP19" s="1184"/>
      <c r="EQ19" s="1184"/>
      <c r="ER19" s="1184"/>
      <c r="ES19" s="1184"/>
      <c r="ET19" s="1184"/>
      <c r="EU19" s="1184"/>
      <c r="EV19" s="1184"/>
      <c r="EW19" s="1184"/>
      <c r="EX19" s="1184"/>
      <c r="EY19" s="1184"/>
      <c r="EZ19" s="1184"/>
      <c r="FA19" s="1184"/>
      <c r="FB19" s="1184"/>
      <c r="FC19" s="1184"/>
      <c r="FD19" s="1184"/>
      <c r="FE19" s="1184"/>
      <c r="FF19" s="1184"/>
      <c r="FG19" s="1184"/>
      <c r="FH19" s="1184"/>
      <c r="FI19" s="1184"/>
      <c r="FJ19" s="1184"/>
      <c r="FK19" s="1184"/>
      <c r="FL19" s="1184"/>
      <c r="FM19" s="1184"/>
      <c r="FN19" s="1184"/>
      <c r="FO19" s="1184"/>
      <c r="FP19" s="1184"/>
      <c r="FQ19" s="1184"/>
      <c r="FR19" s="1184"/>
      <c r="FS19" s="1184"/>
      <c r="FT19" s="1184"/>
      <c r="FU19" s="1184"/>
      <c r="FV19" s="1184"/>
      <c r="FW19" s="1184"/>
      <c r="FX19" s="1184"/>
      <c r="FY19" s="1184"/>
      <c r="FZ19" s="1184"/>
      <c r="GA19" s="1184"/>
      <c r="GB19" s="1184"/>
      <c r="GC19" s="1184"/>
      <c r="GD19" s="1184"/>
      <c r="GE19" s="1184"/>
      <c r="GF19" s="1184"/>
      <c r="GG19" s="1184"/>
      <c r="GH19" s="1184"/>
      <c r="GI19" s="1184"/>
      <c r="GJ19" s="1184"/>
      <c r="GK19" s="1184"/>
      <c r="GL19" s="1184"/>
      <c r="GM19" s="1184"/>
      <c r="GN19" s="1184"/>
      <c r="GO19" s="1184"/>
      <c r="GP19" s="1184"/>
      <c r="GQ19" s="1184"/>
      <c r="GR19" s="1184"/>
      <c r="GS19" s="1184"/>
      <c r="GT19" s="1184"/>
      <c r="GU19" s="1184"/>
      <c r="GV19" s="1184"/>
      <c r="GW19" s="1184"/>
      <c r="GX19" s="1184"/>
      <c r="GY19" s="1184"/>
      <c r="GZ19" s="1184"/>
      <c r="HA19" s="1184"/>
      <c r="HB19" s="1184"/>
      <c r="HC19" s="1184"/>
      <c r="HD19" s="1184"/>
      <c r="HE19" s="1184"/>
      <c r="HF19" s="1184"/>
      <c r="HG19" s="1184"/>
      <c r="HH19" s="1184"/>
      <c r="HI19" s="1184"/>
      <c r="HJ19" s="1184"/>
      <c r="HK19" s="1184"/>
      <c r="HL19" s="1184"/>
      <c r="HM19" s="1184"/>
      <c r="HN19" s="1184"/>
      <c r="HO19" s="1184"/>
      <c r="HP19" s="1184"/>
      <c r="HQ19" s="1184"/>
      <c r="HR19" s="1184"/>
      <c r="HS19" s="1184"/>
      <c r="HT19" s="1184"/>
      <c r="HU19" s="1184"/>
      <c r="HV19" s="1184"/>
      <c r="HW19" s="1184"/>
      <c r="HX19" s="1184"/>
      <c r="HY19" s="1184"/>
      <c r="HZ19" s="1184"/>
      <c r="IA19" s="1184"/>
      <c r="IB19" s="1184"/>
      <c r="IC19" s="1184"/>
      <c r="ID19" s="1184"/>
      <c r="IE19" s="1184"/>
      <c r="IF19" s="1184"/>
      <c r="IG19" s="1184"/>
      <c r="IH19" s="1184"/>
      <c r="II19" s="1184"/>
      <c r="IJ19" s="1184"/>
      <c r="IK19" s="1184"/>
      <c r="IL19" s="1184"/>
      <c r="IM19" s="1184"/>
      <c r="IN19" s="1184"/>
      <c r="IO19" s="1184"/>
      <c r="IP19" s="1184"/>
      <c r="IQ19" s="1184"/>
      <c r="IR19" s="1184"/>
      <c r="IS19" s="1184"/>
      <c r="IT19" s="1184"/>
      <c r="IU19" s="1184"/>
      <c r="IV19" s="1184"/>
    </row>
    <row r="20" spans="1:256" ht="14.25">
      <c r="A20" s="1189"/>
      <c r="B20" s="1190"/>
      <c r="C20" s="1196">
        <v>44581</v>
      </c>
      <c r="D20" s="1195">
        <v>3.7</v>
      </c>
      <c r="E20" s="1195">
        <f>D20</f>
        <v>3.7</v>
      </c>
      <c r="F20" s="1195">
        <f>D20</f>
        <v>3.7</v>
      </c>
      <c r="G20" s="1195">
        <f>D20</f>
        <v>3.7</v>
      </c>
      <c r="H20" s="1195">
        <v>4.5999999999999996</v>
      </c>
      <c r="I20" s="1191"/>
      <c r="J20" s="1191"/>
      <c r="L20" s="1195"/>
      <c r="M20" s="1196">
        <v>41068</v>
      </c>
      <c r="N20" s="1195">
        <v>0.4</v>
      </c>
      <c r="O20" s="1195">
        <v>2.85</v>
      </c>
      <c r="P20" s="1195">
        <v>3.05</v>
      </c>
      <c r="Q20" s="1195">
        <v>3.25</v>
      </c>
      <c r="R20" s="1195">
        <v>4.0999999999999996</v>
      </c>
      <c r="S20" s="1195">
        <v>4.6500000000000004</v>
      </c>
      <c r="T20" s="1195">
        <v>5.0999999999999996</v>
      </c>
      <c r="U20" s="1195">
        <v>3.1</v>
      </c>
      <c r="V20" s="1195">
        <v>3.15</v>
      </c>
      <c r="W20" s="1195">
        <v>3.25</v>
      </c>
      <c r="X20" s="1195">
        <v>1.31</v>
      </c>
      <c r="Y20" s="1195">
        <v>0.94</v>
      </c>
      <c r="Z20" s="1195">
        <v>1.49</v>
      </c>
    </row>
    <row r="21" spans="1:256" ht="14.25">
      <c r="A21" s="1189"/>
      <c r="B21" s="1195"/>
      <c r="C21" s="1196">
        <v>44550</v>
      </c>
      <c r="D21" s="1195">
        <v>3.8</v>
      </c>
      <c r="E21" s="1195">
        <f>D21</f>
        <v>3.8</v>
      </c>
      <c r="F21" s="1195">
        <f>D21</f>
        <v>3.8</v>
      </c>
      <c r="G21" s="1195">
        <f>D21</f>
        <v>3.8</v>
      </c>
      <c r="H21" s="1195">
        <v>4.6500000000000004</v>
      </c>
      <c r="I21" s="1195"/>
      <c r="J21" s="1191"/>
      <c r="L21" s="1195"/>
      <c r="M21" s="1196">
        <v>40731</v>
      </c>
      <c r="N21" s="1195">
        <v>0.5</v>
      </c>
      <c r="O21" s="1195">
        <v>3.1</v>
      </c>
      <c r="P21" s="1195">
        <v>3.3</v>
      </c>
      <c r="Q21" s="1195">
        <v>3.5</v>
      </c>
      <c r="R21" s="1195">
        <v>4.4000000000000004</v>
      </c>
      <c r="S21" s="1195">
        <v>5</v>
      </c>
      <c r="T21" s="1195">
        <v>5.5</v>
      </c>
      <c r="U21" s="1195">
        <v>3.1</v>
      </c>
      <c r="V21" s="1195">
        <v>3.3</v>
      </c>
      <c r="W21" s="1195">
        <v>3.5</v>
      </c>
      <c r="X21" s="1195">
        <v>1.31</v>
      </c>
      <c r="Y21" s="1195">
        <v>0.95</v>
      </c>
      <c r="Z21" s="1195">
        <v>1.49</v>
      </c>
    </row>
    <row r="22" spans="1:256" ht="14.25">
      <c r="A22" s="1189"/>
      <c r="B22" s="1195"/>
      <c r="C22" s="1196">
        <v>43941</v>
      </c>
      <c r="D22" s="1195">
        <v>3.85</v>
      </c>
      <c r="E22" s="1195">
        <v>3.85</v>
      </c>
      <c r="F22" s="1195">
        <v>3.85</v>
      </c>
      <c r="G22" s="1195">
        <v>3.85</v>
      </c>
      <c r="H22" s="1195">
        <v>4.6500000000000004</v>
      </c>
      <c r="I22" s="1195"/>
      <c r="J22" s="1195"/>
      <c r="K22" s="1178"/>
      <c r="L22" s="1195"/>
      <c r="M22" s="1196">
        <v>40639</v>
      </c>
      <c r="N22" s="1195">
        <v>0.5</v>
      </c>
      <c r="O22" s="1195">
        <v>2.85</v>
      </c>
      <c r="P22" s="1195">
        <v>3.05</v>
      </c>
      <c r="Q22" s="1195">
        <v>3.25</v>
      </c>
      <c r="R22" s="1195">
        <v>4.1500000000000004</v>
      </c>
      <c r="S22" s="1195">
        <v>4.75</v>
      </c>
      <c r="T22" s="1195">
        <v>5.25</v>
      </c>
      <c r="U22" s="1195">
        <v>2.85</v>
      </c>
      <c r="V22" s="1195">
        <v>3.05</v>
      </c>
      <c r="W22" s="1195">
        <v>3.25</v>
      </c>
      <c r="X22" s="1195">
        <v>1.31</v>
      </c>
      <c r="Y22" s="1195">
        <v>0.95</v>
      </c>
      <c r="Z22" s="1195">
        <v>1.49</v>
      </c>
    </row>
    <row r="23" spans="1:256" ht="14.25">
      <c r="A23" s="2564"/>
      <c r="B23" s="1195"/>
      <c r="C23" s="1196">
        <v>43881</v>
      </c>
      <c r="D23" s="1195">
        <v>4.05</v>
      </c>
      <c r="E23" s="1195">
        <v>4.05</v>
      </c>
      <c r="F23" s="1195">
        <v>4.05</v>
      </c>
      <c r="G23" s="1195">
        <v>4.05</v>
      </c>
      <c r="H23" s="1195">
        <v>4.75</v>
      </c>
      <c r="I23" s="1195"/>
      <c r="J23" s="1195"/>
      <c r="L23" s="1195"/>
      <c r="M23" s="1196">
        <v>40583</v>
      </c>
      <c r="N23" s="1195">
        <v>0.4</v>
      </c>
      <c r="O23" s="1195">
        <v>2.6</v>
      </c>
      <c r="P23" s="1195">
        <v>2.8</v>
      </c>
      <c r="Q23" s="1195">
        <v>3</v>
      </c>
      <c r="R23" s="1195">
        <v>3.9</v>
      </c>
      <c r="S23" s="1195">
        <v>4.5</v>
      </c>
      <c r="T23" s="1195">
        <v>5</v>
      </c>
      <c r="U23" s="1195">
        <v>2.6</v>
      </c>
      <c r="V23" s="1195">
        <v>2.8</v>
      </c>
      <c r="W23" s="1195">
        <v>3</v>
      </c>
      <c r="X23" s="1195">
        <v>1.21</v>
      </c>
      <c r="Y23" s="1195">
        <v>0.85</v>
      </c>
      <c r="Z23" s="1195">
        <v>1.39</v>
      </c>
    </row>
    <row r="24" spans="1:256">
      <c r="B24" s="1195"/>
      <c r="C24" s="1196">
        <v>43789</v>
      </c>
      <c r="D24" s="1195">
        <v>4.1500000000000004</v>
      </c>
      <c r="E24" s="1195">
        <v>4.1500000000000004</v>
      </c>
      <c r="F24" s="1195">
        <v>4.1500000000000004</v>
      </c>
      <c r="G24" s="1195">
        <v>4.1500000000000004</v>
      </c>
      <c r="H24" s="1195">
        <v>4.8</v>
      </c>
      <c r="I24" s="1195"/>
      <c r="J24" s="1195"/>
      <c r="L24" s="1195"/>
      <c r="M24" s="1196">
        <v>40538</v>
      </c>
      <c r="N24" s="1195">
        <v>0.36</v>
      </c>
      <c r="O24" s="1195">
        <v>2.25</v>
      </c>
      <c r="P24" s="1195">
        <v>2.5</v>
      </c>
      <c r="Q24" s="1195">
        <v>2.75</v>
      </c>
      <c r="R24" s="1195">
        <v>3.55</v>
      </c>
      <c r="S24" s="1195">
        <v>4.1500000000000004</v>
      </c>
      <c r="T24" s="1195">
        <v>4.55</v>
      </c>
      <c r="U24" s="1195">
        <v>2.16</v>
      </c>
      <c r="V24" s="1195">
        <v>2.5</v>
      </c>
      <c r="W24" s="1195">
        <v>2.85</v>
      </c>
      <c r="X24" s="1195">
        <v>1.17</v>
      </c>
      <c r="Y24" s="1195">
        <v>0.81</v>
      </c>
      <c r="Z24" s="1195">
        <v>1.35</v>
      </c>
    </row>
    <row r="25" spans="1:256">
      <c r="B25" s="1195"/>
      <c r="C25" s="1196">
        <v>43728</v>
      </c>
      <c r="D25" s="1195">
        <v>4.2</v>
      </c>
      <c r="E25" s="1195">
        <v>4.2</v>
      </c>
      <c r="F25" s="1195">
        <v>4.2</v>
      </c>
      <c r="G25" s="1195">
        <v>4.2</v>
      </c>
      <c r="H25" s="1195">
        <v>4.8499999999999996</v>
      </c>
      <c r="I25" s="1195"/>
      <c r="J25" s="1195"/>
      <c r="L25" s="1195"/>
      <c r="M25" s="1196">
        <v>40471</v>
      </c>
      <c r="N25" s="1195">
        <v>0.36</v>
      </c>
      <c r="O25" s="1195">
        <v>1.91</v>
      </c>
      <c r="P25" s="1195">
        <v>2.2000000000000002</v>
      </c>
      <c r="Q25" s="1195">
        <v>2.5</v>
      </c>
      <c r="R25" s="1195">
        <v>3.25</v>
      </c>
      <c r="S25" s="1195">
        <v>3.85</v>
      </c>
      <c r="T25" s="1195">
        <v>4.2</v>
      </c>
      <c r="U25" s="1195">
        <v>1.91</v>
      </c>
      <c r="V25" s="1195">
        <v>2.2000000000000002</v>
      </c>
      <c r="W25" s="1195">
        <v>2.5</v>
      </c>
      <c r="X25" s="1195">
        <v>1.17</v>
      </c>
      <c r="Y25" s="1195">
        <v>0.81</v>
      </c>
      <c r="Z25" s="1195">
        <v>1.35</v>
      </c>
    </row>
    <row r="26" spans="1:256" ht="14.25">
      <c r="B26" s="1190" t="s">
        <v>2299</v>
      </c>
      <c r="C26" s="1197">
        <v>43697</v>
      </c>
      <c r="D26" s="2562">
        <v>4.25</v>
      </c>
      <c r="E26" s="2562">
        <v>4.25</v>
      </c>
      <c r="F26" s="2562">
        <v>4.25</v>
      </c>
      <c r="G26" s="2562">
        <v>4.25</v>
      </c>
      <c r="H26" s="2562">
        <v>4.8499999999999996</v>
      </c>
      <c r="I26" s="2562"/>
      <c r="J26" s="2562"/>
      <c r="L26" s="1195"/>
      <c r="M26" s="1196">
        <v>39805</v>
      </c>
      <c r="N26" s="1195">
        <v>0.36</v>
      </c>
      <c r="O26" s="1195">
        <v>1.71</v>
      </c>
      <c r="P26" s="1195">
        <v>1.98</v>
      </c>
      <c r="Q26" s="1195">
        <v>2.25</v>
      </c>
      <c r="R26" s="1195">
        <v>2.79</v>
      </c>
      <c r="S26" s="1195">
        <v>3.33</v>
      </c>
      <c r="T26" s="1195">
        <v>3.6</v>
      </c>
      <c r="U26" s="1195">
        <v>1.71</v>
      </c>
      <c r="V26" s="1195">
        <v>1.98</v>
      </c>
      <c r="W26" s="1195">
        <v>2.25</v>
      </c>
      <c r="X26" s="1195">
        <v>1.17</v>
      </c>
      <c r="Y26" s="1195">
        <v>0.81</v>
      </c>
      <c r="Z26" s="1195">
        <v>1.35</v>
      </c>
    </row>
    <row r="27" spans="1:256" ht="14.25">
      <c r="B27" s="2565"/>
      <c r="C27" s="2566">
        <v>42301</v>
      </c>
      <c r="D27" s="2567">
        <v>4.3499999999999996</v>
      </c>
      <c r="E27" s="2567">
        <v>4.3499999999999996</v>
      </c>
      <c r="F27" s="2567">
        <v>4.75</v>
      </c>
      <c r="G27" s="2567">
        <v>4.75</v>
      </c>
      <c r="H27" s="2567">
        <v>4.9000000000000004</v>
      </c>
      <c r="I27" s="2567"/>
      <c r="J27" s="2567"/>
      <c r="L27" s="1195"/>
      <c r="M27" s="1196">
        <v>39779</v>
      </c>
      <c r="N27" s="1195">
        <v>0.36</v>
      </c>
      <c r="O27" s="1195">
        <v>1.98</v>
      </c>
      <c r="P27" s="1195">
        <v>2.25</v>
      </c>
      <c r="Q27" s="1195">
        <v>2.52</v>
      </c>
      <c r="R27" s="1195">
        <v>3.06</v>
      </c>
      <c r="S27" s="1195">
        <v>3.6</v>
      </c>
      <c r="T27" s="1195">
        <v>3.87</v>
      </c>
      <c r="U27" s="1195">
        <v>1.98</v>
      </c>
      <c r="V27" s="1195">
        <v>2.25</v>
      </c>
      <c r="W27" s="1195">
        <v>2.52</v>
      </c>
      <c r="X27" s="1195">
        <v>1.17</v>
      </c>
      <c r="Y27" s="1195">
        <v>0.81</v>
      </c>
      <c r="Z27" s="1195">
        <v>1.35</v>
      </c>
    </row>
    <row r="28" spans="1:256">
      <c r="B28" s="1195"/>
      <c r="C28" s="1196">
        <v>42242</v>
      </c>
      <c r="D28" s="1195">
        <v>4.5999999999999996</v>
      </c>
      <c r="E28" s="1195">
        <v>4.5999999999999996</v>
      </c>
      <c r="F28" s="1195">
        <v>5</v>
      </c>
      <c r="G28" s="1195">
        <v>5</v>
      </c>
      <c r="H28" s="1195">
        <v>5.15</v>
      </c>
      <c r="I28" s="1195">
        <v>2.75</v>
      </c>
      <c r="J28" s="1195">
        <v>3.25</v>
      </c>
      <c r="L28" s="1195"/>
      <c r="M28" s="1196">
        <v>39751</v>
      </c>
      <c r="N28" s="1195">
        <v>0.72</v>
      </c>
      <c r="O28" s="1195">
        <v>2.88</v>
      </c>
      <c r="P28" s="1195">
        <v>3.24</v>
      </c>
      <c r="Q28" s="1195">
        <v>3.6</v>
      </c>
      <c r="R28" s="1195">
        <v>4.1399999999999997</v>
      </c>
      <c r="S28" s="1195">
        <v>4.7699999999999996</v>
      </c>
      <c r="T28" s="1195">
        <v>5.13</v>
      </c>
      <c r="U28" s="1195">
        <v>2.88</v>
      </c>
      <c r="V28" s="1195">
        <v>3.24</v>
      </c>
      <c r="W28" s="1195">
        <v>3.6</v>
      </c>
      <c r="X28" s="1195">
        <v>1.53</v>
      </c>
      <c r="Y28" s="1195">
        <v>1.17</v>
      </c>
      <c r="Z28" s="1195">
        <v>1.71</v>
      </c>
    </row>
    <row r="29" spans="1:256">
      <c r="B29" s="1195"/>
      <c r="C29" s="1196">
        <v>42183</v>
      </c>
      <c r="D29" s="1195">
        <v>4.8499999999999996</v>
      </c>
      <c r="E29" s="1195">
        <v>4.8499999999999996</v>
      </c>
      <c r="F29" s="1195">
        <v>5.25</v>
      </c>
      <c r="G29" s="1195">
        <v>5.25</v>
      </c>
      <c r="H29" s="1195">
        <v>5.4</v>
      </c>
      <c r="I29" s="1195">
        <v>3</v>
      </c>
      <c r="J29" s="1195">
        <v>3.5</v>
      </c>
      <c r="L29" s="1195"/>
      <c r="M29" s="1197">
        <v>39736</v>
      </c>
      <c r="N29" s="1195">
        <v>0.72</v>
      </c>
      <c r="O29" s="1195">
        <v>3.15</v>
      </c>
      <c r="P29" s="1195">
        <v>3.51</v>
      </c>
      <c r="Q29" s="1195">
        <v>3.87</v>
      </c>
      <c r="R29" s="1195">
        <v>4.41</v>
      </c>
      <c r="S29" s="1195">
        <v>5.13</v>
      </c>
      <c r="T29" s="1195">
        <v>5.58</v>
      </c>
      <c r="U29" s="1195">
        <v>3.15</v>
      </c>
      <c r="V29" s="1195">
        <v>3.51</v>
      </c>
      <c r="W29" s="1195">
        <v>3.87</v>
      </c>
      <c r="X29" s="1195">
        <v>1.53</v>
      </c>
      <c r="Y29" s="1195">
        <v>1.17</v>
      </c>
      <c r="Z29" s="1195">
        <v>1.71</v>
      </c>
    </row>
    <row r="30" spans="1:256">
      <c r="B30" s="1195"/>
      <c r="C30" s="1196">
        <v>42135</v>
      </c>
      <c r="D30" s="1195">
        <v>5.0999999999999996</v>
      </c>
      <c r="E30" s="1195">
        <v>5.0999999999999996</v>
      </c>
      <c r="F30" s="1195">
        <v>5.5</v>
      </c>
      <c r="G30" s="1195">
        <v>5.5</v>
      </c>
      <c r="H30" s="1195">
        <v>5.65</v>
      </c>
      <c r="I30" s="1195">
        <v>3.25</v>
      </c>
      <c r="J30" s="1195">
        <v>3.75</v>
      </c>
      <c r="L30" s="1195"/>
      <c r="M30" s="1196">
        <v>39730</v>
      </c>
      <c r="N30" s="1195">
        <v>0.72</v>
      </c>
      <c r="O30" s="1195">
        <v>3.15</v>
      </c>
      <c r="P30" s="1195">
        <v>3.51</v>
      </c>
      <c r="Q30" s="1195">
        <v>3.87</v>
      </c>
      <c r="R30" s="1195">
        <v>4.41</v>
      </c>
      <c r="S30" s="1195">
        <v>5.13</v>
      </c>
      <c r="T30" s="1195">
        <v>5.58</v>
      </c>
      <c r="U30" s="1195">
        <v>3.15</v>
      </c>
      <c r="V30" s="1195">
        <v>3.51</v>
      </c>
      <c r="W30" s="1195">
        <v>3.87</v>
      </c>
      <c r="X30" s="1195">
        <v>1.53</v>
      </c>
      <c r="Y30" s="1195">
        <v>1.17</v>
      </c>
      <c r="Z30" s="1195">
        <v>1.71</v>
      </c>
    </row>
    <row r="31" spans="1:256">
      <c r="B31" s="1195"/>
      <c r="C31" s="1196">
        <v>42064</v>
      </c>
      <c r="D31" s="1195">
        <v>5.35</v>
      </c>
      <c r="E31" s="1195">
        <v>5.35</v>
      </c>
      <c r="F31" s="1195">
        <v>5.75</v>
      </c>
      <c r="G31" s="1195">
        <v>5.75</v>
      </c>
      <c r="H31" s="1195">
        <v>5.9</v>
      </c>
      <c r="I31" s="1195"/>
      <c r="J31" s="1195"/>
      <c r="L31" s="1195"/>
      <c r="M31" s="1196">
        <v>39437</v>
      </c>
      <c r="N31" s="1195">
        <v>0.72</v>
      </c>
      <c r="O31" s="1195">
        <v>3.33</v>
      </c>
      <c r="P31" s="1195">
        <v>3.78</v>
      </c>
      <c r="Q31" s="1195">
        <v>4.1399999999999997</v>
      </c>
      <c r="R31" s="1195">
        <v>4.68</v>
      </c>
      <c r="S31" s="1195">
        <v>5.4</v>
      </c>
      <c r="T31" s="1195">
        <v>5.85</v>
      </c>
      <c r="U31" s="1195">
        <v>3.33</v>
      </c>
      <c r="V31" s="1195">
        <v>3.78</v>
      </c>
      <c r="W31" s="1195">
        <v>4.1399999999999997</v>
      </c>
      <c r="X31" s="1195">
        <v>1.53</v>
      </c>
      <c r="Y31" s="1195">
        <v>1.17</v>
      </c>
      <c r="Z31" s="1195">
        <v>1.71</v>
      </c>
    </row>
    <row r="32" spans="1:256">
      <c r="B32" s="1195"/>
      <c r="C32" s="1196">
        <v>41965</v>
      </c>
      <c r="D32" s="1195">
        <v>5.6</v>
      </c>
      <c r="E32" s="1195">
        <v>5.6</v>
      </c>
      <c r="F32" s="1195">
        <v>6</v>
      </c>
      <c r="G32" s="1195">
        <v>6</v>
      </c>
      <c r="H32" s="1195">
        <v>6.15</v>
      </c>
      <c r="I32" s="1195"/>
      <c r="J32" s="1195"/>
      <c r="L32" s="1195"/>
      <c r="M32" s="1196">
        <v>39340</v>
      </c>
      <c r="N32" s="1195">
        <v>0.81</v>
      </c>
      <c r="O32" s="1195">
        <v>2.88</v>
      </c>
      <c r="P32" s="1195">
        <v>3.42</v>
      </c>
      <c r="Q32" s="1195">
        <v>3.87</v>
      </c>
      <c r="R32" s="1195">
        <v>4.5</v>
      </c>
      <c r="S32" s="1195">
        <v>5.22</v>
      </c>
      <c r="T32" s="1195">
        <v>5.76</v>
      </c>
      <c r="U32" s="1195">
        <v>2.88</v>
      </c>
      <c r="V32" s="1195">
        <v>3.42</v>
      </c>
      <c r="W32" s="1195">
        <v>3.87</v>
      </c>
      <c r="X32" s="1195">
        <v>1.53</v>
      </c>
      <c r="Y32" s="1195">
        <v>1.17</v>
      </c>
      <c r="Z32" s="1195">
        <v>1.71</v>
      </c>
    </row>
    <row r="33" spans="2:26">
      <c r="B33" s="1195"/>
      <c r="C33" s="1196">
        <v>41096</v>
      </c>
      <c r="D33" s="1195">
        <v>5.6</v>
      </c>
      <c r="E33" s="1195">
        <v>6</v>
      </c>
      <c r="F33" s="1195">
        <v>6.15</v>
      </c>
      <c r="G33" s="1195">
        <v>6.4</v>
      </c>
      <c r="H33" s="1195">
        <v>6.55</v>
      </c>
      <c r="I33" s="1195">
        <v>4</v>
      </c>
      <c r="J33" s="1195">
        <v>4.5</v>
      </c>
      <c r="L33" s="1195"/>
      <c r="M33" s="1196">
        <v>39316</v>
      </c>
      <c r="N33" s="1195">
        <v>0.81</v>
      </c>
      <c r="O33" s="1195">
        <v>2.61</v>
      </c>
      <c r="P33" s="1195">
        <v>3.15</v>
      </c>
      <c r="Q33" s="1195">
        <v>3.6</v>
      </c>
      <c r="R33" s="1195">
        <v>4.2300000000000004</v>
      </c>
      <c r="S33" s="1195">
        <v>4.95</v>
      </c>
      <c r="T33" s="1195">
        <v>5.49</v>
      </c>
      <c r="U33" s="1195">
        <v>2.61</v>
      </c>
      <c r="V33" s="1195">
        <v>3.15</v>
      </c>
      <c r="W33" s="1195">
        <v>3.6</v>
      </c>
      <c r="X33" s="1195">
        <v>1.53</v>
      </c>
      <c r="Y33" s="1195">
        <v>1.17</v>
      </c>
      <c r="Z33" s="1195">
        <v>1.71</v>
      </c>
    </row>
    <row r="34" spans="2:26">
      <c r="B34" s="1195"/>
      <c r="C34" s="1196">
        <v>41068</v>
      </c>
      <c r="D34" s="1195">
        <v>5.85</v>
      </c>
      <c r="E34" s="1195">
        <v>6.31</v>
      </c>
      <c r="F34" s="1195">
        <v>6.4</v>
      </c>
      <c r="G34" s="1195">
        <v>6.65</v>
      </c>
      <c r="H34" s="1195">
        <v>6.8</v>
      </c>
      <c r="I34" s="1195">
        <v>4.2</v>
      </c>
      <c r="J34" s="1195">
        <v>4.7</v>
      </c>
      <c r="L34" s="1195"/>
      <c r="M34" s="1196">
        <v>39284</v>
      </c>
      <c r="N34" s="1195">
        <v>0.81</v>
      </c>
      <c r="O34" s="1195">
        <v>2.34</v>
      </c>
      <c r="P34" s="1195">
        <v>2.88</v>
      </c>
      <c r="Q34" s="1195">
        <v>3.33</v>
      </c>
      <c r="R34" s="1195">
        <v>3.96</v>
      </c>
      <c r="S34" s="1195">
        <v>4.68</v>
      </c>
      <c r="T34" s="1195">
        <v>5.22</v>
      </c>
      <c r="U34" s="1195">
        <v>2.34</v>
      </c>
      <c r="V34" s="1195">
        <v>2.88</v>
      </c>
      <c r="W34" s="1195">
        <v>3.33</v>
      </c>
      <c r="X34" s="1195">
        <v>1.53</v>
      </c>
      <c r="Y34" s="1195">
        <v>1.17</v>
      </c>
      <c r="Z34" s="1195">
        <v>1.71</v>
      </c>
    </row>
    <row r="35" spans="2:26">
      <c r="B35" s="1195"/>
      <c r="C35" s="1196">
        <v>40731</v>
      </c>
      <c r="D35" s="1195">
        <v>6.1</v>
      </c>
      <c r="E35" s="1195">
        <v>6.56</v>
      </c>
      <c r="F35" s="1195">
        <v>6.65</v>
      </c>
      <c r="G35" s="1195">
        <v>6.9</v>
      </c>
      <c r="H35" s="1195">
        <v>7.05</v>
      </c>
      <c r="I35" s="1195">
        <v>4.45</v>
      </c>
      <c r="J35" s="1195">
        <v>4.9000000000000004</v>
      </c>
      <c r="L35" s="1195"/>
      <c r="M35" s="1196">
        <v>39221</v>
      </c>
      <c r="N35" s="1195">
        <v>0.72</v>
      </c>
      <c r="O35" s="1195">
        <v>2.0699999999999998</v>
      </c>
      <c r="P35" s="1195">
        <v>2.61</v>
      </c>
      <c r="Q35" s="1195">
        <v>3.06</v>
      </c>
      <c r="R35" s="1195">
        <v>3.69</v>
      </c>
      <c r="S35" s="1195">
        <v>4.41</v>
      </c>
      <c r="T35" s="1195">
        <v>4.95</v>
      </c>
      <c r="U35" s="1195">
        <v>2.0699999999999998</v>
      </c>
      <c r="V35" s="1195">
        <v>2.61</v>
      </c>
      <c r="W35" s="1195">
        <v>3.06</v>
      </c>
      <c r="X35" s="1195">
        <v>1.44</v>
      </c>
      <c r="Y35" s="1195">
        <v>1.08</v>
      </c>
      <c r="Z35" s="1195">
        <v>1.62</v>
      </c>
    </row>
    <row r="36" spans="2:26">
      <c r="B36" s="1195"/>
      <c r="C36" s="1196">
        <v>40639</v>
      </c>
      <c r="D36" s="1195">
        <v>5.85</v>
      </c>
      <c r="E36" s="1195">
        <v>6.31</v>
      </c>
      <c r="F36" s="1195">
        <v>6.4</v>
      </c>
      <c r="G36" s="1195">
        <v>6.65</v>
      </c>
      <c r="H36" s="1195">
        <v>6.8</v>
      </c>
      <c r="I36" s="1195">
        <v>4.2</v>
      </c>
      <c r="J36" s="1195">
        <v>4.7</v>
      </c>
      <c r="L36" s="1195"/>
      <c r="M36" s="1196">
        <v>39159</v>
      </c>
      <c r="N36" s="1195">
        <v>0.72</v>
      </c>
      <c r="O36" s="1195">
        <v>1.98</v>
      </c>
      <c r="P36" s="1195">
        <v>2.4300000000000002</v>
      </c>
      <c r="Q36" s="1195">
        <v>2.79</v>
      </c>
      <c r="R36" s="1195">
        <v>3.33</v>
      </c>
      <c r="S36" s="1195">
        <v>3.96</v>
      </c>
      <c r="T36" s="1195">
        <v>4.41</v>
      </c>
      <c r="U36" s="1195">
        <v>1.98</v>
      </c>
      <c r="V36" s="1195">
        <v>2.4300000000000002</v>
      </c>
      <c r="W36" s="1195">
        <v>2.79</v>
      </c>
      <c r="X36" s="1195">
        <v>1.44</v>
      </c>
      <c r="Y36" s="1195">
        <v>1.08</v>
      </c>
      <c r="Z36" s="1195">
        <v>1.62</v>
      </c>
    </row>
    <row r="37" spans="2:26">
      <c r="B37" s="1195"/>
      <c r="C37" s="1196">
        <v>40583</v>
      </c>
      <c r="D37" s="1195">
        <v>5.6</v>
      </c>
      <c r="E37" s="1195">
        <v>6.06</v>
      </c>
      <c r="F37" s="1195">
        <v>6.1</v>
      </c>
      <c r="G37" s="1195">
        <v>6.45</v>
      </c>
      <c r="H37" s="1195">
        <v>6.6</v>
      </c>
      <c r="I37" s="1195">
        <v>4</v>
      </c>
      <c r="J37" s="1195">
        <v>4.5</v>
      </c>
      <c r="L37" s="1195"/>
      <c r="M37" s="1196">
        <v>38948</v>
      </c>
      <c r="N37" s="1195">
        <v>0.72</v>
      </c>
      <c r="O37" s="1195">
        <v>1.8</v>
      </c>
      <c r="P37" s="1195">
        <v>2.25</v>
      </c>
      <c r="Q37" s="1195">
        <v>2.52</v>
      </c>
      <c r="R37" s="1195">
        <v>3.06</v>
      </c>
      <c r="S37" s="1195">
        <v>3.69</v>
      </c>
      <c r="T37" s="1195">
        <v>4.1399999999999997</v>
      </c>
      <c r="U37" s="1195">
        <v>1.8</v>
      </c>
      <c r="V37" s="1195">
        <v>2.25</v>
      </c>
      <c r="W37" s="1195">
        <v>2.52</v>
      </c>
      <c r="X37" s="1195">
        <v>1.44</v>
      </c>
      <c r="Y37" s="1195">
        <v>1.08</v>
      </c>
      <c r="Z37" s="1195">
        <v>1.62</v>
      </c>
    </row>
    <row r="38" spans="2:26">
      <c r="B38" s="1195"/>
      <c r="C38" s="1196">
        <v>40538</v>
      </c>
      <c r="D38" s="1195">
        <v>5.35</v>
      </c>
      <c r="E38" s="1195">
        <v>5.81</v>
      </c>
      <c r="F38" s="1195">
        <v>5.85</v>
      </c>
      <c r="G38" s="1195">
        <v>6.22</v>
      </c>
      <c r="H38" s="1195">
        <v>6.4</v>
      </c>
      <c r="I38" s="1195">
        <v>3.75</v>
      </c>
      <c r="J38" s="1195">
        <v>4.3</v>
      </c>
      <c r="L38" s="1195"/>
      <c r="M38" s="1196">
        <v>38289</v>
      </c>
      <c r="N38" s="1195">
        <v>0.72</v>
      </c>
      <c r="O38" s="1195">
        <v>1.71</v>
      </c>
      <c r="P38" s="1195">
        <v>2.0699999999999998</v>
      </c>
      <c r="Q38" s="1195">
        <v>2.25</v>
      </c>
      <c r="R38" s="1195">
        <v>2.7</v>
      </c>
      <c r="S38" s="1195">
        <v>3.24</v>
      </c>
      <c r="T38" s="1195">
        <v>3.6</v>
      </c>
      <c r="U38" s="1195">
        <v>1.71</v>
      </c>
      <c r="V38" s="1195">
        <v>2.0699999999999998</v>
      </c>
      <c r="W38" s="1195">
        <v>2.25</v>
      </c>
      <c r="X38" s="1195">
        <v>1.44</v>
      </c>
      <c r="Y38" s="1195">
        <v>1.08</v>
      </c>
      <c r="Z38" s="1195">
        <v>1.62</v>
      </c>
    </row>
    <row r="39" spans="2:26">
      <c r="B39" s="1195"/>
      <c r="C39" s="1196">
        <v>40471</v>
      </c>
      <c r="D39" s="1195">
        <v>5.0999999999999996</v>
      </c>
      <c r="E39" s="1195">
        <v>5.56</v>
      </c>
      <c r="F39" s="1195">
        <v>5.6</v>
      </c>
      <c r="G39" s="1195">
        <v>5.96</v>
      </c>
      <c r="H39" s="1195">
        <v>6.14</v>
      </c>
      <c r="I39" s="1195">
        <v>3.5</v>
      </c>
      <c r="J39" s="1195">
        <v>4.05</v>
      </c>
      <c r="L39" s="1195"/>
      <c r="M39" s="1196">
        <v>37308</v>
      </c>
      <c r="N39" s="1195">
        <v>0.72</v>
      </c>
      <c r="O39" s="1195">
        <v>1.71</v>
      </c>
      <c r="P39" s="1195">
        <v>1.89</v>
      </c>
      <c r="Q39" s="1195">
        <v>1.98</v>
      </c>
      <c r="R39" s="1195">
        <v>2.25</v>
      </c>
      <c r="S39" s="1195">
        <v>2.52</v>
      </c>
      <c r="T39" s="1195">
        <v>2.79</v>
      </c>
      <c r="U39" s="1195">
        <v>1.71</v>
      </c>
      <c r="V39" s="1195">
        <v>1.89</v>
      </c>
      <c r="W39" s="1195">
        <v>1.98</v>
      </c>
      <c r="X39" s="1195">
        <v>1.44</v>
      </c>
      <c r="Y39" s="1195">
        <v>1.08</v>
      </c>
      <c r="Z39" s="1195">
        <v>1.62</v>
      </c>
    </row>
    <row r="40" spans="2:26">
      <c r="B40" s="1195"/>
      <c r="C40" s="1196">
        <v>39805</v>
      </c>
      <c r="D40" s="1195">
        <v>4.8600000000000003</v>
      </c>
      <c r="E40" s="1195">
        <v>5.31</v>
      </c>
      <c r="F40" s="1195">
        <v>5.4</v>
      </c>
      <c r="G40" s="1195">
        <v>5.76</v>
      </c>
      <c r="H40" s="1195">
        <v>5.94</v>
      </c>
      <c r="I40" s="1195">
        <v>3.33</v>
      </c>
      <c r="J40" s="1195">
        <v>3.87</v>
      </c>
      <c r="L40" s="1195"/>
      <c r="M40" s="1196">
        <v>36321</v>
      </c>
      <c r="N40" s="1195">
        <v>0.99</v>
      </c>
      <c r="O40" s="1195">
        <v>1.98</v>
      </c>
      <c r="P40" s="1195">
        <v>2.16</v>
      </c>
      <c r="Q40" s="1195">
        <v>2.25</v>
      </c>
      <c r="R40" s="1195">
        <v>2.4300000000000002</v>
      </c>
      <c r="S40" s="1195">
        <v>2.7</v>
      </c>
      <c r="T40" s="1195">
        <v>2.88</v>
      </c>
      <c r="U40" s="1195">
        <v>1.98</v>
      </c>
      <c r="V40" s="1195">
        <v>2.16</v>
      </c>
      <c r="W40" s="1195">
        <v>2.25</v>
      </c>
      <c r="X40" s="1195">
        <v>1.71</v>
      </c>
      <c r="Y40" s="1195">
        <v>1.35</v>
      </c>
      <c r="Z40" s="1195">
        <v>1.89</v>
      </c>
    </row>
    <row r="41" spans="2:26">
      <c r="B41" s="1195"/>
      <c r="C41" s="1196">
        <v>39779</v>
      </c>
      <c r="D41" s="1195">
        <v>5.04</v>
      </c>
      <c r="E41" s="1195">
        <v>5.58</v>
      </c>
      <c r="F41" s="1195">
        <v>5.67</v>
      </c>
      <c r="G41" s="1195">
        <v>5.94</v>
      </c>
      <c r="H41" s="1195">
        <v>6.12</v>
      </c>
      <c r="I41" s="1195">
        <v>3.51</v>
      </c>
      <c r="J41" s="1195">
        <v>4.05</v>
      </c>
      <c r="L41" s="1195"/>
      <c r="M41" s="1196">
        <v>36136</v>
      </c>
      <c r="N41" s="1195">
        <v>1.44</v>
      </c>
      <c r="O41" s="1195">
        <v>2.79</v>
      </c>
      <c r="P41" s="1195">
        <v>3.33</v>
      </c>
      <c r="Q41" s="1195">
        <v>3.78</v>
      </c>
      <c r="R41" s="1195">
        <v>3.96</v>
      </c>
      <c r="S41" s="1195">
        <v>4.1399999999999997</v>
      </c>
      <c r="T41" s="1195">
        <v>4.5</v>
      </c>
      <c r="U41" s="1195">
        <v>3.33</v>
      </c>
      <c r="V41" s="1195">
        <v>3.78</v>
      </c>
      <c r="W41" s="1195">
        <v>4.1399999999999997</v>
      </c>
      <c r="X41" s="1195">
        <v>2.16</v>
      </c>
      <c r="Y41" s="1195">
        <v>1.8</v>
      </c>
      <c r="Z41" s="1195">
        <v>2.34</v>
      </c>
    </row>
    <row r="42" spans="2:26">
      <c r="B42" s="1195"/>
      <c r="C42" s="1196">
        <v>39751</v>
      </c>
      <c r="D42" s="1195">
        <v>6.03</v>
      </c>
      <c r="E42" s="1195">
        <v>6.66</v>
      </c>
      <c r="F42" s="1195">
        <v>6.75</v>
      </c>
      <c r="G42" s="1195">
        <v>7.02</v>
      </c>
      <c r="H42" s="1195">
        <v>7.2</v>
      </c>
      <c r="I42" s="1195">
        <v>4.05</v>
      </c>
      <c r="J42" s="1195">
        <v>4.59</v>
      </c>
      <c r="L42" s="1195"/>
      <c r="M42" s="1196">
        <v>35977</v>
      </c>
      <c r="N42" s="1195">
        <v>1.44</v>
      </c>
      <c r="O42" s="1195">
        <v>2.79</v>
      </c>
      <c r="P42" s="1195">
        <v>3.96</v>
      </c>
      <c r="Q42" s="1195">
        <v>4.7699999999999996</v>
      </c>
      <c r="R42" s="1195">
        <v>4.8600000000000003</v>
      </c>
      <c r="S42" s="1195">
        <v>4.95</v>
      </c>
      <c r="T42" s="1195">
        <v>5.22</v>
      </c>
      <c r="U42" s="1195">
        <v>3.96</v>
      </c>
      <c r="V42" s="1195">
        <v>4.7699999999999996</v>
      </c>
      <c r="W42" s="1195">
        <v>4.95</v>
      </c>
      <c r="X42" s="1195" t="s">
        <v>633</v>
      </c>
      <c r="Y42" s="1195" t="s">
        <v>633</v>
      </c>
      <c r="Z42" s="1195" t="s">
        <v>633</v>
      </c>
    </row>
    <row r="43" spans="2:26">
      <c r="B43" s="1195"/>
      <c r="C43" s="1197">
        <v>39748</v>
      </c>
      <c r="D43" s="1195">
        <v>6.12</v>
      </c>
      <c r="E43" s="1195">
        <v>6.93</v>
      </c>
      <c r="F43" s="1195">
        <v>7.02</v>
      </c>
      <c r="G43" s="1195">
        <v>7.29</v>
      </c>
      <c r="H43" s="1195">
        <v>7.47</v>
      </c>
      <c r="I43" s="1195">
        <v>4.05</v>
      </c>
      <c r="J43" s="1195">
        <v>4.59</v>
      </c>
      <c r="L43" s="1195"/>
      <c r="M43" s="1196">
        <v>35879</v>
      </c>
      <c r="N43" s="1195">
        <v>1.71</v>
      </c>
      <c r="O43" s="1195">
        <v>2.88</v>
      </c>
      <c r="P43" s="1195">
        <v>4.1399999999999997</v>
      </c>
      <c r="Q43" s="1195">
        <v>5.22</v>
      </c>
      <c r="R43" s="1195">
        <v>5.58</v>
      </c>
      <c r="S43" s="1195">
        <v>6.21</v>
      </c>
      <c r="T43" s="1195">
        <v>6.66</v>
      </c>
      <c r="U43" s="1195">
        <v>4.1399999999999997</v>
      </c>
      <c r="V43" s="1195">
        <v>5.22</v>
      </c>
      <c r="W43" s="1195">
        <v>6.21</v>
      </c>
      <c r="X43" s="1195" t="s">
        <v>633</v>
      </c>
      <c r="Y43" s="1195" t="s">
        <v>633</v>
      </c>
      <c r="Z43" s="1195" t="s">
        <v>633</v>
      </c>
    </row>
    <row r="44" spans="2:26">
      <c r="B44" s="1195"/>
      <c r="C44" s="1196">
        <v>39730</v>
      </c>
      <c r="D44" s="1195">
        <v>6.12</v>
      </c>
      <c r="E44" s="1195">
        <v>6.93</v>
      </c>
      <c r="F44" s="1195">
        <v>7.02</v>
      </c>
      <c r="G44" s="1195">
        <v>7.29</v>
      </c>
      <c r="H44" s="1195">
        <v>7.47</v>
      </c>
      <c r="I44" s="1195">
        <v>4.32</v>
      </c>
      <c r="J44" s="1195">
        <v>4.8600000000000003</v>
      </c>
      <c r="L44" s="1195"/>
      <c r="M44" s="1196">
        <v>35726</v>
      </c>
      <c r="N44" s="1195">
        <v>1.71</v>
      </c>
      <c r="O44" s="1195">
        <v>2.88</v>
      </c>
      <c r="P44" s="1195">
        <v>4.1399999999999997</v>
      </c>
      <c r="Q44" s="1195">
        <v>5.67</v>
      </c>
      <c r="R44" s="1195">
        <v>5.94</v>
      </c>
      <c r="S44" s="1195">
        <v>6.21</v>
      </c>
      <c r="T44" s="1195">
        <v>6.66</v>
      </c>
      <c r="U44" s="1195">
        <v>4.1399999999999997</v>
      </c>
      <c r="V44" s="1195">
        <v>5.67</v>
      </c>
      <c r="W44" s="1195">
        <v>6.21</v>
      </c>
      <c r="X44" s="1195" t="s">
        <v>633</v>
      </c>
      <c r="Y44" s="1195" t="s">
        <v>633</v>
      </c>
      <c r="Z44" s="1195" t="s">
        <v>633</v>
      </c>
    </row>
    <row r="45" spans="2:26">
      <c r="B45" s="1195"/>
      <c r="C45" s="1196">
        <v>39707</v>
      </c>
      <c r="D45" s="1195">
        <v>6.21</v>
      </c>
      <c r="E45" s="1195">
        <v>7.2</v>
      </c>
      <c r="F45" s="1195">
        <v>7.29</v>
      </c>
      <c r="G45" s="1195">
        <v>7.56</v>
      </c>
      <c r="H45" s="1195">
        <v>7.74</v>
      </c>
      <c r="I45" s="1195">
        <v>4.59</v>
      </c>
      <c r="J45" s="1195">
        <v>5.13</v>
      </c>
      <c r="L45" s="1195"/>
      <c r="M45" s="1196">
        <v>35300</v>
      </c>
      <c r="N45" s="1195">
        <v>1.98</v>
      </c>
      <c r="O45" s="1195">
        <v>3.33</v>
      </c>
      <c r="P45" s="1195">
        <v>5.4</v>
      </c>
      <c r="Q45" s="1195">
        <v>7.47</v>
      </c>
      <c r="R45" s="1195">
        <v>7.92</v>
      </c>
      <c r="S45" s="1195">
        <v>8.2799999999999994</v>
      </c>
      <c r="T45" s="1195">
        <v>9</v>
      </c>
      <c r="U45" s="1195">
        <v>5.4</v>
      </c>
      <c r="V45" s="1195">
        <v>7.47</v>
      </c>
      <c r="W45" s="1195">
        <v>8.2799999999999994</v>
      </c>
      <c r="X45" s="1195" t="s">
        <v>633</v>
      </c>
      <c r="Y45" s="1195" t="s">
        <v>633</v>
      </c>
      <c r="Z45" s="1195" t="s">
        <v>633</v>
      </c>
    </row>
    <row r="46" spans="2:26">
      <c r="B46" s="1195"/>
      <c r="C46" s="1196">
        <v>39437</v>
      </c>
      <c r="D46" s="1195">
        <v>6.57</v>
      </c>
      <c r="E46" s="1195">
        <v>7.47</v>
      </c>
      <c r="F46" s="1195">
        <v>7.56</v>
      </c>
      <c r="G46" s="1195">
        <v>7.74</v>
      </c>
      <c r="H46" s="1195">
        <v>7.83</v>
      </c>
      <c r="I46" s="1195">
        <v>4.7699999999999996</v>
      </c>
      <c r="J46" s="1195">
        <v>5.22</v>
      </c>
      <c r="L46" s="1195"/>
      <c r="M46" s="1196">
        <v>35186</v>
      </c>
      <c r="N46" s="1195">
        <v>2.97</v>
      </c>
      <c r="O46" s="1195">
        <v>4.8600000000000003</v>
      </c>
      <c r="P46" s="1195">
        <v>7.2</v>
      </c>
      <c r="Q46" s="1195">
        <v>9.18</v>
      </c>
      <c r="R46" s="1195">
        <v>9.9</v>
      </c>
      <c r="S46" s="1195">
        <v>10.8</v>
      </c>
      <c r="T46" s="1195">
        <v>12.06</v>
      </c>
      <c r="U46" s="1195">
        <v>7.2</v>
      </c>
      <c r="V46" s="1195">
        <v>9.18</v>
      </c>
      <c r="W46" s="1195">
        <v>10.8</v>
      </c>
      <c r="X46" s="1195" t="s">
        <v>633</v>
      </c>
      <c r="Y46" s="1195" t="s">
        <v>633</v>
      </c>
      <c r="Z46" s="1195" t="s">
        <v>633</v>
      </c>
    </row>
    <row r="47" spans="2:26">
      <c r="B47" s="1195"/>
      <c r="C47" s="1196">
        <v>39340</v>
      </c>
      <c r="D47" s="1195">
        <v>6.48</v>
      </c>
      <c r="E47" s="1195">
        <v>7.29</v>
      </c>
      <c r="F47" s="1195">
        <v>7.47</v>
      </c>
      <c r="G47" s="1195">
        <v>7.65</v>
      </c>
      <c r="H47" s="1195">
        <v>7.83</v>
      </c>
      <c r="I47" s="1195">
        <v>4.7699999999999996</v>
      </c>
      <c r="J47" s="1195">
        <v>5.22</v>
      </c>
      <c r="L47" s="1195"/>
      <c r="M47" s="1196">
        <v>34161</v>
      </c>
      <c r="N47" s="1195">
        <v>3.15</v>
      </c>
      <c r="O47" s="1195">
        <v>6.66</v>
      </c>
      <c r="P47" s="1195">
        <v>9</v>
      </c>
      <c r="Q47" s="1195">
        <v>10.98</v>
      </c>
      <c r="R47" s="1195">
        <v>11.7</v>
      </c>
      <c r="S47" s="1195">
        <v>12.24</v>
      </c>
      <c r="T47" s="1195">
        <v>13.86</v>
      </c>
      <c r="U47" s="1195">
        <v>9</v>
      </c>
      <c r="V47" s="1195">
        <v>10.98</v>
      </c>
      <c r="W47" s="1195">
        <v>12.24</v>
      </c>
      <c r="X47" s="1195" t="s">
        <v>633</v>
      </c>
      <c r="Y47" s="1195" t="s">
        <v>633</v>
      </c>
      <c r="Z47" s="1195" t="s">
        <v>633</v>
      </c>
    </row>
    <row r="48" spans="2:26">
      <c r="B48" s="1195"/>
      <c r="C48" s="1196">
        <v>39316</v>
      </c>
      <c r="D48" s="1195">
        <v>6.21</v>
      </c>
      <c r="E48" s="1195">
        <v>7.02</v>
      </c>
      <c r="F48" s="1195">
        <v>7.2</v>
      </c>
      <c r="G48" s="1195">
        <v>7.38</v>
      </c>
      <c r="H48" s="1195">
        <v>7.56</v>
      </c>
      <c r="I48" s="1195">
        <v>4.59</v>
      </c>
      <c r="J48" s="1195">
        <v>5.04</v>
      </c>
      <c r="L48" s="1195"/>
      <c r="M48" s="1196">
        <v>34104</v>
      </c>
      <c r="N48" s="1195">
        <v>2.16</v>
      </c>
      <c r="O48" s="1195">
        <v>4.8600000000000003</v>
      </c>
      <c r="P48" s="1195">
        <v>7.2</v>
      </c>
      <c r="Q48" s="1195">
        <v>9.18</v>
      </c>
      <c r="R48" s="1195">
        <v>9.9</v>
      </c>
      <c r="S48" s="1195">
        <v>10.8</v>
      </c>
      <c r="T48" s="1195">
        <v>12.06</v>
      </c>
      <c r="U48" s="1195">
        <v>7.2</v>
      </c>
      <c r="V48" s="1195">
        <v>9.18</v>
      </c>
      <c r="W48" s="1195">
        <v>10.8</v>
      </c>
      <c r="X48" s="1195" t="s">
        <v>633</v>
      </c>
      <c r="Y48" s="1195" t="s">
        <v>633</v>
      </c>
      <c r="Z48" s="1195" t="s">
        <v>633</v>
      </c>
    </row>
    <row r="49" spans="2:26">
      <c r="B49" s="1195"/>
      <c r="C49" s="1196">
        <v>39284</v>
      </c>
      <c r="D49" s="1195">
        <v>6.03</v>
      </c>
      <c r="E49" s="1195">
        <v>6.84</v>
      </c>
      <c r="F49" s="1195">
        <v>7.02</v>
      </c>
      <c r="G49" s="1195">
        <v>7.2</v>
      </c>
      <c r="H49" s="1195">
        <v>7.38</v>
      </c>
      <c r="I49" s="1195">
        <v>4.5</v>
      </c>
      <c r="J49" s="1195">
        <v>4.95</v>
      </c>
      <c r="L49" s="1195"/>
      <c r="M49" s="1196">
        <v>33349</v>
      </c>
      <c r="N49" s="1195">
        <v>1.8</v>
      </c>
      <c r="O49" s="1195">
        <v>3.24</v>
      </c>
      <c r="P49" s="1195">
        <v>5.4</v>
      </c>
      <c r="Q49" s="1195">
        <v>7.56</v>
      </c>
      <c r="R49" s="1195">
        <v>7.92</v>
      </c>
      <c r="S49" s="1195">
        <v>8.2799999999999994</v>
      </c>
      <c r="T49" s="1195">
        <v>9</v>
      </c>
      <c r="U49" s="1195">
        <v>6.12</v>
      </c>
      <c r="V49" s="1195">
        <v>6.84</v>
      </c>
      <c r="W49" s="1195">
        <v>7.56</v>
      </c>
      <c r="X49" s="1195" t="s">
        <v>633</v>
      </c>
      <c r="Y49" s="1195" t="s">
        <v>633</v>
      </c>
      <c r="Z49" s="1195" t="s">
        <v>633</v>
      </c>
    </row>
    <row r="50" spans="2:26">
      <c r="B50" s="1195"/>
      <c r="C50" s="1196">
        <v>39221</v>
      </c>
      <c r="D50" s="1195">
        <v>5.85</v>
      </c>
      <c r="E50" s="1195">
        <v>6.57</v>
      </c>
      <c r="F50" s="1195">
        <v>6.75</v>
      </c>
      <c r="G50" s="1195">
        <v>6.93</v>
      </c>
      <c r="H50" s="1195">
        <v>7.2</v>
      </c>
      <c r="I50" s="1195">
        <v>4.41</v>
      </c>
      <c r="J50" s="1195">
        <v>4.8600000000000003</v>
      </c>
      <c r="L50" s="1195"/>
      <c r="M50" s="1196">
        <v>33106</v>
      </c>
      <c r="N50" s="1195">
        <v>2.16</v>
      </c>
      <c r="O50" s="1195">
        <v>4.32</v>
      </c>
      <c r="P50" s="1195">
        <v>6.48</v>
      </c>
      <c r="Q50" s="1195">
        <v>8.64</v>
      </c>
      <c r="R50" s="1195">
        <v>9.36</v>
      </c>
      <c r="S50" s="1195">
        <v>10.08</v>
      </c>
      <c r="T50" s="1195">
        <v>11.52</v>
      </c>
      <c r="U50" s="1195">
        <v>7.2</v>
      </c>
      <c r="V50" s="1195">
        <v>8.64</v>
      </c>
      <c r="W50" s="1195">
        <v>10.08</v>
      </c>
      <c r="X50" s="1195" t="s">
        <v>633</v>
      </c>
      <c r="Y50" s="1195" t="s">
        <v>633</v>
      </c>
      <c r="Z50" s="1195" t="s">
        <v>633</v>
      </c>
    </row>
    <row r="51" spans="2:26">
      <c r="B51" s="1195"/>
      <c r="C51" s="1196">
        <v>39159</v>
      </c>
      <c r="D51" s="1195">
        <v>5.67</v>
      </c>
      <c r="E51" s="1195">
        <v>6.39</v>
      </c>
      <c r="F51" s="1195">
        <v>6.57</v>
      </c>
      <c r="G51" s="1195">
        <v>6.75</v>
      </c>
      <c r="H51" s="1195">
        <v>7.11</v>
      </c>
      <c r="I51" s="1195">
        <v>4.32</v>
      </c>
      <c r="J51" s="1195">
        <v>4.7699999999999996</v>
      </c>
      <c r="L51" s="1195"/>
      <c r="M51" s="1196">
        <v>32978</v>
      </c>
      <c r="N51" s="1195">
        <v>2.88</v>
      </c>
      <c r="O51" s="1195">
        <v>6.3</v>
      </c>
      <c r="P51" s="1195">
        <v>7.74</v>
      </c>
      <c r="Q51" s="1195">
        <v>10.08</v>
      </c>
      <c r="R51" s="1195">
        <v>10.98</v>
      </c>
      <c r="S51" s="1195">
        <v>11.88</v>
      </c>
      <c r="T51" s="1195">
        <v>13.68</v>
      </c>
      <c r="U51" s="1195" t="s">
        <v>633</v>
      </c>
      <c r="V51" s="1195" t="s">
        <v>633</v>
      </c>
      <c r="W51" s="1195" t="s">
        <v>633</v>
      </c>
      <c r="X51" s="1195" t="s">
        <v>633</v>
      </c>
      <c r="Y51" s="1195" t="s">
        <v>633</v>
      </c>
      <c r="Z51" s="1195" t="s">
        <v>633</v>
      </c>
    </row>
    <row r="52" spans="2:26">
      <c r="B52" s="1195"/>
      <c r="C52" s="1196">
        <v>38948</v>
      </c>
      <c r="D52" s="1195">
        <v>5.58</v>
      </c>
      <c r="E52" s="1195">
        <v>6.12</v>
      </c>
      <c r="F52" s="1195">
        <v>6.3</v>
      </c>
      <c r="G52" s="1195">
        <v>6.48</v>
      </c>
      <c r="H52" s="1195">
        <v>6.84</v>
      </c>
      <c r="I52" s="1195">
        <v>4.1399999999999997</v>
      </c>
      <c r="J52" s="1195">
        <v>4.59</v>
      </c>
      <c r="L52" s="1195"/>
      <c r="M52" s="1196"/>
      <c r="N52" s="1195"/>
      <c r="O52" s="1195"/>
      <c r="P52" s="1195"/>
      <c r="Q52" s="1195"/>
      <c r="R52" s="1195"/>
      <c r="S52" s="1195"/>
      <c r="T52" s="1195"/>
      <c r="U52" s="1195"/>
      <c r="V52" s="1195"/>
      <c r="W52" s="1195"/>
      <c r="X52" s="1195"/>
      <c r="Y52" s="1195"/>
      <c r="Z52" s="1195"/>
    </row>
    <row r="53" spans="2:26">
      <c r="B53" s="1195"/>
      <c r="C53" s="1196">
        <v>38835</v>
      </c>
      <c r="D53" s="1195">
        <v>5.4</v>
      </c>
      <c r="E53" s="1195">
        <v>5.85</v>
      </c>
      <c r="F53" s="1195">
        <v>6.03</v>
      </c>
      <c r="G53" s="1195">
        <v>6.12</v>
      </c>
      <c r="H53" s="1195">
        <v>6.39</v>
      </c>
      <c r="I53" s="1195">
        <v>4.1399999999999997</v>
      </c>
      <c r="J53" s="1195">
        <v>4.59</v>
      </c>
      <c r="L53" s="1195"/>
      <c r="M53" s="1196"/>
      <c r="N53" s="1195"/>
      <c r="O53" s="1195"/>
      <c r="P53" s="1195"/>
      <c r="Q53" s="1195"/>
      <c r="R53" s="1195"/>
      <c r="S53" s="1195"/>
      <c r="T53" s="1195"/>
      <c r="U53" s="1195"/>
      <c r="V53" s="1195"/>
      <c r="W53" s="1195"/>
      <c r="X53" s="1195"/>
      <c r="Y53" s="1195"/>
      <c r="Z53" s="1195"/>
    </row>
    <row r="54" spans="2:26">
      <c r="B54" s="1195"/>
      <c r="C54" s="1196">
        <v>38428</v>
      </c>
      <c r="D54" s="1195">
        <v>5.22</v>
      </c>
      <c r="E54" s="1195">
        <v>5.58</v>
      </c>
      <c r="F54" s="1195">
        <v>5.76</v>
      </c>
      <c r="G54" s="1195">
        <v>5.85</v>
      </c>
      <c r="H54" s="1195">
        <v>6.12</v>
      </c>
      <c r="I54" s="1195">
        <v>3.96</v>
      </c>
      <c r="J54" s="1195">
        <v>4.41</v>
      </c>
      <c r="L54" s="1195"/>
      <c r="M54" s="1196"/>
      <c r="N54" s="1195"/>
      <c r="O54" s="1195"/>
      <c r="P54" s="1195"/>
      <c r="Q54" s="1195"/>
      <c r="R54" s="1195"/>
      <c r="S54" s="1195"/>
      <c r="T54" s="1195"/>
      <c r="U54" s="1195"/>
      <c r="V54" s="1195"/>
      <c r="W54" s="1195"/>
      <c r="X54" s="1195"/>
      <c r="Y54" s="1195"/>
      <c r="Z54" s="1195"/>
    </row>
    <row r="55" spans="2:26">
      <c r="B55" s="1195"/>
      <c r="C55" s="1196">
        <v>38289</v>
      </c>
      <c r="D55" s="1195">
        <v>5.22</v>
      </c>
      <c r="E55" s="1195">
        <v>5.58</v>
      </c>
      <c r="F55" s="1195">
        <v>5.76</v>
      </c>
      <c r="G55" s="1195">
        <v>5.85</v>
      </c>
      <c r="H55" s="1195">
        <v>6.12</v>
      </c>
      <c r="I55" s="1195">
        <v>3.78</v>
      </c>
      <c r="J55" s="1195">
        <v>4.2300000000000004</v>
      </c>
      <c r="L55" s="1195"/>
      <c r="M55" s="1196"/>
      <c r="N55" s="1195"/>
      <c r="O55" s="1195"/>
      <c r="P55" s="1195"/>
      <c r="Q55" s="1195"/>
      <c r="R55" s="1195"/>
      <c r="S55" s="1195"/>
      <c r="T55" s="1195"/>
      <c r="U55" s="1195"/>
      <c r="V55" s="1195"/>
      <c r="W55" s="1195"/>
      <c r="X55" s="1195"/>
      <c r="Y55" s="1195"/>
      <c r="Z55" s="1195"/>
    </row>
    <row r="56" spans="2:26">
      <c r="B56" s="1195"/>
      <c r="C56" s="1196">
        <v>37308</v>
      </c>
      <c r="D56" s="1195">
        <v>5.04</v>
      </c>
      <c r="E56" s="1195">
        <v>5.31</v>
      </c>
      <c r="F56" s="1195">
        <v>5.49</v>
      </c>
      <c r="G56" s="1195">
        <v>5.58</v>
      </c>
      <c r="H56" s="1195">
        <v>5.76</v>
      </c>
      <c r="I56" s="1195">
        <v>3.6</v>
      </c>
      <c r="J56" s="1195">
        <v>4.05</v>
      </c>
      <c r="L56" s="1195"/>
      <c r="M56" s="1196"/>
      <c r="N56" s="1195"/>
      <c r="O56" s="1195"/>
      <c r="P56" s="1195"/>
      <c r="Q56" s="1195"/>
      <c r="R56" s="1195"/>
      <c r="S56" s="1195"/>
      <c r="T56" s="1195"/>
      <c r="U56" s="1195"/>
      <c r="V56" s="1195"/>
      <c r="W56" s="1195"/>
      <c r="X56" s="1195"/>
      <c r="Y56" s="1195"/>
      <c r="Z56" s="1195"/>
    </row>
    <row r="57" spans="2:26">
      <c r="B57" s="1195"/>
      <c r="C57" s="1196">
        <v>36321</v>
      </c>
      <c r="D57" s="1195">
        <v>5.58</v>
      </c>
      <c r="E57" s="1195">
        <v>5.85</v>
      </c>
      <c r="F57" s="1195">
        <v>5.94</v>
      </c>
      <c r="G57" s="1195">
        <v>6.03</v>
      </c>
      <c r="H57" s="1195">
        <v>6.21</v>
      </c>
      <c r="I57" s="1195">
        <v>4.1399999999999997</v>
      </c>
      <c r="J57" s="1195">
        <v>4.59</v>
      </c>
      <c r="L57" s="1195"/>
      <c r="M57" s="1196"/>
      <c r="N57" s="1195"/>
      <c r="O57" s="1195"/>
      <c r="P57" s="1195"/>
      <c r="Q57" s="1195"/>
      <c r="R57" s="1195"/>
      <c r="S57" s="1195"/>
      <c r="T57" s="1195"/>
      <c r="U57" s="1195"/>
      <c r="V57" s="1195"/>
      <c r="W57" s="1195"/>
      <c r="X57" s="1195"/>
      <c r="Y57" s="1195"/>
      <c r="Z57" s="1195"/>
    </row>
    <row r="58" spans="2:26">
      <c r="B58" s="1195"/>
      <c r="C58" s="1196">
        <v>36136</v>
      </c>
      <c r="D58" s="1195">
        <v>6.12</v>
      </c>
      <c r="E58" s="1195">
        <v>6.39</v>
      </c>
      <c r="F58" s="1195">
        <v>6.66</v>
      </c>
      <c r="G58" s="1195">
        <v>7.2</v>
      </c>
      <c r="H58" s="1195">
        <v>7.56</v>
      </c>
      <c r="I58" s="1195">
        <v>0</v>
      </c>
      <c r="J58" s="1195">
        <v>0</v>
      </c>
    </row>
    <row r="59" spans="2:26">
      <c r="B59" s="1195"/>
      <c r="C59" s="1196">
        <v>35977</v>
      </c>
      <c r="D59" s="1195">
        <v>6.57</v>
      </c>
      <c r="E59" s="1195">
        <v>6.93</v>
      </c>
      <c r="F59" s="1195">
        <v>7.11</v>
      </c>
      <c r="G59" s="1195">
        <v>7.65</v>
      </c>
      <c r="H59" s="1195">
        <v>8.01</v>
      </c>
      <c r="I59" s="1195">
        <v>0</v>
      </c>
      <c r="J59" s="1195">
        <v>0</v>
      </c>
    </row>
    <row r="60" spans="2:26">
      <c r="B60" s="1195"/>
      <c r="C60" s="1196">
        <v>35879</v>
      </c>
      <c r="D60" s="1195">
        <v>7.02</v>
      </c>
      <c r="E60" s="1195">
        <v>7.92</v>
      </c>
      <c r="F60" s="1195">
        <v>9</v>
      </c>
      <c r="G60" s="1195">
        <v>9.7200000000000006</v>
      </c>
      <c r="H60" s="1195">
        <v>10.35</v>
      </c>
      <c r="I60" s="1195">
        <v>0</v>
      </c>
      <c r="J60" s="1195">
        <v>0</v>
      </c>
    </row>
    <row r="61" spans="2:26">
      <c r="B61" s="1195"/>
      <c r="C61" s="1196">
        <v>35726</v>
      </c>
      <c r="D61" s="1195">
        <v>7.65</v>
      </c>
      <c r="E61" s="1195">
        <v>8.64</v>
      </c>
      <c r="F61" s="1195">
        <v>9.36</v>
      </c>
      <c r="G61" s="1195">
        <v>9.9</v>
      </c>
      <c r="H61" s="1195">
        <v>10.53</v>
      </c>
      <c r="I61" s="1195">
        <v>0</v>
      </c>
      <c r="J61" s="1195">
        <v>0</v>
      </c>
    </row>
    <row r="62" spans="2:26">
      <c r="B62" s="1195"/>
      <c r="C62" s="1196">
        <v>35300</v>
      </c>
      <c r="D62" s="1195">
        <v>9.18</v>
      </c>
      <c r="E62" s="1195">
        <v>10.08</v>
      </c>
      <c r="F62" s="1195">
        <v>10.98</v>
      </c>
      <c r="G62" s="1195">
        <v>11.7</v>
      </c>
      <c r="H62" s="1195">
        <v>12.42</v>
      </c>
      <c r="I62" s="1195">
        <v>0</v>
      </c>
      <c r="J62" s="1195">
        <v>0</v>
      </c>
    </row>
    <row r="63" spans="2:26">
      <c r="B63" s="1195"/>
      <c r="C63" s="1196">
        <v>35186</v>
      </c>
      <c r="D63" s="1195">
        <v>9.7200000000000006</v>
      </c>
      <c r="E63" s="1195">
        <v>10.98</v>
      </c>
      <c r="F63" s="1195">
        <v>13.14</v>
      </c>
      <c r="G63" s="1195">
        <v>14.94</v>
      </c>
      <c r="H63" s="1195">
        <v>15.12</v>
      </c>
      <c r="I63" s="1195">
        <v>0</v>
      </c>
      <c r="J63" s="1195">
        <v>0</v>
      </c>
    </row>
    <row r="64" spans="2:26">
      <c r="B64" s="1195"/>
      <c r="C64" s="1196">
        <v>34881</v>
      </c>
      <c r="D64" s="1195">
        <v>10.08</v>
      </c>
      <c r="E64" s="1195">
        <v>12.06</v>
      </c>
      <c r="F64" s="1195">
        <v>13.5</v>
      </c>
      <c r="G64" s="1195">
        <v>15.12</v>
      </c>
      <c r="H64" s="1195">
        <v>15.3</v>
      </c>
      <c r="I64" s="1195">
        <v>0</v>
      </c>
      <c r="J64" s="1195">
        <v>0</v>
      </c>
    </row>
    <row r="65" spans="2:10">
      <c r="B65" s="1195"/>
      <c r="C65" s="1196">
        <v>34700</v>
      </c>
      <c r="D65" s="1195">
        <v>9</v>
      </c>
      <c r="E65" s="1195">
        <v>10.98</v>
      </c>
      <c r="F65" s="1195">
        <v>12.96</v>
      </c>
      <c r="G65" s="1195">
        <v>14.58</v>
      </c>
      <c r="H65" s="1195">
        <v>14.76</v>
      </c>
      <c r="I65" s="1195">
        <v>0</v>
      </c>
      <c r="J65" s="1195">
        <v>0</v>
      </c>
    </row>
    <row r="66" spans="2:10">
      <c r="B66" s="1195"/>
      <c r="C66" s="1196">
        <v>34161</v>
      </c>
      <c r="D66" s="1195">
        <v>9</v>
      </c>
      <c r="E66" s="1195">
        <v>10.98</v>
      </c>
      <c r="F66" s="1195">
        <v>12.24</v>
      </c>
      <c r="G66" s="1195">
        <v>13.86</v>
      </c>
      <c r="H66" s="1195">
        <v>14.04</v>
      </c>
      <c r="I66" s="1195">
        <v>0</v>
      </c>
      <c r="J66" s="1195">
        <v>0</v>
      </c>
    </row>
    <row r="67" spans="2:10">
      <c r="B67" s="1195"/>
      <c r="C67" s="1196">
        <v>34104</v>
      </c>
      <c r="D67" s="1195">
        <v>8.82</v>
      </c>
      <c r="E67" s="1195">
        <v>9.36</v>
      </c>
      <c r="F67" s="1195">
        <v>10.8</v>
      </c>
      <c r="G67" s="1195">
        <v>12.06</v>
      </c>
      <c r="H67" s="1195">
        <v>12.24</v>
      </c>
      <c r="I67" s="1195">
        <v>0</v>
      </c>
      <c r="J67" s="1195">
        <v>0</v>
      </c>
    </row>
    <row r="68" spans="2:10">
      <c r="B68" s="1195"/>
      <c r="C68" s="1196">
        <v>33349</v>
      </c>
      <c r="D68" s="1195">
        <v>8.1</v>
      </c>
      <c r="E68" s="1195">
        <v>8.64</v>
      </c>
      <c r="F68" s="1195">
        <v>9</v>
      </c>
      <c r="G68" s="1195">
        <v>9.5399999999999991</v>
      </c>
      <c r="H68" s="1195">
        <v>9.7200000000000006</v>
      </c>
      <c r="I68" s="1195">
        <v>0</v>
      </c>
      <c r="J68" s="1195">
        <v>0</v>
      </c>
    </row>
    <row r="69" spans="2:10">
      <c r="B69" s="1195"/>
      <c r="C69" s="1196">
        <v>33318</v>
      </c>
      <c r="D69" s="1195">
        <v>9</v>
      </c>
      <c r="E69" s="1195">
        <v>10.08</v>
      </c>
      <c r="F69" s="1195">
        <v>10.8</v>
      </c>
      <c r="G69" s="1195">
        <v>11.52</v>
      </c>
      <c r="H69" s="1195">
        <v>11.88</v>
      </c>
      <c r="I69" s="1195" t="s">
        <v>633</v>
      </c>
      <c r="J69" s="1195" t="s">
        <v>633</v>
      </c>
    </row>
    <row r="70" spans="2:10">
      <c r="B70" s="1195"/>
      <c r="C70" s="1196">
        <v>33106</v>
      </c>
      <c r="D70" s="1195">
        <v>8.64</v>
      </c>
      <c r="E70" s="1195">
        <v>9.36</v>
      </c>
      <c r="F70" s="1195">
        <v>10.08</v>
      </c>
      <c r="G70" s="1195">
        <v>10.8</v>
      </c>
      <c r="H70" s="1195">
        <v>11.16</v>
      </c>
      <c r="I70" s="1195">
        <v>0</v>
      </c>
      <c r="J70" s="1195">
        <v>0</v>
      </c>
    </row>
    <row r="71" spans="2:10">
      <c r="B71" s="1195"/>
      <c r="C71" s="1196">
        <v>32540</v>
      </c>
      <c r="D71" s="1195">
        <v>11.34</v>
      </c>
      <c r="E71" s="1195">
        <v>11.34</v>
      </c>
      <c r="F71" s="1195">
        <v>12.78</v>
      </c>
      <c r="G71" s="1195">
        <v>14.4</v>
      </c>
      <c r="H71" s="1195">
        <v>19.260000000000002</v>
      </c>
      <c r="I71" s="1195">
        <v>0</v>
      </c>
      <c r="J71" s="1195">
        <v>0</v>
      </c>
    </row>
    <row r="72" spans="2:10">
      <c r="B72" s="1195"/>
      <c r="C72" s="1196"/>
      <c r="D72" s="1195"/>
      <c r="E72" s="1195"/>
      <c r="F72" s="1195"/>
      <c r="G72" s="1195"/>
      <c r="H72" s="1195"/>
      <c r="I72" s="1195"/>
      <c r="J72" s="1195"/>
    </row>
    <row r="73" spans="2:10">
      <c r="B73" s="1198"/>
      <c r="C73" s="1199"/>
      <c r="D73" s="1198"/>
      <c r="E73" s="1198"/>
      <c r="F73" s="1198"/>
      <c r="G73" s="1198"/>
      <c r="H73" s="1198"/>
      <c r="I73" s="1198"/>
      <c r="J73" s="1198"/>
    </row>
    <row r="74" spans="2:10">
      <c r="B74" s="1198"/>
      <c r="C74" s="1199"/>
      <c r="D74" s="1198"/>
      <c r="E74" s="1198"/>
      <c r="F74" s="1198"/>
      <c r="G74" s="1198"/>
      <c r="H74" s="1198"/>
      <c r="I74" s="1198"/>
      <c r="J74" s="1198"/>
    </row>
    <row r="75" spans="2:10">
      <c r="B75" s="1198"/>
      <c r="C75" s="1199"/>
      <c r="D75" s="1198"/>
      <c r="E75" s="1198"/>
      <c r="F75" s="1198"/>
      <c r="G75" s="1198"/>
      <c r="H75" s="1198"/>
      <c r="I75" s="1198"/>
      <c r="J75" s="1198"/>
    </row>
    <row r="76" spans="2:10">
      <c r="B76" s="1149"/>
      <c r="C76" s="1149"/>
      <c r="D76" s="1149"/>
      <c r="E76" s="1149"/>
      <c r="F76" s="1149"/>
      <c r="G76" s="1149"/>
      <c r="H76" s="1149"/>
      <c r="I76" s="1149"/>
      <c r="J76" s="1149"/>
    </row>
    <row r="77" spans="2:10">
      <c r="B77" s="1149"/>
      <c r="C77" s="1149"/>
      <c r="D77" s="1149"/>
      <c r="E77" s="1149"/>
      <c r="F77" s="1149"/>
      <c r="G77" s="1149"/>
      <c r="H77" s="1149"/>
      <c r="I77" s="1149"/>
      <c r="J77" s="114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21" t="s">
        <v>946</v>
      </c>
      <c r="B1" s="3221"/>
      <c r="C1" s="3221"/>
      <c r="D1" s="3221"/>
    </row>
    <row r="2" spans="1:4" ht="18">
      <c r="A2" s="3222" t="s">
        <v>930</v>
      </c>
      <c r="B2" s="3222"/>
      <c r="C2" s="3222"/>
      <c r="D2" s="3222"/>
    </row>
    <row r="3" spans="1:4" ht="18.75">
      <c r="A3" s="1396" t="s">
        <v>931</v>
      </c>
      <c r="B3" s="1396" t="s">
        <v>932</v>
      </c>
      <c r="C3" s="1396" t="s">
        <v>933</v>
      </c>
      <c r="D3" s="1396" t="s">
        <v>934</v>
      </c>
    </row>
    <row r="4" spans="1:4" ht="56.25" customHeight="1">
      <c r="A4" s="1397" t="str">
        <f>项目基本情况!B4</f>
        <v>郑燚</v>
      </c>
      <c r="B4" s="1398">
        <f ca="1">项目基本情况!C4</f>
        <v>1120070131</v>
      </c>
      <c r="C4" s="1399"/>
      <c r="D4" s="1400" t="s">
        <v>935</v>
      </c>
    </row>
    <row r="5" spans="1:4" ht="56.25" customHeight="1">
      <c r="A5" s="1397" t="str">
        <f>项目基本情况!D4</f>
        <v>吴薇</v>
      </c>
      <c r="B5" s="1398">
        <f ca="1">项目基本情况!E4</f>
        <v>1419970001</v>
      </c>
      <c r="C5" s="1401"/>
      <c r="D5" s="1400" t="s">
        <v>935</v>
      </c>
    </row>
    <row r="6" spans="1:4" ht="18">
      <c r="A6" s="3222" t="s">
        <v>936</v>
      </c>
      <c r="B6" s="3222"/>
      <c r="C6" s="3222"/>
      <c r="D6" s="3222"/>
    </row>
    <row r="7" spans="1:4" ht="18.75">
      <c r="A7" s="1396" t="s">
        <v>931</v>
      </c>
      <c r="B7" s="1398" t="s">
        <v>937</v>
      </c>
      <c r="C7" s="1396" t="s">
        <v>933</v>
      </c>
      <c r="D7" s="1396" t="s">
        <v>934</v>
      </c>
    </row>
    <row r="8" spans="1:4" ht="56.25" customHeight="1">
      <c r="A8" s="1402" t="s">
        <v>390</v>
      </c>
      <c r="B8" s="1402" t="s">
        <v>0</v>
      </c>
      <c r="C8" s="1399"/>
      <c r="D8" s="1400" t="s">
        <v>935</v>
      </c>
    </row>
    <row r="10" spans="1:4" ht="18.75">
      <c r="A10" s="1403" t="s">
        <v>938</v>
      </c>
    </row>
    <row r="11" spans="1:4" ht="30" customHeight="1">
      <c r="A11" s="3223" t="s">
        <v>939</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4" t="str">
        <f>IF(项目基本情况!B8="抵押","3.抵押双方在办理抵押登记手续时，应使用本公司出具的正式《房地产评估报告》，特提醒报告使用者注意。","——")</f>
        <v>——</v>
      </c>
      <c r="B13" s="3225"/>
      <c r="C13" s="3225"/>
      <c r="D13" s="3225"/>
    </row>
    <row r="14" spans="1:4" ht="15.75" customHeight="1">
      <c r="A14" s="3224" t="str">
        <f>IF(项目基本情况!B8="抵押","4.本次评估估价师所知悉的法定优先受偿款情况说明如下：","——")</f>
        <v>——</v>
      </c>
      <c r="B14" s="3225"/>
      <c r="C14" s="3225"/>
      <c r="D14" s="3225"/>
    </row>
    <row r="15" spans="1:4" ht="42" customHeight="1">
      <c r="A15" s="3224" t="str">
        <f>IF(项目基本情况!B8="抵押","（1）"&amp;CONCATENATE(项目基本情况!L20,项目基本情况!L21,项目基本情况!L22),"——")</f>
        <v>——</v>
      </c>
      <c r="B15" s="3224"/>
      <c r="C15" s="3224"/>
      <c r="D15" s="3224"/>
    </row>
    <row r="16" spans="1:4" ht="30" customHeight="1">
      <c r="A16" s="3227" t="s">
        <v>940</v>
      </c>
      <c r="B16" s="3227"/>
      <c r="C16" s="3227"/>
      <c r="D16" s="3227"/>
    </row>
    <row r="17" spans="1:4" ht="144" customHeight="1">
      <c r="A17" s="3227" t="s">
        <v>941</v>
      </c>
      <c r="B17" s="3227"/>
      <c r="C17" s="3227"/>
      <c r="D17" s="3227"/>
    </row>
    <row r="18" spans="1:4" ht="15.75" customHeight="1">
      <c r="A18" s="3224" t="str">
        <f>IF(项目基本情况!B8="抵押",结果表!K120,"——")</f>
        <v>——</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942</v>
      </c>
      <c r="B22" s="3229"/>
      <c r="C22" s="3229"/>
      <c r="D22" s="3229"/>
    </row>
    <row r="23" spans="1:4">
      <c r="A23" s="1404"/>
      <c r="B23" s="458"/>
      <c r="C23" s="458"/>
      <c r="D23" s="458"/>
    </row>
    <row r="24" spans="1:4">
      <c r="A24" s="1404"/>
      <c r="B24" s="458"/>
      <c r="C24" s="458"/>
      <c r="D24" s="458"/>
    </row>
    <row r="25" spans="1:4" ht="18.75">
      <c r="A25" s="1405" t="s">
        <v>943</v>
      </c>
    </row>
    <row r="26" spans="1:4" ht="18">
      <c r="A26" s="1376"/>
    </row>
    <row r="27" spans="1:4" ht="18.75">
      <c r="A27" s="1376" t="s">
        <v>944</v>
      </c>
    </row>
    <row r="30" spans="1:4" ht="18.75">
      <c r="D30" s="1405" t="s">
        <v>945</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947</v>
      </c>
    </row>
    <row r="3" spans="1:7">
      <c r="A3" s="1409" t="s">
        <v>55</v>
      </c>
      <c r="B3" s="1394" t="s">
        <v>948</v>
      </c>
      <c r="G3" s="1410"/>
    </row>
    <row r="4" spans="1:7">
      <c r="G4" s="1410"/>
    </row>
    <row r="5" spans="1:7">
      <c r="A5" s="1412" t="s">
        <v>46</v>
      </c>
      <c r="B5" s="1394" t="s">
        <v>949</v>
      </c>
      <c r="G5" s="1410"/>
    </row>
    <row r="6" spans="1:7">
      <c r="G6" s="1410"/>
    </row>
    <row r="7" spans="1:7">
      <c r="A7" s="1413" t="s">
        <v>108</v>
      </c>
      <c r="B7" s="1394" t="s">
        <v>950</v>
      </c>
      <c r="G7" s="1410"/>
    </row>
    <row r="8" spans="1:7">
      <c r="G8" s="1410"/>
    </row>
    <row r="9" spans="1:7">
      <c r="A9" s="1414" t="s">
        <v>47</v>
      </c>
      <c r="B9" s="1394" t="s">
        <v>951</v>
      </c>
    </row>
    <row r="11" spans="1:7">
      <c r="A11" s="1415" t="s">
        <v>48</v>
      </c>
      <c r="B11" s="1416" t="s">
        <v>45</v>
      </c>
    </row>
    <row r="13" spans="1:7">
      <c r="A13" s="1417" t="s">
        <v>952</v>
      </c>
    </row>
    <row r="15" spans="1:7" ht="13.5">
      <c r="A15" s="3235" t="s">
        <v>953</v>
      </c>
      <c r="B15" s="3230" t="s">
        <v>109</v>
      </c>
      <c r="C15" s="3231"/>
    </row>
    <row r="16" spans="1:7" ht="13.5">
      <c r="A16" s="3236"/>
      <c r="B16" s="3230" t="s">
        <v>42</v>
      </c>
      <c r="C16" s="3231"/>
    </row>
    <row r="17" spans="1:3" ht="13.5">
      <c r="A17" s="3236"/>
      <c r="B17" s="3233" t="s">
        <v>954</v>
      </c>
      <c r="C17" s="1418" t="s">
        <v>953</v>
      </c>
    </row>
    <row r="18" spans="1:3" ht="13.5">
      <c r="A18" s="3236"/>
      <c r="B18" s="3233"/>
      <c r="C18" s="1418" t="s">
        <v>955</v>
      </c>
    </row>
    <row r="19" spans="1:3" ht="13.5">
      <c r="A19" s="3236"/>
      <c r="B19" s="3233"/>
      <c r="C19" s="1418" t="s">
        <v>956</v>
      </c>
    </row>
    <row r="20" spans="1:3" ht="13.5">
      <c r="A20" s="3237"/>
      <c r="B20" s="3232" t="s">
        <v>957</v>
      </c>
      <c r="C20" s="3231"/>
    </row>
    <row r="21" spans="1:3" ht="13.5">
      <c r="A21" s="1419" t="s">
        <v>958</v>
      </c>
      <c r="B21" s="1420"/>
      <c r="C21" s="1421"/>
    </row>
    <row r="22" spans="1:3" ht="13.5">
      <c r="A22" s="3234" t="s">
        <v>959</v>
      </c>
      <c r="B22" s="3232" t="s">
        <v>960</v>
      </c>
      <c r="C22" s="3231"/>
    </row>
    <row r="23" spans="1:3" ht="13.5">
      <c r="A23" s="3234"/>
      <c r="B23" s="3232" t="s">
        <v>961</v>
      </c>
      <c r="C23" s="3231"/>
    </row>
    <row r="24" spans="1:3" ht="13.5">
      <c r="A24" s="3234"/>
      <c r="B24" s="3232" t="s">
        <v>962</v>
      </c>
      <c r="C24" s="3231"/>
    </row>
    <row r="25" spans="1:3" ht="13.5">
      <c r="A25" s="3234"/>
      <c r="B25" s="3233" t="s">
        <v>963</v>
      </c>
      <c r="C25" s="1418" t="s">
        <v>964</v>
      </c>
    </row>
    <row r="26" spans="1:3" ht="13.5">
      <c r="A26" s="3234"/>
      <c r="B26" s="3233"/>
      <c r="C26" s="1418" t="s">
        <v>965</v>
      </c>
    </row>
    <row r="27" spans="1:3" ht="13.5">
      <c r="A27" s="3234"/>
      <c r="B27" s="3233"/>
      <c r="C27" s="1418" t="s">
        <v>966</v>
      </c>
    </row>
    <row r="28" spans="1:3" ht="13.5">
      <c r="A28" s="3234"/>
      <c r="B28" s="3233"/>
      <c r="C28" s="1418" t="s">
        <v>967</v>
      </c>
    </row>
    <row r="29" spans="1:3" ht="13.5">
      <c r="A29" s="3234"/>
      <c r="B29" s="3233"/>
      <c r="C29" s="1418" t="s">
        <v>968</v>
      </c>
    </row>
    <row r="30" spans="1:3" ht="13.5">
      <c r="A30" s="3234"/>
      <c r="B30" s="3233"/>
      <c r="C30" s="1418" t="s">
        <v>969</v>
      </c>
    </row>
    <row r="31" spans="1:3" ht="13.5">
      <c r="A31" s="3234"/>
      <c r="B31" s="3233"/>
      <c r="C31" s="1418" t="s">
        <v>970</v>
      </c>
    </row>
    <row r="32" spans="1:3" ht="13.5">
      <c r="A32" s="3234"/>
      <c r="B32" s="3233"/>
      <c r="C32" s="1418" t="s">
        <v>971</v>
      </c>
    </row>
    <row r="33" spans="1:3" ht="13.5">
      <c r="A33" s="3234"/>
      <c r="B33" s="3233"/>
      <c r="C33" s="1418" t="s">
        <v>972</v>
      </c>
    </row>
    <row r="34" spans="1:3">
      <c r="A34" s="1422" t="s">
        <v>49</v>
      </c>
    </row>
    <row r="37" spans="1:3">
      <c r="A37" s="1422" t="s">
        <v>973</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2131</v>
      </c>
      <c r="B2" s="2146">
        <f ca="1">TODAY()</f>
        <v>45610</v>
      </c>
      <c r="C2" s="2147" t="s">
        <v>2132</v>
      </c>
      <c r="D2" s="2147"/>
      <c r="E2" s="2147"/>
      <c r="F2" s="2143"/>
      <c r="G2" s="2143"/>
      <c r="H2" s="2143"/>
    </row>
    <row r="3" spans="1:8" ht="24" customHeight="1">
      <c r="A3" s="2148" t="s">
        <v>2133</v>
      </c>
      <c r="B3" s="1209" t="s">
        <v>2134</v>
      </c>
      <c r="C3" s="1209" t="s">
        <v>2135</v>
      </c>
      <c r="D3" s="2149" t="s">
        <v>2136</v>
      </c>
      <c r="E3" s="2150" t="s">
        <v>2137</v>
      </c>
      <c r="F3" s="1209" t="s">
        <v>2138</v>
      </c>
      <c r="G3" s="1209" t="s">
        <v>2135</v>
      </c>
      <c r="H3" s="2149" t="s">
        <v>2139</v>
      </c>
    </row>
    <row r="4" spans="1:8" ht="24" customHeight="1">
      <c r="A4" s="1209" t="s">
        <v>2140</v>
      </c>
      <c r="B4" s="1209">
        <f ca="1">IF(C4&lt;B2,"已过期",1119970066)</f>
        <v>1119970066</v>
      </c>
      <c r="C4" s="2151">
        <v>45937</v>
      </c>
      <c r="D4" s="2152" t="str">
        <f ca="1">A4&amp;"（注册号："&amp;B4&amp;"）"</f>
        <v>梁津（注册号：1119970066）</v>
      </c>
      <c r="E4" s="2153" t="s">
        <v>2140</v>
      </c>
      <c r="F4" s="1209">
        <f ca="1">IF(G4&lt;B2,"已过期",96010014)</f>
        <v>96010014</v>
      </c>
      <c r="G4" s="2154">
        <v>47118</v>
      </c>
      <c r="H4" s="2155" t="str">
        <f ca="1">E4&amp;"（注册号："&amp;F4&amp;"）"</f>
        <v>梁津（注册号：96010014）</v>
      </c>
    </row>
    <row r="5" spans="1:8" ht="24" customHeight="1">
      <c r="A5" s="1209" t="s">
        <v>2141</v>
      </c>
      <c r="B5" s="1209">
        <f ca="1">IF(C5&lt;B2,"已过期",1119970111)</f>
        <v>1119970111</v>
      </c>
      <c r="C5" s="2151">
        <v>45937</v>
      </c>
      <c r="D5" s="2152" t="str">
        <f t="shared" ref="D5:D15" ca="1" si="0">A5&amp;"（注册号："&amp;B5&amp;"）"</f>
        <v>叶凌（注册号：1119970111）</v>
      </c>
      <c r="E5" s="2153" t="s">
        <v>2141</v>
      </c>
      <c r="F5" s="1209">
        <f ca="1">IF(G5&lt;B2,"已过期",94010078)</f>
        <v>94010078</v>
      </c>
      <c r="G5" s="2154">
        <v>46387</v>
      </c>
      <c r="H5" s="2155" t="str">
        <f t="shared" ref="H5:H16" ca="1" si="1">E5&amp;"（注册号："&amp;F5&amp;"）"</f>
        <v>叶凌（注册号：94010078）</v>
      </c>
    </row>
    <row r="6" spans="1:8" ht="24" customHeight="1">
      <c r="A6" s="1209" t="s">
        <v>2142</v>
      </c>
      <c r="B6" s="1209" t="str">
        <f ca="1">IF(C6&lt;B2,"已过期",1120050019)</f>
        <v>已过期</v>
      </c>
      <c r="C6" s="2151">
        <v>45410</v>
      </c>
      <c r="D6" s="2152" t="str">
        <f t="shared" ca="1" si="0"/>
        <v>王鹏（注册号：已过期）</v>
      </c>
      <c r="E6" s="2153" t="s">
        <v>2142</v>
      </c>
      <c r="F6" s="1209">
        <f ca="1">IF(G6&lt;B2,"已过期",2002110030)</f>
        <v>2002110030</v>
      </c>
      <c r="G6" s="2154">
        <v>46387</v>
      </c>
      <c r="H6" s="2155" t="str">
        <f t="shared" ca="1" si="1"/>
        <v>王鹏（注册号：2002110030）</v>
      </c>
    </row>
    <row r="7" spans="1:8" ht="24" customHeight="1">
      <c r="A7" s="1209" t="s">
        <v>2143</v>
      </c>
      <c r="B7" s="1209">
        <f ca="1">IF(C7&lt;B2,"已过期",1120000080)</f>
        <v>1120000080</v>
      </c>
      <c r="C7" s="2151">
        <v>45937</v>
      </c>
      <c r="D7" s="2152" t="str">
        <f t="shared" ca="1" si="0"/>
        <v>欧红伟（注册号：1120000080）</v>
      </c>
      <c r="E7" s="2153" t="s">
        <v>2143</v>
      </c>
      <c r="F7" s="1209">
        <f ca="1">IF(G7&lt;B2,"已过期",2000110082)</f>
        <v>2000110082</v>
      </c>
      <c r="G7" s="2154">
        <v>46387</v>
      </c>
      <c r="H7" s="2155" t="str">
        <f t="shared" ca="1" si="1"/>
        <v>欧红伟（注册号：2000110082）</v>
      </c>
    </row>
    <row r="8" spans="1:8" ht="24" customHeight="1">
      <c r="A8" s="1209" t="s">
        <v>2144</v>
      </c>
      <c r="B8" s="1209">
        <f ca="1">IF(C8&lt;B2,"已过期",1419970001)</f>
        <v>1419970001</v>
      </c>
      <c r="C8" s="2151">
        <v>45937</v>
      </c>
      <c r="D8" s="2152" t="str">
        <f t="shared" ca="1" si="0"/>
        <v>吴薇（注册号：1419970001）</v>
      </c>
      <c r="E8" s="2153" t="s">
        <v>2144</v>
      </c>
      <c r="F8" s="1209">
        <f ca="1">IF(G8&lt;B2,"已过期",2002110125)</f>
        <v>2002110125</v>
      </c>
      <c r="G8" s="2154">
        <v>47118</v>
      </c>
      <c r="H8" s="2155" t="str">
        <f t="shared" ca="1" si="1"/>
        <v>吴薇（注册号：2002110125）</v>
      </c>
    </row>
    <row r="9" spans="1:8" ht="24" customHeight="1">
      <c r="A9" s="1209" t="s">
        <v>2145</v>
      </c>
      <c r="B9" s="1209" t="str">
        <f ca="1">IF(C9&lt;B2,"已过期",1120060040)</f>
        <v>已过期</v>
      </c>
      <c r="C9" s="2156">
        <v>45592</v>
      </c>
      <c r="D9" s="2152" t="str">
        <f t="shared" ca="1" si="0"/>
        <v>陈颖（注册号：已过期）</v>
      </c>
      <c r="E9" s="2153" t="s">
        <v>2145</v>
      </c>
      <c r="F9" s="1209">
        <f ca="1">IF(G9&lt;B2,"已过期",2004110096)</f>
        <v>2004110096</v>
      </c>
      <c r="G9" s="2154">
        <v>47118</v>
      </c>
      <c r="H9" s="2155" t="str">
        <f t="shared" ca="1" si="1"/>
        <v>陈颖（注册号：2004110096）</v>
      </c>
    </row>
    <row r="10" spans="1:8" ht="24" customHeight="1">
      <c r="A10" s="1209" t="s">
        <v>2146</v>
      </c>
      <c r="B10" s="1209">
        <f ca="1">IF(C10&lt;B2,"已过期",1120100036)</f>
        <v>1120100036</v>
      </c>
      <c r="C10" s="2156">
        <v>45752</v>
      </c>
      <c r="D10" s="2152" t="str">
        <f t="shared" ca="1" si="0"/>
        <v>崔锴（注册号：1120100036）</v>
      </c>
      <c r="E10" s="2153" t="s">
        <v>2146</v>
      </c>
      <c r="F10" s="1209">
        <f ca="1">IF(G10&lt;B2,"已过期",2010110070)</f>
        <v>2010110070</v>
      </c>
      <c r="G10" s="2154">
        <v>47907</v>
      </c>
      <c r="H10" s="2155" t="str">
        <f t="shared" ca="1" si="1"/>
        <v>崔锴（注册号：2010110070）</v>
      </c>
    </row>
    <row r="11" spans="1:8" ht="24" customHeight="1">
      <c r="A11" s="1209" t="s">
        <v>2147</v>
      </c>
      <c r="B11" s="1209">
        <f ca="1">IF(C11&lt;B2,"已过期",1120070131)</f>
        <v>1120070131</v>
      </c>
      <c r="C11" s="2151">
        <v>45937</v>
      </c>
      <c r="D11" s="2152" t="str">
        <f t="shared" ca="1" si="0"/>
        <v>郑燚（注册号：1120070131）</v>
      </c>
      <c r="E11" s="2153" t="s">
        <v>2147</v>
      </c>
      <c r="F11" s="1209">
        <f ca="1">IF(G11&lt;B2,"已过期",2014110011)</f>
        <v>2014110011</v>
      </c>
      <c r="G11" s="2154">
        <v>49302</v>
      </c>
      <c r="H11" s="2155" t="str">
        <f t="shared" ca="1" si="1"/>
        <v>郑燚（注册号：2014110011）</v>
      </c>
    </row>
    <row r="12" spans="1:8" ht="24" customHeight="1">
      <c r="A12" s="1209" t="s">
        <v>2148</v>
      </c>
      <c r="B12" s="1209">
        <f ca="1">IF(C12&lt;B2,"已过期",1120040230)</f>
        <v>1120040230</v>
      </c>
      <c r="C12" s="2156">
        <v>45937</v>
      </c>
      <c r="D12" s="2152" t="str">
        <f t="shared" ca="1" si="0"/>
        <v>苏海（注册号：1120040230）</v>
      </c>
      <c r="E12" s="2153" t="s">
        <v>2148</v>
      </c>
      <c r="F12" s="1209">
        <f ca="1">IF(G12&lt;B2,"已过期",98030020)</f>
        <v>98030020</v>
      </c>
      <c r="G12" s="2154">
        <v>47118</v>
      </c>
      <c r="H12" s="2155" t="str">
        <f t="shared" ca="1" si="1"/>
        <v>苏海（注册号：98030020）</v>
      </c>
    </row>
    <row r="13" spans="1:8" ht="24" customHeight="1">
      <c r="A13" s="1209" t="s">
        <v>2149</v>
      </c>
      <c r="B13" s="1209" t="str">
        <f ca="1">IF(C13&lt;B2,"已过期",1120020033)</f>
        <v>已过期</v>
      </c>
      <c r="C13" s="2151">
        <v>45375</v>
      </c>
      <c r="D13" s="2152" t="str">
        <f t="shared" ca="1" si="0"/>
        <v>刘敬东（注册号：已过期）</v>
      </c>
      <c r="E13" s="2153" t="s">
        <v>2149</v>
      </c>
      <c r="F13" s="1209">
        <f ca="1">IF(G13&lt;B2,"已过期",2000110137)</f>
        <v>2000110137</v>
      </c>
      <c r="G13" s="2154">
        <v>46387</v>
      </c>
      <c r="H13" s="2155" t="str">
        <f t="shared" ca="1" si="1"/>
        <v>刘敬东（注册号：2000110137）</v>
      </c>
    </row>
    <row r="14" spans="1:8" ht="24" customHeight="1">
      <c r="A14" s="1209" t="s">
        <v>2150</v>
      </c>
      <c r="B14" s="1209" t="str">
        <f ca="1">IF(C14&lt;B2,"已过期",1119980106)</f>
        <v>已过期</v>
      </c>
      <c r="C14" s="2156">
        <v>44969</v>
      </c>
      <c r="D14" s="2152" t="str">
        <f t="shared" ca="1" si="0"/>
        <v>刘俊财（注册号：已过期）</v>
      </c>
      <c r="E14" s="2153" t="s">
        <v>2150</v>
      </c>
      <c r="F14" s="1209">
        <f ca="1">IF(G14&lt;B2,"已过期",96010063)</f>
        <v>96010063</v>
      </c>
      <c r="G14" s="2154">
        <v>47483</v>
      </c>
      <c r="H14" s="2155" t="str">
        <f t="shared" ca="1" si="1"/>
        <v>刘俊财（注册号：96010063）</v>
      </c>
    </row>
    <row r="15" spans="1:8" ht="24" customHeight="1">
      <c r="A15" s="1209" t="s">
        <v>2427</v>
      </c>
      <c r="B15" s="1209">
        <v>1120210056</v>
      </c>
      <c r="C15" s="2156">
        <v>45410</v>
      </c>
      <c r="D15" s="2152" t="str">
        <f t="shared" si="0"/>
        <v>宁小鳗（注册号：1120210056）</v>
      </c>
      <c r="E15" s="2153" t="s">
        <v>2151</v>
      </c>
      <c r="F15" s="1209">
        <f ca="1">IF(G15&lt;B2,"已过期",2011110090)</f>
        <v>2011110090</v>
      </c>
      <c r="G15" s="2154">
        <v>48302</v>
      </c>
      <c r="H15" s="2155" t="str">
        <f t="shared" ca="1" si="1"/>
        <v>赵雯（注册号：2011110090）</v>
      </c>
    </row>
    <row r="16" spans="1:8" ht="24" customHeight="1">
      <c r="A16" s="1209"/>
      <c r="B16" s="1209"/>
      <c r="C16" s="1209"/>
      <c r="D16" s="2152" t="str">
        <f>A16&amp;"（注册号："&amp;B16&amp;"）"</f>
        <v>（注册号：）</v>
      </c>
      <c r="E16" s="2153"/>
      <c r="F16" s="1209"/>
      <c r="G16" s="1209"/>
      <c r="H16" s="2157" t="str">
        <f t="shared" si="1"/>
        <v>（注册号：）</v>
      </c>
    </row>
    <row r="17" spans="1:8" ht="24" customHeight="1">
      <c r="A17" s="3238" t="s">
        <v>2152</v>
      </c>
      <c r="B17" s="3238"/>
      <c r="C17" s="3238"/>
      <c r="D17" s="3238"/>
      <c r="E17" s="3238"/>
      <c r="F17" s="3238"/>
      <c r="G17" s="3238"/>
      <c r="H17" s="3238"/>
    </row>
    <row r="18" spans="1:8" ht="24" customHeight="1">
      <c r="A18" s="3239" t="s">
        <v>2153</v>
      </c>
      <c r="B18" s="3239"/>
      <c r="C18" s="3239"/>
      <c r="D18" s="2149"/>
      <c r="E18" s="3240" t="s">
        <v>2154</v>
      </c>
      <c r="F18" s="3239"/>
      <c r="G18" s="3239"/>
    </row>
    <row r="19" spans="1:8" s="2159" customFormat="1" ht="24" customHeight="1">
      <c r="A19" s="2158" t="s">
        <v>2155</v>
      </c>
      <c r="B19" s="1209" t="s">
        <v>2156</v>
      </c>
      <c r="C19" s="1209" t="s">
        <v>2135</v>
      </c>
      <c r="D19" s="2149"/>
      <c r="E19" s="2153" t="s">
        <v>2155</v>
      </c>
      <c r="F19" s="1209" t="s">
        <v>2156</v>
      </c>
      <c r="G19" s="1209" t="s">
        <v>2135</v>
      </c>
    </row>
    <row r="20" spans="1:8" s="2159" customFormat="1" ht="24" customHeight="1">
      <c r="A20" s="2160" t="s">
        <v>2157</v>
      </c>
      <c r="B20" s="2160" t="s">
        <v>2158</v>
      </c>
      <c r="C20" s="2154">
        <v>45898</v>
      </c>
      <c r="D20" s="2161"/>
      <c r="E20" s="2162" t="s">
        <v>2159</v>
      </c>
      <c r="F20" s="2165" t="s">
        <v>2428</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2" type="noConversion"/>
  <conditionalFormatting sqref="A16:C16">
    <cfRule type="cellIs" dxfId="206" priority="32" stopIfTrue="1" operator="equal">
      <formula>"已过期"</formula>
    </cfRule>
  </conditionalFormatting>
  <conditionalFormatting sqref="B4:B15">
    <cfRule type="cellIs" dxfId="205" priority="4" stopIfTrue="1" operator="equal">
      <formula>"已过期"</formula>
    </cfRule>
  </conditionalFormatting>
  <conditionalFormatting sqref="C7:C12">
    <cfRule type="expression" dxfId="204" priority="22">
      <formula>AND($C7-TODAY()&lt;30,TODAY()&lt;$C7)</formula>
    </cfRule>
    <cfRule type="cellIs" dxfId="203" priority="23" stopIfTrue="1" operator="lessThan">
      <formula>$B$2</formula>
    </cfRule>
  </conditionalFormatting>
  <conditionalFormatting sqref="C14:C15">
    <cfRule type="expression" dxfId="202" priority="7">
      <formula>AND($C14-TODAY()&lt;30,TODAY()&lt;$C14)</formula>
    </cfRule>
    <cfRule type="cellIs" dxfId="201" priority="8" stopIfTrue="1" operator="lessThan">
      <formula>$B$2</formula>
    </cfRule>
  </conditionalFormatting>
  <conditionalFormatting sqref="C4:D6 D14">
    <cfRule type="cellIs" dxfId="200" priority="50" stopIfTrue="1" operator="lessThan">
      <formula>$B$2</formula>
    </cfRule>
  </conditionalFormatting>
  <conditionalFormatting sqref="C12:D13">
    <cfRule type="expression" dxfId="199" priority="47">
      <formula>AND($C12-TODAY()&lt;30,TODAY()&lt;$C12)</formula>
    </cfRule>
  </conditionalFormatting>
  <conditionalFormatting sqref="C13:D14">
    <cfRule type="expression" dxfId="198" priority="18">
      <formula>AND($C13-TODAY()&lt;30,TODAY()&lt;$C13)</formula>
    </cfRule>
    <cfRule type="cellIs" dxfId="197" priority="19" stopIfTrue="1" operator="lessThan">
      <formula>$B$2</formula>
    </cfRule>
  </conditionalFormatting>
  <conditionalFormatting sqref="C15:D15">
    <cfRule type="expression" dxfId="196" priority="5">
      <formula>AND($C15-TODAY()&lt;30,TODAY()&lt;$C15)</formula>
    </cfRule>
    <cfRule type="cellIs" dxfId="195" priority="6" stopIfTrue="1" operator="lessThan">
      <formula>$B$2</formula>
    </cfRule>
  </conditionalFormatting>
  <conditionalFormatting sqref="C20:D20 C13:D13">
    <cfRule type="cellIs" dxfId="194" priority="54" stopIfTrue="1" operator="lessThan">
      <formula>$B$2</formula>
    </cfRule>
  </conditionalFormatting>
  <conditionalFormatting sqref="C20:D20">
    <cfRule type="expression" dxfId="193" priority="52">
      <formula>AND($C20-TODAY()&lt;30,TODAY()&lt;$C20)</formula>
    </cfRule>
  </conditionalFormatting>
  <conditionalFormatting sqref="D7:D12 D16">
    <cfRule type="expression" dxfId="192" priority="53">
      <formula>AND($C7-TODAY()&lt;30,TODAY()&lt;$C7)</formula>
    </cfRule>
  </conditionalFormatting>
  <conditionalFormatting sqref="D7:D12">
    <cfRule type="cellIs" dxfId="191" priority="48" stopIfTrue="1" operator="lessThan">
      <formula>$B$2</formula>
    </cfRule>
  </conditionalFormatting>
  <conditionalFormatting sqref="D14 C4:D6">
    <cfRule type="expression" dxfId="190" priority="49">
      <formula>AND($C4-TODAY()&lt;30,TODAY()&lt;$C4)</formula>
    </cfRule>
  </conditionalFormatting>
  <conditionalFormatting sqref="D15:D16">
    <cfRule type="expression" dxfId="189" priority="12">
      <formula>AND($C15-TODAY()&lt;30,TODAY()&lt;$C15)</formula>
    </cfRule>
    <cfRule type="cellIs" dxfId="188" priority="13" stopIfTrue="1" operator="lessThan">
      <formula>$B$2</formula>
    </cfRule>
  </conditionalFormatting>
  <conditionalFormatting sqref="E16:G16">
    <cfRule type="cellIs" dxfId="187" priority="31" stopIfTrue="1" operator="equal">
      <formula>"已过期"</formula>
    </cfRule>
  </conditionalFormatting>
  <conditionalFormatting sqref="F4:F15">
    <cfRule type="cellIs" dxfId="186" priority="9" stopIfTrue="1" operator="equal">
      <formula>"已过期"</formula>
    </cfRule>
  </conditionalFormatting>
  <conditionalFormatting sqref="G4:G15">
    <cfRule type="cellIs" dxfId="185" priority="3" stopIfTrue="1" operator="lessThan">
      <formula>$B$2</formula>
    </cfRule>
  </conditionalFormatting>
  <conditionalFormatting sqref="G20:G21">
    <cfRule type="expression" dxfId="184" priority="1" stopIfTrue="1">
      <formula>AND(#REF!-TODAY()&lt;30,TODAY()&lt;#REF!)</formula>
    </cfRule>
    <cfRule type="cellIs" dxfId="18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190</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系统读取表</vt:lpstr>
      <vt:lpstr>结果表</vt:lpstr>
      <vt:lpstr>比较法-办公</vt:lpstr>
      <vt:lpstr>成本法</vt:lpstr>
      <vt:lpstr>成本法 (元)</vt:lpstr>
      <vt:lpstr>假设开发法</vt:lpstr>
      <vt:lpstr>收益法</vt:lpstr>
      <vt:lpstr>比较法-办公租金</vt:lpstr>
      <vt:lpstr>收益法 (元)</vt:lpstr>
      <vt:lpstr>收益法-酒店模型</vt:lpstr>
      <vt:lpstr>收益法（汇总）</vt:lpstr>
      <vt:lpstr>比较法-住宅</vt:lpstr>
      <vt:lpstr>典型户型修正</vt:lpstr>
      <vt:lpstr>租金</vt:lpstr>
      <vt:lpstr>结果表商</vt:lpstr>
      <vt:lpstr>比较法-商业</vt:lpstr>
      <vt:lpstr>比较法-商业租金</vt:lpstr>
      <vt:lpstr>收益法商</vt:lpstr>
      <vt:lpstr>典型户型修正商</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2024-11-14T10:17:06Z</dcterms:modified>
</cp:coreProperties>
</file>