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假设开发法" sheetId="12" r:id="rId21"/>
    <sheet name="比较法（套用）" sheetId="34" r:id="rId22"/>
    <sheet name="收益法（办公）" sheetId="15" r:id="rId23"/>
    <sheet name="收益法 (元)" sheetId="67" state="hidden" r:id="rId24"/>
    <sheet name="收益法 (车库)" sheetId="78" r:id="rId25"/>
    <sheet name="收益法（仓储）" sheetId="79"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案例" sheetId="77" r:id="rId47"/>
    <sheet name="地价案例" sheetId="80" r:id="rId48"/>
  </sheets>
  <definedNames>
    <definedName name="_xlnm._FilterDatabase" localSheetId="21" hidden="1">'比较法（套用）'!$A$1:$L$50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(车库)'!$A$1:$AK$69</definedName>
    <definedName name="_xlnm.Print_Area" localSheetId="23">'收益法 (元)'!$A$1:$AK$69</definedName>
    <definedName name="_xlnm.Print_Area" localSheetId="22">'收益法（办公）'!$A$1:$AK$69</definedName>
    <definedName name="_xlnm.Print_Area" localSheetId="25">'收益法（仓储）'!$A$1:$AK$69</definedName>
    <definedName name="_xlnm.Print_Area" localSheetId="13">'数据-汇总表'!$A$1:$P$32</definedName>
    <definedName name="八级">区片价!$O$1:$O$40</definedName>
    <definedName name="办公层高">'比较法（套用）'!$B$119:$M$119</definedName>
    <definedName name="办公朝向">'比较法（套用）'!$B$91:$M$91</definedName>
    <definedName name="办公道路级别">'比较法（套用）'!$B$87:$M$87</definedName>
    <definedName name="办公公共部分装修">'比较法（套用）'!$B$108:$M$108</definedName>
    <definedName name="办公基础设施水平">'比较法（套用）'!$B$117:$M$117</definedName>
    <definedName name="办公集聚程度">定义!$M$1:$M$6</definedName>
    <definedName name="办公建筑结构">'比较法（套用）'!$B$106:$M$106</definedName>
    <definedName name="办公建筑类型">'比较法（套用）'!$B$101:$M$101</definedName>
    <definedName name="办公交易情况">'比较法（套用）'!$A$62:$M$62</definedName>
    <definedName name="办公楼层">'比较法（套用）'!$B$89:$M$89</definedName>
    <definedName name="办公内部装修">'比较法（套用）'!$B$123:$M$123</definedName>
    <definedName name="办公物业管理">'比较法（套用）'!$B$115:$M$115</definedName>
    <definedName name="办公用途">'比较法（套用）'!$B$64:$M$64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'比较法（套用）'!$B$113:$M$113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6" i="68" l="1"/>
  <c r="F7" i="40"/>
  <c r="AA7" i="40"/>
  <c r="D111" i="40"/>
  <c r="F35" i="40"/>
  <c r="AA35" i="40"/>
  <c r="F11" i="40"/>
  <c r="AA11" i="40"/>
  <c r="R42" i="40"/>
  <c r="H7" i="40"/>
  <c r="AB7" i="40"/>
  <c r="H35" i="40"/>
  <c r="AB35" i="40"/>
  <c r="T41" i="40"/>
  <c r="H34" i="40"/>
  <c r="AB34" i="40"/>
  <c r="H11" i="40"/>
  <c r="AB11" i="40"/>
  <c r="T42" i="40"/>
  <c r="J7" i="40"/>
  <c r="AC7" i="40"/>
  <c r="J25" i="40"/>
  <c r="AC25" i="40"/>
  <c r="J35" i="40"/>
  <c r="AC35" i="40"/>
  <c r="J11" i="40"/>
  <c r="AC11" i="40"/>
  <c r="V42" i="40"/>
  <c r="R43" i="40"/>
  <c r="C43" i="40"/>
  <c r="F6" i="79"/>
  <c r="F8" i="79"/>
  <c r="F7" i="79"/>
  <c r="F9" i="79"/>
  <c r="C6" i="79"/>
  <c r="F4" i="73"/>
  <c r="I1" i="73"/>
  <c r="B39" i="1"/>
  <c r="F11" i="79"/>
  <c r="C10" i="79"/>
  <c r="C5" i="79"/>
  <c r="C32" i="79"/>
  <c r="C14" i="79"/>
  <c r="C15" i="79"/>
  <c r="F16" i="79"/>
  <c r="C16" i="79"/>
  <c r="F43" i="79"/>
  <c r="C17" i="79"/>
  <c r="C18" i="79"/>
  <c r="C19" i="79"/>
  <c r="C20" i="79"/>
  <c r="D5" i="73"/>
  <c r="G1" i="73"/>
  <c r="B40" i="1"/>
  <c r="F24" i="79"/>
  <c r="C23" i="79"/>
  <c r="F26" i="79"/>
  <c r="C26" i="79"/>
  <c r="C24" i="79"/>
  <c r="C27" i="79"/>
  <c r="C29" i="79"/>
  <c r="C33" i="79"/>
  <c r="R8" i="1"/>
  <c r="F35" i="79"/>
  <c r="C34" i="79"/>
  <c r="C31" i="79"/>
  <c r="F36" i="79"/>
  <c r="C36" i="79"/>
  <c r="F13" i="79"/>
  <c r="C13" i="79"/>
  <c r="F37" i="79"/>
  <c r="C37" i="79"/>
  <c r="F38" i="79"/>
  <c r="C38" i="79"/>
  <c r="C30" i="79"/>
  <c r="C39" i="79"/>
  <c r="F42" i="79"/>
  <c r="F40" i="79"/>
  <c r="L48" i="79"/>
  <c r="J51" i="79"/>
  <c r="J53" i="79"/>
  <c r="F1" i="79"/>
  <c r="AE8" i="1"/>
  <c r="F41" i="79"/>
  <c r="C40" i="79"/>
  <c r="M6" i="79"/>
  <c r="M8" i="79"/>
  <c r="M7" i="79"/>
  <c r="M9" i="79"/>
  <c r="J6" i="79"/>
  <c r="M11" i="79"/>
  <c r="J10" i="79"/>
  <c r="J5" i="79"/>
  <c r="J26" i="79"/>
  <c r="J29" i="79"/>
  <c r="J57" i="79"/>
  <c r="J55" i="79"/>
  <c r="J58" i="79"/>
  <c r="J59" i="79"/>
  <c r="J60" i="79"/>
  <c r="L46" i="79"/>
  <c r="B2" i="79"/>
  <c r="E8" i="12"/>
  <c r="F6" i="78"/>
  <c r="F8" i="78"/>
  <c r="F7" i="78"/>
  <c r="F9" i="78"/>
  <c r="C6" i="78"/>
  <c r="F11" i="78"/>
  <c r="C10" i="78"/>
  <c r="C5" i="78"/>
  <c r="C32" i="78"/>
  <c r="C14" i="78"/>
  <c r="C15" i="78"/>
  <c r="F16" i="78"/>
  <c r="C16" i="78"/>
  <c r="F43" i="78"/>
  <c r="C17" i="78"/>
  <c r="C18" i="78"/>
  <c r="C19" i="78"/>
  <c r="C20" i="78"/>
  <c r="F24" i="78"/>
  <c r="C23" i="78"/>
  <c r="F26" i="78"/>
  <c r="C26" i="78"/>
  <c r="C24" i="78"/>
  <c r="C27" i="78"/>
  <c r="C29" i="78"/>
  <c r="C33" i="78"/>
  <c r="R7" i="1"/>
  <c r="F35" i="78"/>
  <c r="C34" i="78"/>
  <c r="C31" i="78"/>
  <c r="F36" i="78"/>
  <c r="C36" i="78"/>
  <c r="F13" i="78"/>
  <c r="C13" i="78"/>
  <c r="F37" i="78"/>
  <c r="C37" i="78"/>
  <c r="F38" i="78"/>
  <c r="C38" i="78"/>
  <c r="C30" i="78"/>
  <c r="C39" i="78"/>
  <c r="F42" i="78"/>
  <c r="F40" i="78"/>
  <c r="L48" i="78"/>
  <c r="J51" i="78"/>
  <c r="J53" i="78"/>
  <c r="F1" i="78"/>
  <c r="AE7" i="1"/>
  <c r="F41" i="78"/>
  <c r="C40" i="78"/>
  <c r="M6" i="78"/>
  <c r="M8" i="78"/>
  <c r="M7" i="78"/>
  <c r="M9" i="78"/>
  <c r="J6" i="78"/>
  <c r="M11" i="78"/>
  <c r="J10" i="78"/>
  <c r="J5" i="78"/>
  <c r="J26" i="78"/>
  <c r="J29" i="78"/>
  <c r="J57" i="78"/>
  <c r="J55" i="78"/>
  <c r="J58" i="78"/>
  <c r="J59" i="78"/>
  <c r="J60" i="78"/>
  <c r="L46" i="78"/>
  <c r="B2" i="78"/>
  <c r="D8" i="12"/>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57" i="15"/>
  <c r="J55" i="15"/>
  <c r="J58" i="15"/>
  <c r="J59" i="15"/>
  <c r="J60" i="15"/>
  <c r="L46" i="15"/>
  <c r="B2" i="15"/>
  <c r="C8" i="12"/>
  <c r="B3" i="79"/>
  <c r="E6" i="12"/>
  <c r="B3" i="78"/>
  <c r="D6" i="12"/>
  <c r="B3" i="15"/>
  <c r="C6" i="12"/>
  <c r="T48" i="34"/>
  <c r="H34" i="34"/>
  <c r="AB34" i="34"/>
  <c r="T49" i="34"/>
  <c r="R50" i="34"/>
  <c r="C50" i="34"/>
  <c r="U6" i="1"/>
  <c r="H13" i="4"/>
  <c r="G13" i="4"/>
  <c r="R49" i="34"/>
  <c r="V49" i="34"/>
  <c r="G1" i="79"/>
  <c r="F15" i="79"/>
  <c r="F17" i="79"/>
  <c r="F18" i="79"/>
  <c r="F20" i="79"/>
  <c r="F23" i="79"/>
  <c r="F21" i="79"/>
  <c r="F28" i="79"/>
  <c r="C28" i="79"/>
  <c r="F32" i="79"/>
  <c r="F33" i="79"/>
  <c r="F34" i="79"/>
  <c r="R9" i="1"/>
  <c r="AE9" i="1"/>
  <c r="F8" i="1"/>
  <c r="J50" i="79"/>
  <c r="C83" i="79"/>
  <c r="C82" i="79"/>
  <c r="C76" i="79"/>
  <c r="C75" i="79"/>
  <c r="C80" i="79"/>
  <c r="C79" i="79"/>
  <c r="Q65" i="79"/>
  <c r="M47" i="79"/>
  <c r="L51" i="79"/>
  <c r="L57" i="79"/>
  <c r="D8" i="1"/>
  <c r="L47" i="79"/>
  <c r="L58" i="79"/>
  <c r="M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Q59" i="79"/>
  <c r="N59" i="79"/>
  <c r="F59" i="79"/>
  <c r="Q58" i="79"/>
  <c r="L56" i="79"/>
  <c r="I54" i="79"/>
  <c r="Q47" i="79"/>
  <c r="Q48" i="79"/>
  <c r="Q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G1" i="78"/>
  <c r="F15" i="78"/>
  <c r="F17" i="78"/>
  <c r="F18" i="78"/>
  <c r="F20" i="78"/>
  <c r="F23" i="78"/>
  <c r="F21" i="78"/>
  <c r="F28" i="78"/>
  <c r="C28" i="78"/>
  <c r="F32" i="78"/>
  <c r="F33" i="78"/>
  <c r="F34" i="78"/>
  <c r="F7" i="1"/>
  <c r="J50" i="78"/>
  <c r="C83" i="78"/>
  <c r="C82" i="78"/>
  <c r="C76" i="78"/>
  <c r="C75" i="78"/>
  <c r="C80" i="78"/>
  <c r="C79" i="78"/>
  <c r="Q65" i="78"/>
  <c r="M47" i="78"/>
  <c r="L51" i="78"/>
  <c r="L57" i="78"/>
  <c r="D7" i="1"/>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E25" i="34"/>
  <c r="I25" i="34"/>
  <c r="I7" i="34"/>
  <c r="G7" i="34"/>
  <c r="E7" i="34"/>
  <c r="D9" i="68"/>
  <c r="D10" i="68"/>
  <c r="D19" i="68"/>
  <c r="C19" i="68"/>
  <c r="B29" i="1"/>
  <c r="G21" i="6"/>
  <c r="G20" i="6"/>
  <c r="F19" i="6"/>
  <c r="F16" i="4"/>
  <c r="D3" i="4"/>
  <c r="J53" i="67"/>
  <c r="M47" i="15"/>
  <c r="F6" i="1"/>
  <c r="J50" i="15"/>
  <c r="B2" i="1"/>
  <c r="G19" i="43"/>
  <c r="M20" i="43"/>
  <c r="C19" i="43"/>
  <c r="I20" i="43"/>
  <c r="C20" i="43"/>
  <c r="G2" i="43"/>
  <c r="I2" i="43"/>
  <c r="M5" i="43"/>
  <c r="C6" i="43"/>
  <c r="G17" i="43"/>
  <c r="H17" i="43"/>
  <c r="I17" i="43"/>
  <c r="J17" i="43"/>
  <c r="C17" i="43"/>
  <c r="C16" i="43"/>
  <c r="C5" i="43"/>
  <c r="I5" i="3"/>
  <c r="AL5" i="3"/>
  <c r="I4" i="6"/>
  <c r="G3" i="43"/>
  <c r="D5" i="43"/>
  <c r="F33" i="43"/>
  <c r="C33" i="43"/>
  <c r="E33" i="43"/>
  <c r="G33" i="43"/>
  <c r="I33" i="43"/>
  <c r="F34" i="43"/>
  <c r="C34" i="43"/>
  <c r="F35" i="43"/>
  <c r="C35" i="43"/>
  <c r="F36" i="43"/>
  <c r="C36" i="43"/>
  <c r="F37" i="43"/>
  <c r="C37" i="43"/>
  <c r="F38" i="43"/>
  <c r="C38" i="43"/>
  <c r="F39"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H113" i="43"/>
  <c r="D113" i="43"/>
  <c r="E7" i="76"/>
  <c r="E8" i="76"/>
  <c r="E9" i="76"/>
  <c r="E10" i="76"/>
  <c r="E11" i="76"/>
  <c r="E12" i="76"/>
  <c r="E13" i="76"/>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AT5" i="3"/>
  <c r="B3"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F103" i="39"/>
  <c r="H29" i="39"/>
  <c r="G103" i="39"/>
  <c r="J29" i="39"/>
  <c r="G66" i="36"/>
  <c r="J18" i="36"/>
  <c r="F68" i="35"/>
  <c r="H18" i="35"/>
  <c r="S18" i="35"/>
  <c r="G68" i="35"/>
  <c r="J18" i="35"/>
  <c r="F77" i="37"/>
  <c r="H21" i="37"/>
  <c r="F21" i="37"/>
  <c r="F84" i="34"/>
  <c r="H21" i="34"/>
  <c r="F83" i="33"/>
  <c r="H21" i="33"/>
  <c r="F21" i="33"/>
  <c r="E83" i="21"/>
  <c r="S21" i="21"/>
  <c r="H1" i="69"/>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22" i="6"/>
  <c r="D30" i="6"/>
  <c r="D16" i="6"/>
  <c r="A7" i="51"/>
  <c r="B7" i="72"/>
  <c r="C4" i="52"/>
  <c r="B45" i="72"/>
  <c r="A10" i="51"/>
  <c r="B9" i="72"/>
  <c r="D27" i="6"/>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C14" i="12"/>
  <c r="C23" i="12"/>
  <c r="D31" i="6"/>
  <c r="I6" i="6"/>
  <c r="R49" i="21"/>
  <c r="C48" i="21"/>
  <c r="G54" i="34"/>
  <c r="H54" i="34"/>
  <c r="I53" i="21"/>
  <c r="J53" i="21"/>
  <c r="C37" i="36"/>
  <c r="C36" i="36"/>
  <c r="G40" i="36"/>
  <c r="H40" i="36"/>
  <c r="E41" i="36"/>
  <c r="F41" i="36"/>
  <c r="G41" i="36"/>
  <c r="H41" i="36"/>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C15" i="67"/>
  <c r="C18" i="67"/>
  <c r="C42" i="69"/>
  <c r="C39" i="69"/>
  <c r="C43" i="69"/>
  <c r="C20" i="69"/>
  <c r="C25" i="69"/>
  <c r="C22" i="69"/>
  <c r="W7" i="40"/>
  <c r="I42" i="40"/>
  <c r="G42" i="40"/>
  <c r="U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B51" i="40"/>
  <c r="F51" i="40"/>
  <c r="B52" i="40"/>
  <c r="F52" i="40"/>
  <c r="B54" i="40"/>
  <c r="F54" i="40"/>
  <c r="B56" i="40"/>
  <c r="F56" i="40"/>
  <c r="B57" i="40"/>
  <c r="F57" i="40"/>
  <c r="B58" i="40"/>
  <c r="F58" i="40"/>
  <c r="B59" i="40"/>
  <c r="F59" i="40"/>
  <c r="F61" i="40"/>
  <c r="B2" i="40"/>
  <c r="B3"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<sst xmlns="http://schemas.openxmlformats.org/spreadsheetml/2006/main" count="8658" uniqueCount="3326">
  <si>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</si>
  <si>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</si>
  <si>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</si>
  <si>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</si>
  <si>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</si>
  <si>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</si>
  <si>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</si>
  <si>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</si>
  <si>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</si>
  <si>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</si>
  <si>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</si>
  <si>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</si>
  <si>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</si>
  <si>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</si>
  <si>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</si>
  <si>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</si>
  <si>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</si>
  <si>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</si>
  <si>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</si>
  <si>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</si>
  <si>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</si>
  <si>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</si>
  <si>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</si>
  <si>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</si>
  <si>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</si>
  <si>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</si>
  <si>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</si>
  <si>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</si>
  <si>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</si>
  <si>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</si>
  <si>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</si>
  <si>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</si>
  <si>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</si>
  <si>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</si>
  <si>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</si>
  <si>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</si>
  <si>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</si>
  <si>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</si>
  <si>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</si>
  <si>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</si>
  <si>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</si>
  <si>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</si>
  <si>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</si>
  <si>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</si>
  <si>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</si>
  <si>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</si>
  <si>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</si>
  <si>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</si>
  <si>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</si>
  <si>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</si>
  <si>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</si>
  <si>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</si>
  <si>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</si>
  <si>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</si>
  <si>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</si>
  <si>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</si>
  <si>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</si>
  <si>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</si>
  <si>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</si>
  <si>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</si>
  <si>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</si>
  <si>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</si>
  <si>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</si>
  <si>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</si>
  <si>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</si>
  <si>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</si>
  <si>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</si>
  <si>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</si>
  <si>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</si>
  <si>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</si>
  <si>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</si>
  <si>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</si>
  <si>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</si>
  <si>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</si>
  <si>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</si>
  <si>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</si>
  <si>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</si>
  <si>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</si>
  <si>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</si>
  <si>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</si>
  <si>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</si>
  <si>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</si>
  <si>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</si>
  <si>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</si>
  <si>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</si>
  <si>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</si>
  <si>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</si>
  <si>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</si>
  <si>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</si>
  <si>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</si>
  <si>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</si>
  <si>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</si>
  <si>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</si>
  <si>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</si>
  <si>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</si>
  <si>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</si>
  <si>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</si>
  <si>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</si>
  <si>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</si>
  <si>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</si>
  <si>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</si>
  <si>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</si>
  <si>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</si>
  <si>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</si>
  <si>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</si>
  <si>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</si>
  <si>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</si>
  <si>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</si>
  <si>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</si>
  <si>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</si>
  <si>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</si>
  <si>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</si>
  <si>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</si>
  <si>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</si>
  <si>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</si>
  <si>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</si>
  <si>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</si>
  <si>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</si>
  <si>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</si>
  <si>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</si>
  <si>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</si>
  <si>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</si>
  <si>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</si>
  <si>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</si>
  <si>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</si>
  <si>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</si>
  <si>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</si>
  <si>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</si>
  <si>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</si>
  <si>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</si>
  <si>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</si>
  <si>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</si>
  <si>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</si>
  <si>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</si>
  <si>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</si>
  <si>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</si>
  <si>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</si>
  <si>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</si>
  <si>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</si>
  <si>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</si>
  <si>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</si>
  <si>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</si>
  <si>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</si>
  <si>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</si>
  <si>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</si>
  <si>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</si>
  <si>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</si>
  <si>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</si>
  <si>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</si>
  <si>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</si>
  <si>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</si>
  <si>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</si>
  <si>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</si>
  <si>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</si>
  <si>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</si>
  <si>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</si>
  <si>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</si>
  <si>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</si>
  <si>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</si>
  <si>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</si>
  <si>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</si>
  <si>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</si>
  <si>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</si>
  <si>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</si>
  <si>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</si>
  <si>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</si>
  <si>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</si>
  <si>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</si>
  <si>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</si>
  <si>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</si>
  <si>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</si>
  <si>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</si>
  <si>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</si>
  <si>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</si>
  <si>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</si>
  <si>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</si>
  <si>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</si>
  <si>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</si>
  <si>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</si>
  <si>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</si>
  <si>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</si>
  <si>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</si>
  <si>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</si>
  <si>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</si>
  <si>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</si>
  <si>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</si>
  <si>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</si>
  <si>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</si>
  <si>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</si>
  <si>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</si>
  <si>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</si>
  <si>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</si>
  <si>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</si>
  <si>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</si>
  <si>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</si>
  <si>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</si>
  <si>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</si>
  <si>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</si>
  <si>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</si>
  <si>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</si>
  <si>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</si>
  <si>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</si>
  <si>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</si>
  <si>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</si>
  <si>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</si>
  <si>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</si>
  <si>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</si>
  <si>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</si>
  <si>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</si>
  <si>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</si>
  <si>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</si>
  <si>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</si>
  <si>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</si>
  <si>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</si>
  <si>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</si>
  <si>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</si>
  <si>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</si>
  <si>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</si>
  <si>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</si>
  <si>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</si>
  <si>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</si>
  <si>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</si>
  <si>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</si>
  <si>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</si>
  <si>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</si>
  <si>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</si>
  <si>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</si>
  <si>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</si>
  <si>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</si>
  <si>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</si>
  <si>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</si>
  <si>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</si>
  <si>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</si>
  <si>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</si>
  <si>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</si>
  <si>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</si>
  <si>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</si>
  <si>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</si>
  <si>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</si>
  <si>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</si>
  <si>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</si>
  <si>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</si>
  <si>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</si>
  <si>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</si>
  <si>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</si>
  <si>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</si>
  <si>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</si>
  <si>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</si>
  <si>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</si>
  <si>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</si>
  <si>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</si>
  <si>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</si>
  <si>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</si>
  <si>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</si>
  <si>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</si>
  <si>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</si>
  <si>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</si>
  <si>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</si>
  <si>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</si>
  <si>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</si>
  <si>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</si>
  <si>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</si>
  <si>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</si>
  <si>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</si>
  <si>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</si>
  <si>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</si>
  <si>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</si>
  <si>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</si>
  <si>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</si>
  <si>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</si>
  <si>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</si>
  <si>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</si>
  <si>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</si>
  <si>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</si>
  <si>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</si>
  <si>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</si>
  <si>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</si>
  <si>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</si>
  <si>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</si>
  <si>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</si>
  <si>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</si>
  <si>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</si>
  <si>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</si>
  <si>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</si>
  <si>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</si>
  <si>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</si>
  <si>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</si>
  <si>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</si>
  <si>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</si>
  <si>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</si>
  <si>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</si>
  <si>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</si>
  <si>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</si>
  <si>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</si>
  <si>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</si>
  <si>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</si>
  <si>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</si>
  <si>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</si>
  <si>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</si>
  <si>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</si>
  <si>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</si>
  <si>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</si>
  <si>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</si>
  <si>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</si>
  <si>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</si>
  <si>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</si>
  <si>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</si>
  <si>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</si>
  <si>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</si>
  <si>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</si>
  <si>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</si>
  <si>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</si>
  <si>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</si>
  <si>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</si>
  <si>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</si>
  <si>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</si>
  <si>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</si>
  <si>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</si>
  <si>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</si>
  <si>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</si>
  <si>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</si>
  <si>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</si>
  <si>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</si>
  <si>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</si>
  <si>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</si>
  <si>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</si>
  <si>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</si>
  <si>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</si>
  <si>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</si>
  <si>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</si>
  <si>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</si>
  <si>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</si>
  <si>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</si>
  <si>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</si>
  <si>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</si>
  <si>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</si>
  <si>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</si>
  <si>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</si>
  <si>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</si>
  <si>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</si>
  <si>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</si>
  <si>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</si>
  <si>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</si>
  <si>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</si>
  <si>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</si>
  <si>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</si>
  <si>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</si>
  <si>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</si>
  <si>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</si>
  <si>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</si>
  <si>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</si>
  <si>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</si>
  <si>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</si>
  <si>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</si>
  <si>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</si>
  <si>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</si>
  <si>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</si>
  <si>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</si>
  <si>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</si>
  <si>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</si>
  <si>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</si>
  <si>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</si>
  <si>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</si>
  <si>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</si>
  <si>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</si>
  <si>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</si>
  <si>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</si>
  <si>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</si>
  <si>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</si>
  <si>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</si>
  <si>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</si>
  <si>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</si>
  <si>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</si>
  <si>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</si>
  <si>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</si>
  <si>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</si>
  <si>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</si>
  <si>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</si>
  <si>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</si>
  <si>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</si>
  <si>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</si>
  <si>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</si>
  <si>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</si>
  <si>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</si>
  <si>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</si>
  <si>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</si>
  <si>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</si>
  <si>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</si>
  <si>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</si>
  <si>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</si>
  <si>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</si>
  <si>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</si>
  <si>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</si>
  <si>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</si>
  <si>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</si>
  <si>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</si>
  <si>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</si>
  <si>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</si>
  <si>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</si>
  <si>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</si>
  <si>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</si>
  <si>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</si>
  <si>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</si>
  <si>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</si>
  <si>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</si>
  <si>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</si>
  <si>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</si>
  <si>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</si>
  <si>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</si>
  <si>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</si>
  <si>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</si>
  <si>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</si>
  <si>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</si>
  <si>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</si>
  <si>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</si>
  <si>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</si>
  <si>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</si>
  <si>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</si>
  <si>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</si>
  <si>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</si>
  <si>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</si>
  <si>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</si>
  <si>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</si>
  <si>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</si>
  <si>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</si>
  <si>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</si>
  <si>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</si>
  <si>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</si>
  <si>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</si>
  <si>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</si>
  <si>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</si>
  <si>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</si>
  <si>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</si>
  <si>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</si>
  <si>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</si>
  <si>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</si>
  <si>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</si>
  <si>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</si>
  <si>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</si>
  <si>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</si>
  <si>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</si>
  <si>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</si>
  <si>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</si>
  <si>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</si>
  <si>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</si>
  <si>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</si>
  <si>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</si>
  <si>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</si>
  <si>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</si>
  <si>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</si>
  <si>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</si>
  <si>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</si>
  <si>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</si>
  <si>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</si>
  <si>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</si>
  <si>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</si>
  <si>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</si>
  <si>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</si>
  <si>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</si>
  <si>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</si>
  <si>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</si>
  <si>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</si>
  <si>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</si>
  <si>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</si>
  <si>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</si>
  <si>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</si>
  <si>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</si>
  <si>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</si>
  <si>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</si>
  <si>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</si>
  <si>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</si>
  <si>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</si>
  <si>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</si>
  <si>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</si>
  <si>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</si>
  <si>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</si>
  <si>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</si>
  <si>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</si>
  <si>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</si>
  <si>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</si>
  <si>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</si>
  <si>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</si>
  <si>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</si>
  <si>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</si>
  <si>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</si>
  <si>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</si>
  <si>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</si>
  <si>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</si>
  <si>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</si>
  <si>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</si>
  <si>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</si>
  <si>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</si>
  <si>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</si>
  <si>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</si>
  <si>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</si>
  <si>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</si>
  <si>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</si>
  <si>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</si>
  <si>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</si>
  <si>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</si>
  <si>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</si>
  <si>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</si>
  <si>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</si>
  <si>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</si>
  <si>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</si>
  <si>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</si>
  <si>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</si>
  <si>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</si>
  <si>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</si>
  <si>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</si>
  <si>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</si>
  <si>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</si>
  <si>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</si>
  <si>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</si>
  <si>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</si>
  <si>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</si>
  <si>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</si>
  <si>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</si>
  <si>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</si>
  <si>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</si>
  <si>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</si>
  <si>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</si>
  <si>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</si>
  <si>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</si>
  <si>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</si>
  <si>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</si>
  <si>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</si>
  <si>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</si>
  <si>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</si>
  <si>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</si>
  <si>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</si>
  <si>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</si>
  <si>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</si>
  <si>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</si>
  <si>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</si>
  <si>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</si>
  <si>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</si>
  <si>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</si>
  <si>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</si>
  <si>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</si>
  <si>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</si>
  <si>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</si>
  <si>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</si>
  <si>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</si>
  <si>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</si>
  <si>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</si>
  <si>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</si>
  <si>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</si>
  <si>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</si>
  <si>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</si>
  <si>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</si>
  <si>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</si>
  <si>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</si>
  <si>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</si>
  <si>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</si>
  <si>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</si>
  <si>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</si>
  <si>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</si>
  <si>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</si>
  <si>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</si>
  <si>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</si>
  <si>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</si>
  <si>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</si>
  <si>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</si>
  <si>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</si>
  <si>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</si>
  <si>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</si>
  <si>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</si>
  <si>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</si>
  <si>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</si>
  <si>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</si>
  <si>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</si>
  <si>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</si>
  <si>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</si>
  <si>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</si>
  <si>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</si>
  <si>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</si>
  <si>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</si>
  <si>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</si>
  <si>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</si>
  <si>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</si>
  <si>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</si>
  <si>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</si>
  <si>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</si>
  <si>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</si>
  <si>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</si>
  <si>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</si>
  <si>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</si>
  <si>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</si>
  <si>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</si>
  <si>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</si>
  <si>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</si>
  <si>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</si>
  <si>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</si>
  <si>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</si>
  <si>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</si>
  <si>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</si>
  <si>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</si>
  <si>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</si>
  <si>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</si>
  <si>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</si>
  <si>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</si>
  <si>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</si>
  <si>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</si>
  <si>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</si>
  <si>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</si>
  <si>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</si>
  <si>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</si>
  <si>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</si>
  <si>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</si>
  <si>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</si>
  <si>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</si>
  <si>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</si>
  <si>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</si>
  <si>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</si>
  <si>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</si>
  <si>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</si>
  <si>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</si>
  <si>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</si>
  <si>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</si>
  <si>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</si>
  <si>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</si>
  <si>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</si>
  <si>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</si>
  <si>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</si>
  <si>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</si>
  <si>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</si>
  <si>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</si>
  <si>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</si>
  <si>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</si>
  <si>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</si>
  <si>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</si>
  <si>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</si>
  <si>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</si>
  <si>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</si>
  <si>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</si>
  <si>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</si>
  <si>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</si>
  <si>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</si>
  <si>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</si>
  <si>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</si>
  <si>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</si>
  <si>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</si>
  <si>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</si>
  <si>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</si>
  <si>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</si>
  <si>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</si>
  <si>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</si>
  <si>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</si>
  <si>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</si>
  <si>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</si>
  <si>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</si>
  <si>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</si>
  <si>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</si>
  <si>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</si>
  <si>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</si>
  <si>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</si>
  <si>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</si>
  <si>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</si>
  <si>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</si>
  <si>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</si>
  <si>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</si>
  <si>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</si>
  <si>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</si>
  <si>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</si>
  <si>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</si>
  <si>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</si>
  <si>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</si>
  <si>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</si>
  <si>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</si>
  <si>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</si>
  <si>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</si>
  <si>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</si>
  <si>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</si>
  <si>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</si>
  <si>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</si>
  <si>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</si>
  <si>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</si>
  <si>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</si>
  <si>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</si>
  <si>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</si>
  <si>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</si>
  <si>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</si>
  <si>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</si>
  <si>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</si>
  <si>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</si>
  <si>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</si>
  <si>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</si>
  <si>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</si>
  <si>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</si>
  <si>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</si>
  <si>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</si>
  <si>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</si>
  <si>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</si>
  <si>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</si>
  <si>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</si>
  <si>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</si>
  <si>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</si>
  <si>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</si>
  <si>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</si>
  <si>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</si>
  <si>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</si>
  <si>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</si>
  <si>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</si>
  <si>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</si>
  <si>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</si>
  <si>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</si>
  <si>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</si>
  <si>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</si>
  <si>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</si>
  <si>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</si>
  <si>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</si>
  <si>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</si>
  <si>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</si>
  <si>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</si>
  <si>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</si>
  <si>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</si>
  <si>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</si>
  <si>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</si>
  <si>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</si>
  <si>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</si>
  <si>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</si>
  <si>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</si>
  <si>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</si>
  <si>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</si>
  <si>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</si>
  <si>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</si>
  <si>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</si>
  <si>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</si>
  <si>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</si>
  <si>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</si>
  <si>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</si>
  <si>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</si>
  <si>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</si>
  <si>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</si>
  <si>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</si>
  <si>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</si>
  <si>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</si>
  <si>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</si>
  <si>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</si>
  <si>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</si>
  <si>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</si>
  <si>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</si>
  <si>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</si>
  <si>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</si>
  <si>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</si>
  <si>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</si>
  <si>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</si>
  <si>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</si>
  <si>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</si>
  <si>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</si>
  <si>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</si>
  <si>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</si>
  <si>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</si>
  <si>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</si>
  <si>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</si>
  <si>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</si>
  <si>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</si>
  <si>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</si>
  <si>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</si>
  <si>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</si>
  <si>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</si>
  <si>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</si>
  <si>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</si>
  <si>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</si>
  <si>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</si>
  <si>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</si>
  <si>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</si>
  <si>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</si>
  <si>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</si>
  <si>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</si>
  <si>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</si>
  <si>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</si>
  <si>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</si>
  <si>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</si>
  <si>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</si>
  <si>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</si>
  <si>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</si>
  <si>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</si>
  <si>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</si>
  <si>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</si>
  <si>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</si>
  <si>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</si>
  <si>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</si>
  <si>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</si>
  <si>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</si>
  <si>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</si>
  <si>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</si>
  <si>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</si>
  <si>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</si>
  <si>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</si>
  <si>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</si>
  <si>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</si>
  <si>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</si>
  <si>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</si>
  <si>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</si>
  <si>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</si>
  <si>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</si>
  <si>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</si>
  <si>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</si>
  <si>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</si>
  <si>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</si>
  <si>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</si>
  <si>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</si>
  <si>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</si>
  <si>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</si>
  <si>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</si>
  <si>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</si>
  <si>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</si>
  <si>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</si>
  <si>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</si>
  <si>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</si>
  <si>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</si>
  <si>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</si>
  <si>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</si>
  <si>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</si>
  <si>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</si>
  <si>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</si>
  <si>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</si>
  <si>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</si>
  <si>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</si>
  <si>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</si>
  <si>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</si>
  <si>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</si>
  <si>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</si>
  <si>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</si>
  <si>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</si>
  <si>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</si>
  <si>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</si>
  <si>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</si>
  <si>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</si>
  <si>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</si>
  <si>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</si>
  <si>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</si>
  <si>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</si>
  <si>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</si>
  <si>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</si>
  <si>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</si>
  <si>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</si>
  <si>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</si>
  <si>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</si>
  <si>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</si>
  <si>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</si>
  <si>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</si>
  <si>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</si>
  <si>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</si>
  <si>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</si>
  <si>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</si>
  <si>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</si>
  <si>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</si>
  <si>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</si>
  <si>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</si>
  <si>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</si>
  <si>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</si>
  <si>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</si>
  <si>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</si>
  <si>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</si>
  <si>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</si>
  <si>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</si>
  <si>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</si>
  <si>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</si>
  <si>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</si>
  <si>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</si>
  <si>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</si>
  <si>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</si>
  <si>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</si>
  <si>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</si>
  <si>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</si>
  <si>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</si>
  <si>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</si>
  <si>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</si>
  <si>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</si>
  <si>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</si>
  <si>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</si>
  <si>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</si>
  <si>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</si>
  <si>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</si>
  <si>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</si>
  <si>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</si>
  <si>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</si>
  <si>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</si>
  <si>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</si>
  <si>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</si>
  <si>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</si>
  <si>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</si>
  <si>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</si>
  <si>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</si>
  <si>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</si>
  <si>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</si>
  <si>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</si>
  <si>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</si>
  <si>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</si>
  <si>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</si>
  <si>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</si>
  <si>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</si>
  <si>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</si>
  <si>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</si>
  <si>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</si>
  <si>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</si>
  <si>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</si>
  <si>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</si>
  <si>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</si>
  <si>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</si>
  <si>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</si>
  <si>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</si>
  <si>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</si>
  <si>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</si>
  <si>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</si>
  <si>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</si>
  <si>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</si>
  <si>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</si>
  <si>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</si>
  <si>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</si>
  <si>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</si>
  <si>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</si>
  <si>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</si>
  <si>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</si>
  <si>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</si>
  <si>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</si>
  <si>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</si>
  <si>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</si>
  <si>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</si>
  <si>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</si>
  <si>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</si>
  <si>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</si>
  <si>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</si>
  <si>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</si>
  <si>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</si>
  <si>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</si>
  <si>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</si>
  <si>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</si>
  <si>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</si>
  <si>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</si>
  <si>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</si>
  <si>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</si>
  <si>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</si>
  <si>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</si>
  <si>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</si>
  <si>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</si>
  <si>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</si>
  <si>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</si>
  <si>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</si>
  <si>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</si>
  <si>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</si>
  <si>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</si>
  <si>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</si>
  <si>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</si>
  <si>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</si>
  <si>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</si>
  <si>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</si>
  <si>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</si>
  <si>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</si>
  <si>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</si>
  <si>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</si>
  <si>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</si>
  <si>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</si>
  <si>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</si>
  <si>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</si>
  <si>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</si>
  <si>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</si>
  <si>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</si>
  <si>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</si>
  <si>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</si>
  <si>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</si>
  <si>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</si>
  <si>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</si>
  <si>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</si>
  <si>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</si>
  <si>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</si>
  <si>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</si>
  <si>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</si>
  <si>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</si>
  <si>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</si>
  <si>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</si>
  <si>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</si>
  <si>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</si>
  <si>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</si>
  <si>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</si>
  <si>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</si>
  <si>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</si>
  <si>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</si>
  <si>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</si>
  <si>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</si>
  <si>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</si>
  <si>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</si>
  <si>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</si>
  <si>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</si>
  <si>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</si>
  <si>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</si>
  <si>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</si>
  <si>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</si>
  <si>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</si>
  <si>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</si>
  <si>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</si>
  <si>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</si>
  <si>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</si>
  <si>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</si>
  <si>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</si>
  <si>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</si>
  <si>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</si>
  <si>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</si>
  <si>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</si>
  <si>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</si>
  <si>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</si>
  <si>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</si>
  <si>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</si>
  <si>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</si>
  <si>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</si>
  <si>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</si>
  <si>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</si>
  <si>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</si>
  <si>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</si>
  <si>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</si>
  <si>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</si>
  <si>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</si>
  <si>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</si>
  <si>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</si>
  <si>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</si>
  <si>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</si>
  <si>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</si>
  <si>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</si>
  <si>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</si>
  <si>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</si>
  <si>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</si>
  <si>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</si>
  <si>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</si>
  <si>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</si>
  <si>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</si>
  <si>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</si>
  <si>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</si>
  <si>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</si>
  <si>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</si>
  <si>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</si>
  <si>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</si>
  <si>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</si>
  <si>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</si>
  <si>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</si>
  <si>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</si>
  <si>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</si>
  <si>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</si>
  <si>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</si>
  <si>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</si>
  <si>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</si>
  <si>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</si>
  <si>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</si>
  <si>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</si>
  <si>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</si>
  <si>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</si>
  <si>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</si>
  <si>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</si>
  <si>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</si>
  <si>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</si>
  <si>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</si>
  <si>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</si>
  <si>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</si>
  <si>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</si>
  <si>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</si>
  <si>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</si>
  <si>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</si>
  <si>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</si>
  <si>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</si>
  <si>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</si>
  <si>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</si>
  <si>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</si>
  <si>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</si>
  <si>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</si>
  <si>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</si>
  <si>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</si>
  <si>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</si>
  <si>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</si>
  <si>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</si>
  <si>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</si>
  <si>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</si>
  <si>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</si>
  <si>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</si>
  <si>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</si>
  <si>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</si>
  <si>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</si>
  <si>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</si>
  <si>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</si>
  <si>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</si>
  <si>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</si>
  <si>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</si>
  <si>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</si>
  <si>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</si>
  <si>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</si>
  <si>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</si>
  <si>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</si>
  <si>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</si>
  <si>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</si>
  <si>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</si>
  <si>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</si>
  <si>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</si>
  <si>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</si>
  <si>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</si>
  <si>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</si>
  <si>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</si>
  <si>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</si>
  <si>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</si>
  <si>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</si>
  <si>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</si>
  <si>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</si>
  <si>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</si>
  <si>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</si>
  <si>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</si>
  <si>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</si>
  <si>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</si>
  <si>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</si>
  <si>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</si>
  <si>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</si>
  <si>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</si>
  <si>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</si>
  <si>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</si>
  <si>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</si>
  <si>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</si>
  <si>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</si>
  <si>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</si>
  <si>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</si>
  <si>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</si>
  <si>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</si>
  <si>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</si>
  <si>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</si>
  <si>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</si>
  <si>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</si>
  <si>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</si>
  <si>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</si>
  <si>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</si>
  <si>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</si>
  <si>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</si>
  <si>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</si>
  <si>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</si>
  <si>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</si>
  <si>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</si>
  <si>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</si>
  <si>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</si>
  <si>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</si>
  <si>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</si>
  <si>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</si>
  <si>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</si>
  <si>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</si>
  <si>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</si>
  <si>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</si>
  <si>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</si>
  <si>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</si>
  <si>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</si>
  <si>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</si>
  <si>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</si>
  <si>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</si>
  <si>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</si>
  <si>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</si>
  <si>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</si>
  <si>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</si>
  <si>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</si>
  <si>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</si>
  <si>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</si>
  <si>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</si>
  <si>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</si>
  <si>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</si>
  <si>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</si>
  <si>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</si>
  <si>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</si>
  <si>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</si>
  <si>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</si>
  <si>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</si>
  <si>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</si>
  <si>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</si>
  <si>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</si>
  <si>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</si>
  <si>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</si>
  <si>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</si>
  <si>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</si>
  <si>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</si>
  <si>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</si>
  <si>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</si>
  <si>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</si>
  <si>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</si>
  <si>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</si>
  <si>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</si>
  <si>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</si>
  <si>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</si>
  <si>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</si>
  <si>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</si>
  <si>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</si>
  <si>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</si>
  <si>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</si>
  <si>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</si>
  <si>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</si>
  <si>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</si>
  <si>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</si>
  <si>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</si>
  <si>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</si>
  <si>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</si>
  <si>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</si>
  <si>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</si>
  <si>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</si>
  <si>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</si>
  <si>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</si>
  <si>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</si>
  <si>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</si>
  <si>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</si>
  <si>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</si>
  <si>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</si>
  <si>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</si>
  <si>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</si>
  <si>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</si>
  <si>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</si>
  <si>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</si>
  <si>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</si>
  <si>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</si>
  <si>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</si>
  <si>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</si>
  <si>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</si>
  <si>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</si>
  <si>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</si>
  <si>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</si>
  <si>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</si>
  <si>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</si>
  <si>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</si>
  <si>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</si>
  <si>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</si>
  <si>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</si>
  <si>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</si>
  <si>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</si>
  <si>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</si>
  <si>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</si>
  <si>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</si>
  <si>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</si>
  <si>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</si>
  <si>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</si>
  <si>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</si>
  <si>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</si>
  <si>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</si>
  <si>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</si>
  <si>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</si>
  <si>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</si>
  <si>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</si>
  <si>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</si>
  <si>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</si>
  <si>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</si>
  <si>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</si>
  <si>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</si>
  <si>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</si>
  <si>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</si>
  <si>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</si>
  <si>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</si>
  <si>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</si>
  <si>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</si>
  <si>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</si>
  <si>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</si>
  <si>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</si>
  <si>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</si>
  <si>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</si>
  <si>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</si>
  <si>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</si>
  <si>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</si>
  <si>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</si>
  <si>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</si>
  <si>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</si>
  <si>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</si>
  <si>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</si>
  <si>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</si>
  <si>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</si>
  <si>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</si>
  <si>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</si>
  <si>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</si>
  <si>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</si>
  <si>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</si>
  <si>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</si>
  <si>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</si>
  <si>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</si>
  <si>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</si>
  <si>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</si>
  <si>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</si>
  <si>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</si>
  <si>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</si>
  <si>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</si>
  <si>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</si>
  <si>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</si>
  <si>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</si>
  <si>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</si>
  <si>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</si>
  <si>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</si>
  <si>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</si>
  <si>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</si>
  <si>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</si>
  <si>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</si>
  <si>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</si>
  <si>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</si>
  <si>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</si>
  <si>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</si>
  <si>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</si>
  <si>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</si>
  <si>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</si>
  <si>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</si>
  <si>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</si>
  <si>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</si>
  <si>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</si>
  <si>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</si>
  <si>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</si>
  <si>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</si>
  <si>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</si>
  <si>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</si>
  <si>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</si>
  <si>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</si>
  <si>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</si>
  <si>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</si>
  <si>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</si>
  <si>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</si>
  <si>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</si>
  <si>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</si>
  <si>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</si>
  <si>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</si>
  <si>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</si>
  <si>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</si>
  <si>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</si>
  <si>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</si>
  <si>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</si>
  <si>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</si>
  <si>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</si>
  <si>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</si>
  <si>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</si>
  <si>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</si>
  <si>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</si>
  <si>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</si>
  <si>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</si>
  <si>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</si>
  <si>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</si>
  <si>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</si>
  <si>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</si>
  <si>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</si>
  <si>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</si>
  <si>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</si>
  <si>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</si>
  <si>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</si>
  <si>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</si>
  <si>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</si>
  <si>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</si>
  <si>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</si>
  <si>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</si>
  <si>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</si>
  <si>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</si>
  <si>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</si>
  <si>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</si>
  <si>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</si>
  <si>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</si>
  <si>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</si>
  <si>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</si>
  <si>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</si>
  <si>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</si>
  <si>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</si>
  <si>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</si>
  <si>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</si>
  <si>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</si>
  <si>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</si>
  <si>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</si>
  <si>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</si>
  <si>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</si>
  <si>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</si>
  <si>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</si>
  <si>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</si>
  <si>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</si>
  <si>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</si>
  <si>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</si>
  <si>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</si>
  <si>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</si>
  <si>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</si>
  <si>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</si>
  <si>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</si>
  <si>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</si>
  <si>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</si>
  <si>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</si>
  <si>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</si>
  <si>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</si>
  <si>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</si>
  <si>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</si>
  <si>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</si>
  <si>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</si>
  <si>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</si>
  <si>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</si>
  <si>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</si>
  <si>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</si>
  <si>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</si>
  <si>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</si>
  <si>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</si>
  <si>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</si>
  <si>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</si>
  <si>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</si>
  <si>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</si>
  <si>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</si>
  <si>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</si>
  <si>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</si>
  <si>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</si>
  <si>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</si>
  <si>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</si>
  <si>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</si>
  <si>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</si>
  <si>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</si>
  <si>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</si>
  <si>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</si>
  <si>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</si>
  <si>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</si>
  <si>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</si>
  <si>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</si>
  <si>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</si>
  <si>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</si>
  <si>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</si>
  <si>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</si>
  <si>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</si>
  <si>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</si>
  <si>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</si>
  <si>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</si>
  <si>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</si>
  <si>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</si>
  <si>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</si>
  <si>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</si>
  <si>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</si>
  <si>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</si>
  <si>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</si>
  <si>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</si>
  <si>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</si>
  <si>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</si>
  <si>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</si>
  <si>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</si>
  <si>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</si>
  <si>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</si>
  <si>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</si>
  <si>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</si>
  <si>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</si>
  <si>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</si>
  <si>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</si>
  <si>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</si>
  <si>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</si>
  <si>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</si>
  <si>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</si>
  <si>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</si>
  <si>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</si>
  <si>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</si>
  <si>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</si>
  <si>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</si>
  <si>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</si>
  <si>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</si>
  <si>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</si>
  <si>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</si>
  <si>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</si>
  <si>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</si>
  <si>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</si>
  <si>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</si>
  <si>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</si>
  <si>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</si>
  <si>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</si>
  <si>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</si>
  <si>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</si>
  <si>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</si>
  <si>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</si>
  <si>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</si>
  <si>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</si>
  <si>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</si>
  <si>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</si>
  <si>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</si>
  <si>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</si>
  <si>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</si>
  <si>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</si>
  <si>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</si>
  <si>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</si>
  <si>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</si>
  <si>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</si>
  <si>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</si>
  <si>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</si>
  <si>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</si>
  <si>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</si>
  <si>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</si>
  <si>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</si>
  <si>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</si>
  <si>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</si>
  <si>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</si>
  <si>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</si>
  <si>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</si>
  <si>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</si>
  <si>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</si>
  <si>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</si>
  <si>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</si>
  <si>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</si>
  <si>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</si>
  <si>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</si>
  <si>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</si>
  <si>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</si>
  <si>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</si>
  <si>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</si>
  <si>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</si>
  <si>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</si>
  <si>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</si>
  <si>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</si>
  <si>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</si>
  <si>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</si>
  <si>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</si>
  <si>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</si>
  <si>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</si>
  <si>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</si>
  <si>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</si>
  <si>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</si>
  <si>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</si>
  <si>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</si>
  <si>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</si>
  <si>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</si>
  <si>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</si>
  <si>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</si>
  <si>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</si>
  <si>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</si>
  <si>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</si>
  <si>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</si>
  <si>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</si>
  <si>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</si>
  <si>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</si>
  <si>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</si>
  <si>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</si>
  <si>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</si>
  <si>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</si>
  <si>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</si>
  <si>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</si>
  <si>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</si>
  <si>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</si>
  <si>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</si>
  <si>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</si>
  <si>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</si>
  <si>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</si>
  <si>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</si>
  <si>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</si>
  <si>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</si>
  <si>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</si>
  <si>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</si>
  <si>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</si>
  <si>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</si>
  <si>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</si>
  <si>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</si>
  <si>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</si>
  <si>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</si>
  <si>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</si>
  <si>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</si>
  <si>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</si>
  <si>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</si>
  <si>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</si>
  <si>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</si>
  <si>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</si>
  <si>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</si>
  <si>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</si>
  <si>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</si>
  <si>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</si>
  <si>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</si>
  <si>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</si>
  <si>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</si>
  <si>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</si>
  <si>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</si>
  <si>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</si>
  <si>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</si>
  <si>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</si>
  <si>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</si>
  <si>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</si>
  <si>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</si>
  <si>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</si>
  <si>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</si>
  <si>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</si>
  <si>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</si>
  <si>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</si>
  <si>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</si>
  <si>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</si>
  <si>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</si>
  <si>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</si>
  <si>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</si>
  <si>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</si>
  <si>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</si>
  <si>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</si>
  <si>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</si>
  <si>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</si>
  <si>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</si>
  <si>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</si>
  <si>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</si>
  <si>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</si>
  <si>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</si>
  <si>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</si>
  <si>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</si>
  <si>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</si>
  <si>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</si>
  <si>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</si>
  <si>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</si>
  <si>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</si>
  <si>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</si>
  <si>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</si>
  <si>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</si>
  <si>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</si>
  <si>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</si>
  <si>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</si>
  <si>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</si>
  <si>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</si>
  <si>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</si>
  <si>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</si>
  <si>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</si>
  <si>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</si>
  <si>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</si>
  <si>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</si>
  <si>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</si>
  <si>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</si>
  <si>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</si>
  <si>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</si>
  <si>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</si>
  <si>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</si>
  <si>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</si>
  <si>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</si>
  <si>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</si>
  <si>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</si>
  <si>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</si>
  <si>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</si>
  <si>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</si>
  <si>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</si>
  <si>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</si>
  <si>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</si>
  <si>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</si>
  <si>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</si>
  <si>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</si>
  <si>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</si>
  <si>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</si>
  <si>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</si>
  <si>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</si>
  <si>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</si>
  <si>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</si>
  <si>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</si>
  <si>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</si>
  <si>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</si>
  <si>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</si>
  <si>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</si>
  <si>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</si>
  <si>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</si>
  <si>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</si>
  <si>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</si>
  <si>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</si>
  <si>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</si>
  <si>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</si>
  <si>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</si>
  <si>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</si>
  <si>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</si>
  <si>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</si>
  <si>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</si>
  <si>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</si>
  <si>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</si>
  <si>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</si>
  <si>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</si>
  <si>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</si>
  <si>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</si>
  <si>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</si>
  <si>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</si>
  <si>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</si>
  <si>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</si>
  <si>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</si>
  <si>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</si>
  <si>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</si>
  <si>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</si>
  <si>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</si>
  <si>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</si>
  <si>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</si>
  <si>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</si>
  <si>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</si>
  <si>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</si>
  <si>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</si>
  <si>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</si>
  <si>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</si>
  <si>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</si>
  <si>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</si>
  <si>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</si>
  <si>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</si>
  <si>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</si>
  <si>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</si>
  <si>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</si>
  <si>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</si>
  <si>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</si>
  <si>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</si>
  <si>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</si>
  <si>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</si>
  <si>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</si>
  <si>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</si>
  <si>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</si>
  <si>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</si>
  <si>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</si>
  <si>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</si>
  <si>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</si>
  <si>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</si>
  <si>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</si>
  <si>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</si>
  <si>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</si>
  <si>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</si>
  <si>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</si>
  <si>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</si>
  <si>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</si>
  <si>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</si>
  <si>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</si>
  <si>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</si>
  <si>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</si>
  <si>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</si>
  <si>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</si>
  <si>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</si>
  <si>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</si>
  <si>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</si>
  <si>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</si>
  <si>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</si>
  <si>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</si>
  <si>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</si>
  <si>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</si>
  <si>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</si>
  <si>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</si>
  <si>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</si>
  <si>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</si>
  <si>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</si>
  <si>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</si>
  <si>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</si>
  <si>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</si>
  <si>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</si>
  <si>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</si>
  <si>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</si>
  <si>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</si>
  <si>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</si>
  <si>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</si>
  <si>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</si>
  <si>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</si>
  <si>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</si>
  <si>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</si>
  <si>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</si>
  <si>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</si>
  <si>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</si>
  <si>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</si>
  <si>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</si>
  <si>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</si>
  <si>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</si>
  <si>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</si>
  <si>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</si>
  <si>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</si>
  <si>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</si>
  <si>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</si>
  <si>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</si>
  <si>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</si>
  <si>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</si>
  <si>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</si>
  <si>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</si>
  <si>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</si>
  <si>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</si>
  <si>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</si>
  <si>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</si>
  <si>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</si>
  <si>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</si>
  <si>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</si>
  <si>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</si>
  <si>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</si>
  <si>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</si>
  <si>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</si>
  <si>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</si>
  <si>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</si>
  <si>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</si>
  <si>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</si>
  <si>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</si>
  <si>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</si>
  <si>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</si>
  <si>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</si>
  <si>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</si>
  <si>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</si>
  <si>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</si>
  <si>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</si>
  <si>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</si>
  <si>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</si>
  <si>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</si>
  <si>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</si>
  <si>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</si>
  <si>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</si>
  <si>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</si>
  <si>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</si>
  <si>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</si>
  <si>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</si>
  <si>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</si>
  <si>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</si>
  <si>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</si>
  <si>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</si>
  <si>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</si>
  <si>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</si>
  <si>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</si>
  <si>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</si>
  <si>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</si>
  <si>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</si>
  <si>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</si>
  <si>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</si>
  <si>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</si>
  <si>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</si>
  <si>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</si>
  <si>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</si>
  <si>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</si>
  <si>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</si>
  <si>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</si>
  <si>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</si>
  <si>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</si>
  <si>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</si>
  <si>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</si>
  <si>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</si>
  <si>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</si>
  <si>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</si>
  <si>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</si>
  <si>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</si>
  <si>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</si>
  <si>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</si>
  <si>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</si>
  <si>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</si>
  <si>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</si>
  <si>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</si>
  <si>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</si>
  <si>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</si>
  <si>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</si>
  <si>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</si>
  <si>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</si>
  <si>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</si>
  <si>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</si>
  <si>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</si>
  <si>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</si>
  <si>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</si>
  <si>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</si>
  <si>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</si>
  <si>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</si>
  <si>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</si>
  <si>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</si>
  <si>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</si>
  <si>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</si>
  <si>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</si>
  <si>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</si>
  <si>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</si>
  <si>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</si>
  <si>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</si>
  <si>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</si>
  <si>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</si>
  <si>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</si>
  <si>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</si>
  <si>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</si>
  <si>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</si>
  <si>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</si>
  <si>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</si>
  <si>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</si>
  <si>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</si>
  <si>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</si>
  <si>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</si>
  <si>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</si>
  <si>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</si>
  <si>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</si>
  <si>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</si>
  <si>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</si>
  <si>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</si>
  <si>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</si>
  <si>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</si>
  <si>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</si>
  <si>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</si>
  <si>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</si>
  <si>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</si>
  <si>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</si>
  <si>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</si>
  <si>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</si>
  <si>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</si>
  <si>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</si>
  <si>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</si>
  <si>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</si>
  <si>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</si>
  <si>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</si>
  <si>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</si>
  <si>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</si>
  <si>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</si>
  <si>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</si>
  <si>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</si>
  <si>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</si>
  <si>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</si>
  <si>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</si>
  <si>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</si>
  <si>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</si>
  <si>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</si>
  <si>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</si>
  <si>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</si>
  <si>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</si>
  <si>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</si>
  <si>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</si>
  <si>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</si>
  <si>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</si>
  <si>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</si>
  <si>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</si>
  <si>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</si>
  <si>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</si>
  <si>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</si>
  <si>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</si>
  <si>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</si>
  <si>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</si>
  <si>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</si>
  <si>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</si>
  <si>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</si>
  <si>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</si>
  <si>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</si>
  <si>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</si>
  <si>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</si>
  <si>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</si>
  <si>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</si>
  <si>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</si>
  <si>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</si>
  <si>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</si>
  <si>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</si>
  <si>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</si>
  <si>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</si>
  <si>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</si>
  <si>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</si>
  <si>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</si>
  <si>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</si>
  <si>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</si>
  <si>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</si>
  <si>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</si>
  <si>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</si>
  <si>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</si>
  <si>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</si>
  <si>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</si>
  <si>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</si>
  <si>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</si>
  <si>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</si>
  <si>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</si>
  <si>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</si>
  <si>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</si>
  <si>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</si>
  <si>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</si>
  <si>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</si>
  <si>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</si>
  <si>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</si>
  <si>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</si>
  <si>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</si>
  <si>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</si>
  <si>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</si>
  <si>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</si>
  <si>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</si>
  <si>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</si>
  <si>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</si>
  <si>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</si>
  <si>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</si>
  <si>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</si>
  <si>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</si>
  <si>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</si>
  <si>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</si>
  <si>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</si>
  <si>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</si>
  <si>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</si>
  <si>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</si>
  <si>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</si>
  <si>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</si>
  <si>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</si>
  <si>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</si>
  <si>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</si>
  <si>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</si>
  <si>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</si>
  <si>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</si>
  <si>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</si>
  <si>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</si>
  <si>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</si>
  <si>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</si>
  <si>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</si>
  <si>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</si>
  <si>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</si>
  <si>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</si>
  <si>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</si>
  <si>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</si>
  <si>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</si>
  <si>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</si>
  <si>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</si>
  <si>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</si>
  <si>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</si>
  <si>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</si>
  <si>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</si>
  <si>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</si>
  <si>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</si>
  <si>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</si>
  <si>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</si>
  <si>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</si>
  <si>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</si>
  <si>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</si>
  <si>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</si>
  <si>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</si>
  <si>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</si>
  <si>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</si>
  <si>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</si>
  <si>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</si>
  <si>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</si>
  <si>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</si>
  <si>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</si>
  <si>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</si>
  <si>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</si>
  <si>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</si>
  <si>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</si>
  <si>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</si>
  <si>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</si>
  <si>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</si>
  <si>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</si>
  <si>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</si>
  <si>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</si>
  <si>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</si>
  <si>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</si>
  <si>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</si>
  <si>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</si>
  <si>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</si>
  <si>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</si>
  <si>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</si>
  <si>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</si>
  <si>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</si>
  <si>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</si>
  <si>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</si>
  <si>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</si>
  <si>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</si>
  <si>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</si>
  <si>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</si>
  <si>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</si>
  <si>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</si>
  <si>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</si>
  <si>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</si>
  <si>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</si>
  <si>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</si>
  <si>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</si>
  <si>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</si>
  <si>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</si>
  <si>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</si>
  <si>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</si>
  <si>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</si>
  <si>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</si>
  <si>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</si>
  <si>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</si>
  <si>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</si>
  <si>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</si>
  <si>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</si>
  <si>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</si>
  <si>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</si>
  <si>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</si>
  <si>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</si>
  <si>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</si>
  <si>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</si>
  <si>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</si>
  <si>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</si>
  <si>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</si>
  <si>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</si>
  <si>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</si>
  <si>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</si>
  <si>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</si>
  <si>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</si>
  <si>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</si>
  <si>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</si>
  <si>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</si>
  <si>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</si>
  <si>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</si>
  <si>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</si>
  <si>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</si>
  <si>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</si>
  <si>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</si>
  <si>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</si>
  <si>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</si>
  <si>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</si>
  <si>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</si>
  <si>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</si>
  <si>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</si>
  <si>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</si>
  <si>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</si>
  <si>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</si>
  <si>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</si>
  <si>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</si>
  <si>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</si>
  <si>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</si>
  <si>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</si>
  <si>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</si>
  <si>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</si>
  <si>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</si>
  <si>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</si>
  <si>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</si>
  <si>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</si>
  <si>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</si>
  <si>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</si>
  <si>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</si>
  <si>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</si>
  <si>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</si>
  <si>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</si>
  <si>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</si>
  <si>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</si>
  <si>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</si>
  <si>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</si>
  <si>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</si>
  <si>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</si>
  <si>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</si>
  <si>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</si>
  <si>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</si>
  <si>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</si>
  <si>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</si>
  <si>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</si>
  <si>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</si>
  <si>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</si>
  <si>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</si>
  <si>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</si>
  <si>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</si>
  <si>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</si>
  <si>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</si>
  <si>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</si>
  <si>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</si>
  <si>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</si>
  <si>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</si>
  <si>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</si>
  <si>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</si>
  <si>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</si>
  <si>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</si>
  <si>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</si>
  <si>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</si>
  <si>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</si>
  <si>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</si>
  <si>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</si>
  <si>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</si>
  <si>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</si>
  <si>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</si>
  <si>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</si>
  <si>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</si>
  <si>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</si>
  <si>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</si>
  <si>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</si>
  <si>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</si>
  <si>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</si>
  <si>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</si>
  <si>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</si>
  <si>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</si>
  <si>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</si>
  <si>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</si>
  <si>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</si>
  <si>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</si>
  <si>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</si>
  <si>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</si>
  <si>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</si>
  <si>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</si>
  <si>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</si>
  <si>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</si>
  <si>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</si>
  <si>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</si>
  <si>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</si>
  <si>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</si>
  <si>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</si>
  <si>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</si>
  <si>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</si>
  <si>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</si>
  <si>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</si>
  <si>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</si>
  <si>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</si>
  <si>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</si>
  <si>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</si>
  <si>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</si>
  <si>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</si>
  <si>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</si>
  <si>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</si>
  <si>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</si>
  <si>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</si>
  <si>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</si>
  <si>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</si>
  <si>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</si>
  <si>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</si>
  <si>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</si>
  <si>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</si>
  <si>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</si>
  <si>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</si>
  <si>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</si>
  <si>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</si>
  <si>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</si>
  <si>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</si>
  <si>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</si>
  <si>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</si>
  <si>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</si>
  <si>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</si>
  <si>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</si>
  <si>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</si>
  <si>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</si>
  <si>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</si>
  <si>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</si>
  <si>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</si>
  <si>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</si>
  <si>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</si>
  <si>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</si>
  <si>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</si>
  <si>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</si>
  <si>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</si>
  <si>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</si>
  <si>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</si>
  <si>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</si>
  <si>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</si>
  <si>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</si>
  <si>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</si>
  <si>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</si>
  <si>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</si>
  <si>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</si>
  <si>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</si>
  <si>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</si>
  <si>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</si>
  <si>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</si>
  <si>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</si>
  <si>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</si>
  <si>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</si>
  <si>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</si>
  <si>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</si>
  <si>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</si>
  <si>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</si>
  <si>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</si>
  <si>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</si>
  <si>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</si>
  <si>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</si>
  <si>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</si>
  <si>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</si>
  <si>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</si>
  <si>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</si>
  <si>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</si>
  <si>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</si>
  <si>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</si>
  <si>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</si>
  <si>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</si>
  <si>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</si>
  <si>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</si>
  <si>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</si>
  <si>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</si>
  <si>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</si>
  <si>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</si>
  <si>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</si>
  <si>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</si>
  <si>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</si>
  <si>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</si>
  <si>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</si>
  <si>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</si>
  <si>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</si>
  <si>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</si>
  <si>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</si>
  <si>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</si>
  <si>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</si>
  <si>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</si>
  <si>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</si>
  <si>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</si>
  <si>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</si>
  <si>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</si>
  <si>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</si>
  <si>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</si>
  <si>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</si>
  <si>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</si>
  <si>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</si>
  <si>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</si>
  <si>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</si>
  <si>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</si>
  <si>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</si>
  <si>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</si>
  <si>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</si>
  <si>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</si>
  <si>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</si>
  <si>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</si>
  <si>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</si>
  <si>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</si>
  <si>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</si>
  <si>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</si>
  <si>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</si>
  <si>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</si>
  <si>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</si>
  <si>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</si>
  <si>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</si>
  <si>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</si>
  <si>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</si>
  <si>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</si>
  <si>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</si>
  <si>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</si>
  <si>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</si>
  <si>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</si>
  <si>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</si>
  <si>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</si>
  <si>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</si>
  <si>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</si>
  <si>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</si>
  <si>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</si>
  <si>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</si>
  <si>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</si>
  <si>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</si>
  <si>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</si>
  <si>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</si>
  <si>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</si>
  <si>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</si>
  <si>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</si>
  <si>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</si>
  <si>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</si>
  <si>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</si>
  <si>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</si>
  <si>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</si>
  <si>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</si>
  <si>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</si>
  <si>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</si>
  <si>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</si>
  <si>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</si>
  <si>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</si>
  <si>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</si>
  <si>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</si>
  <si>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</si>
  <si>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</si>
  <si>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</si>
  <si>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</si>
  <si>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</si>
  <si>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</si>
  <si>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</si>
  <si>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</si>
  <si>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</si>
  <si>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</si>
  <si>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</si>
  <si>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</si>
  <si>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</si>
  <si>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</si>
  <si>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</si>
  <si>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</si>
  <si>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</si>
  <si>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</si>
  <si>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</si>
  <si>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</si>
  <si>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</si>
  <si>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</si>
  <si>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</si>
  <si>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</si>
  <si>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</si>
  <si>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</si>
  <si>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</si>
  <si>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</si>
  <si>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</si>
  <si>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</si>
  <si>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</si>
  <si>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</si>
  <si>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</si>
  <si>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</si>
  <si>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</si>
  <si>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</si>
  <si>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</si>
  <si>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</si>
  <si>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</si>
  <si>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</si>
  <si>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</si>
  <si>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</si>
  <si>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</si>
  <si>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</si>
  <si>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</si>
  <si>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</si>
  <si>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</si>
  <si>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</si>
  <si>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</si>
  <si>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</si>
  <si>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</si>
  <si>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</si>
  <si>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</si>
  <si>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</si>
  <si>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</si>
  <si>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</si>
  <si>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</si>
  <si>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</si>
  <si>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</si>
  <si>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</si>
  <si>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</si>
  <si>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</si>
  <si>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</si>
  <si>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</si>
  <si>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</si>
  <si>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</si>
  <si>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</si>
  <si>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</si>
  <si>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</si>
  <si>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</si>
  <si>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</si>
  <si>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</si>
  <si>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</si>
  <si>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</si>
  <si>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</si>
  <si>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</si>
  <si>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</si>
  <si>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</si>
  <si>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</si>
  <si>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</si>
  <si>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</si>
  <si>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</si>
  <si>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</si>
  <si>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</si>
  <si>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</si>
  <si>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</si>
  <si>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</si>
  <si>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</si>
  <si>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</si>
  <si>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</si>
  <si>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</si>
  <si>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</si>
  <si>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</si>
  <si>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</si>
  <si>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</si>
  <si>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</si>
  <si>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</si>
  <si>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</si>
  <si>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</si>
  <si>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</si>
  <si>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</si>
  <si>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</si>
  <si>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</si>
  <si>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</si>
  <si>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</si>
  <si>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</si>
  <si>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</si>
  <si>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</si>
  <si>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</si>
  <si>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</si>
  <si>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</si>
  <si>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</si>
  <si>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</si>
  <si>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</si>
  <si>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</si>
  <si>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</si>
  <si>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</si>
  <si>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</si>
  <si>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</si>
  <si>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</si>
  <si>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</si>
  <si>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</si>
  <si>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</si>
  <si>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</si>
  <si>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</si>
  <si>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</si>
  <si>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</si>
  <si>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</si>
  <si>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</si>
  <si>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</si>
  <si>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</si>
  <si>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</si>
  <si>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</si>
  <si>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</si>
  <si>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</si>
  <si>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</si>
  <si>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</si>
  <si>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</si>
  <si>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</si>
  <si>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</si>
  <si>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</si>
  <si>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</si>
  <si>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</si>
  <si>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</si>
  <si>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</si>
  <si>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</si>
  <si>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</si>
  <si>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</si>
  <si>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</si>
  <si>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</si>
  <si>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</si>
  <si>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</si>
  <si>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</si>
  <si>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</si>
  <si>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</si>
  <si>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</si>
  <si>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</si>
  <si>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</si>
  <si>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</si>
  <si>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</si>
  <si>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</si>
  <si>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</si>
  <si>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</si>
  <si>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</si>
  <si>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</si>
  <si>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</si>
  <si>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</si>
  <si>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</si>
  <si>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</si>
  <si>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</si>
  <si>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</si>
  <si>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</si>
  <si>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</si>
  <si>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</si>
  <si>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</si>
  <si>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</si>
  <si>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</si>
  <si>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</si>
  <si>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</si>
  <si>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</si>
  <si>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</si>
  <si>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</si>
  <si>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</si>
  <si>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</si>
  <si>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</si>
  <si>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</si>
  <si>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</si>
  <si>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</si>
  <si>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</si>
  <si>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</si>
  <si>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</si>
  <si>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</si>
  <si>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</si>
  <si>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</si>
  <si>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</si>
  <si>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</si>
  <si>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</si>
  <si>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</si>
  <si>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</si>
  <si>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</si>
  <si>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</si>
  <si>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</si>
  <si>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</si>
  <si>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</si>
  <si>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</si>
  <si>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</si>
  <si>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</si>
  <si>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</si>
  <si>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</si>
  <si>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</si>
  <si>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</si>
  <si>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</si>
  <si>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</si>
  <si>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</si>
  <si>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</si>
  <si>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</si>
  <si>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</si>
  <si>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</si>
  <si>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</si>
  <si>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</si>
  <si>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</si>
  <si>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</si>
  <si>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</si>
  <si>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</si>
  <si>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</si>
  <si>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</si>
  <si>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</si>
  <si>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</si>
  <si>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</si>
  <si>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</si>
  <si>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</si>
  <si>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</si>
  <si>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</si>
  <si>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</si>
  <si>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</si>
  <si>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</si>
  <si>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</si>
  <si>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</si>
  <si>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</si>
  <si>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</si>
  <si>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</si>
  <si>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</si>
  <si>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</si>
  <si>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</si>
  <si>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</si>
  <si>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</si>
  <si>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</si>
  <si>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</si>
  <si>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</si>
  <si>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</si>
  <si>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</si>
  <si>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</si>
  <si>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</si>
  <si>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</si>
  <si>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</si>
  <si>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</si>
  <si>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</si>
  <si>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</si>
  <si>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</si>
  <si>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</si>
  <si>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</si>
  <si>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</si>
  <si>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</si>
  <si>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</si>
  <si>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</si>
  <si>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</si>
  <si>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</si>
  <si>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</si>
  <si>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</si>
  <si>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</si>
  <si>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</si>
  <si>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</si>
  <si>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</si>
  <si>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</si>
  <si>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</si>
  <si>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</si>
  <si>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</si>
  <si>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</si>
  <si>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</si>
  <si>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</si>
  <si>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</si>
  <si>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</si>
  <si>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</si>
  <si>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</si>
  <si>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</si>
  <si>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</si>
  <si>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</si>
  <si>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</si>
  <si>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</si>
  <si>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</si>
  <si>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</si>
  <si>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</si>
  <si>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</si>
  <si>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</si>
  <si>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</si>
  <si>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</si>
  <si>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</si>
  <si>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</si>
  <si>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</si>
  <si>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</si>
  <si>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</si>
  <si>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</si>
  <si>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</si>
  <si>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</si>
  <si>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</si>
  <si>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</si>
  <si>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</si>
  <si>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</si>
  <si>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</si>
  <si>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</si>
  <si>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</si>
  <si>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</si>
  <si>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</si>
  <si>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</si>
  <si>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</si>
  <si>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</si>
  <si>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</si>
  <si>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</si>
  <si>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</si>
  <si>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</si>
  <si>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</si>
  <si>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</si>
  <si>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</si>
  <si>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</si>
  <si>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</si>
  <si>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</si>
  <si>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</si>
  <si>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</si>
  <si>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</si>
  <si>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</si>
  <si>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</si>
  <si>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</si>
  <si>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</si>
  <si>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</si>
  <si>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</si>
  <si>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</si>
  <si>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</si>
  <si>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</si>
  <si>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</si>
  <si>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</si>
  <si>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</si>
  <si>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</si>
  <si>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</si>
  <si>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</si>
  <si>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</si>
  <si>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</si>
  <si>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</si>
  <si>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</si>
  <si>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</si>
  <si>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</si>
  <si>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</si>
  <si>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</si>
  <si>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</si>
  <si>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</si>
  <si>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</si>
  <si>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</si>
  <si>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</si>
  <si>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</si>
  <si>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</si>
  <si>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</si>
  <si>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</si>
  <si>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</si>
  <si>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</si>
  <si>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</si>
  <si>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</si>
  <si>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</si>
  <si>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</si>
  <si>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</si>
  <si>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</si>
  <si>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</si>
  <si>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</si>
  <si>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</si>
  <si>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</si>
  <si>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</si>
  <si>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</si>
  <si>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</si>
  <si>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</si>
  <si>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</si>
  <si>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</si>
  <si>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</si>
  <si>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</si>
  <si>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</si>
  <si>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</si>
  <si>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</si>
  <si>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</si>
  <si>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</si>
  <si>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</si>
  <si>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</si>
  <si>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</si>
  <si>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</si>
  <si>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</si>
  <si>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</si>
  <si>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</si>
  <si>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</si>
  <si>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</si>
  <si>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</si>
  <si>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</si>
  <si>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</si>
  <si>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</si>
  <si>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</si>
  <si>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</si>
  <si>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</si>
  <si>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</si>
  <si>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</si>
  <si>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</si>
  <si>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</si>
  <si>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</si>
  <si>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</si>
  <si>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</si>
  <si>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</si>
  <si>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</si>
  <si>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</si>
  <si>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</si>
  <si>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</si>
  <si>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</si>
  <si>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</si>
  <si>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</si>
  <si>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</si>
  <si>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</si>
  <si>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</si>
  <si>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</si>
  <si>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</si>
  <si>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</si>
  <si>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</si>
  <si>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</si>
  <si>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</si>
  <si>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</si>
  <si>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</si>
  <si>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</si>
  <si>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</si>
  <si>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</si>
  <si>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</si>
  <si>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</si>
  <si>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</si>
  <si>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</si>
  <si>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</si>
  <si>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</si>
  <si>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</si>
  <si>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</si>
  <si>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</si>
  <si>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</si>
  <si>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</si>
  <si>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</si>
  <si>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</si>
  <si>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</si>
  <si>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</si>
  <si>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</si>
  <si>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</si>
  <si>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</si>
  <si>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</si>
  <si>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</si>
  <si>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</si>
  <si>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</si>
  <si>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</si>
  <si>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</si>
  <si>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</si>
  <si>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</si>
  <si>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</si>
  <si>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</si>
  <si>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</si>
  <si>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</si>
  <si>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</si>
  <si>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</si>
  <si>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</si>
  <si>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</si>
  <si>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</si>
  <si>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</si>
  <si>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</si>
  <si>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</si>
  <si>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</si>
  <si>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</si>
  <si>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</si>
  <si>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</si>
  <si>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</si>
  <si>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</si>
  <si>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</si>
  <si>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</si>
  <si>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</si>
  <si>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</si>
  <si>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</si>
  <si>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</si>
  <si>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</si>
  <si>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</si>
  <si>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</si>
  <si>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</si>
  <si>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</si>
  <si>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</si>
  <si>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</si>
  <si>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</si>
  <si>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</si>
  <si>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</si>
  <si>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</si>
  <si>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</si>
  <si>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</si>
  <si>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</si>
  <si>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</si>
  <si>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</si>
  <si>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</si>
  <si>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</si>
  <si>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</si>
  <si>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</si>
  <si>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</si>
  <si>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</si>
  <si>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</si>
  <si>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</si>
  <si>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</si>
  <si>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</si>
  <si>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</si>
  <si>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</si>
  <si>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</si>
  <si>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</si>
  <si>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</si>
  <si>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</si>
  <si>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</si>
  <si>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</si>
  <si>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</si>
  <si>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</si>
  <si>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</si>
  <si>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</si>
  <si>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</si>
  <si>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</si>
  <si>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</si>
  <si>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</si>
  <si>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</si>
  <si>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</si>
  <si>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</si>
  <si>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</si>
  <si>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</si>
  <si>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</si>
  <si>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</si>
  <si>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</si>
  <si>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</si>
  <si>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</si>
  <si>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</si>
  <si>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</si>
  <si>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</si>
  <si>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</si>
  <si>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</si>
  <si>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</si>
  <si>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</si>
  <si>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</si>
  <si>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</si>
  <si>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</si>
  <si>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</si>
  <si>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</si>
  <si>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</si>
  <si>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</si>
  <si>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</si>
  <si>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</si>
  <si>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</si>
  <si>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</si>
  <si>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</si>
  <si>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</si>
  <si>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</si>
  <si>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</si>
  <si>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</si>
  <si>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</si>
  <si>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</si>
  <si>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</si>
  <si>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</si>
  <si>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</si>
  <si>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</si>
  <si>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</si>
  <si>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</si>
  <si>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</si>
  <si>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</si>
  <si>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</si>
  <si>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</si>
  <si>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</si>
  <si>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</si>
  <si>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</si>
  <si>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</si>
  <si>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</si>
  <si>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</si>
  <si>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</si>
  <si>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</si>
  <si>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</si>
  <si>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</si>
  <si>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</si>
  <si>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</si>
  <si>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</si>
  <si>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</si>
  <si>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</si>
  <si>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</si>
  <si>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</si>
  <si>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</si>
  <si>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</si>
  <si>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</si>
  <si>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</si>
  <si>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</si>
  <si>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</si>
  <si>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</si>
  <si>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</si>
  <si>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</si>
  <si>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</si>
  <si>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</si>
  <si>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</si>
  <si>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</si>
  <si>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</si>
  <si>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</si>
  <si>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</si>
  <si>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</si>
  <si>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</si>
  <si>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</si>
  <si>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</si>
  <si>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</si>
  <si>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</si>
  <si>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</si>
  <si>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</si>
  <si>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</si>
  <si>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</si>
  <si>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</si>
  <si>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</si>
  <si>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</si>
  <si>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</si>
  <si>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</si>
  <si>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</si>
  <si>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</si>
  <si>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</si>
  <si>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</si>
  <si>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</si>
  <si>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</si>
  <si>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</si>
  <si>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</si>
  <si>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</si>
  <si>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</si>
  <si>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</si>
  <si>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</si>
  <si>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</si>
  <si>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</si>
  <si>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</si>
  <si>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</si>
  <si>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</si>
  <si>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</si>
  <si>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</si>
  <si>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</si>
  <si>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</si>
  <si>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</si>
  <si>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</si>
  <si>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</si>
  <si>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</si>
  <si>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</si>
  <si>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</si>
  <si>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</si>
  <si>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</si>
  <si>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</si>
  <si>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</si>
  <si>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</si>
  <si>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</si>
  <si>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</si>
  <si>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</si>
  <si>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</si>
  <si>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</si>
  <si>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</si>
  <si>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</si>
  <si>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</si>
  <si>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</si>
  <si>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</si>
  <si>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</si>
  <si>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</si>
  <si>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</si>
  <si>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</si>
  <si>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</si>
  <si>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</si>
  <si>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</si>
  <si>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</si>
  <si>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</si>
  <si>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</si>
  <si>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</si>
  <si>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</si>
  <si>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</si>
  <si>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</si>
  <si>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</si>
  <si>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</si>
  <si>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</si>
  <si>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</si>
  <si>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</si>
  <si>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</si>
  <si>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</si>
  <si>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</si>
  <si>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</si>
  <si>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</si>
  <si>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</si>
  <si>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</si>
  <si>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</si>
  <si>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</si>
  <si>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</si>
  <si>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</si>
  <si>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</si>
  <si>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</si>
  <si>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</si>
  <si>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</si>
  <si>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</si>
  <si>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</si>
  <si>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</si>
  <si>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</si>
  <si>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</si>
  <si>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</si>
  <si>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</si>
  <si>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</si>
  <si>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</si>
  <si>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</si>
  <si>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</si>
  <si>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</si>
  <si>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</si>
  <si>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</si>
  <si>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</si>
  <si>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</si>
  <si>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</si>
  <si>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</si>
  <si>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</si>
  <si>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</si>
  <si>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</si>
  <si>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</si>
  <si>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</si>
  <si>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</si>
  <si>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</si>
  <si>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</si>
  <si>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</si>
  <si>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</si>
  <si>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</si>
  <si>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</si>
  <si>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</si>
  <si>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</si>
  <si>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</si>
  <si>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</si>
  <si>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</si>
  <si>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</si>
  <si>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</si>
  <si>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</si>
  <si>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</si>
  <si>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</si>
  <si>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</si>
  <si>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</si>
  <si>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</si>
  <si>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</si>
  <si>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</si>
  <si>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</si>
  <si>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</si>
  <si>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</si>
  <si>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</si>
  <si>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</si>
  <si>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</si>
  <si>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</si>
  <si>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</si>
  <si>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</si>
  <si>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</si>
  <si>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</si>
  <si>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</si>
  <si>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</si>
  <si>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</si>
  <si>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</si>
  <si>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</si>
  <si>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</si>
  <si>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</si>
  <si>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</si>
  <si>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</si>
  <si>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</si>
  <si>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</si>
  <si>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</si>
  <si>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</si>
  <si>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</si>
  <si>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工商银行通州支行</t>
    <phoneticPr fontId="6" type="noConversion"/>
  </si>
  <si>
    <t>抵押</t>
  </si>
  <si>
    <t>房地产抵押价值</t>
  </si>
  <si>
    <t>北京市</t>
  </si>
  <si>
    <t>企业</t>
  </si>
  <si>
    <t>出让</t>
  </si>
  <si>
    <r>
      <rPr>
        <sz val="12"/>
        <color theme="9" tint="-0.249977111117893"/>
        <rFont val="宋体"/>
        <family val="3"/>
        <charset val="134"/>
      </rPr>
      <t>北京市海淀区永丰产业基地Ⅱ</t>
    </r>
    <r>
      <rPr>
        <sz val="12"/>
        <color theme="9" tint="-0.249977111117893"/>
        <rFont val="Arial"/>
        <family val="2"/>
      </rPr>
      <t>-4-C</t>
    </r>
    <r>
      <rPr>
        <sz val="12"/>
        <color theme="9" tint="-0.249977111117893"/>
        <rFont val="宋体"/>
        <family val="3"/>
        <charset val="134"/>
      </rPr>
      <t>地段</t>
    </r>
    <phoneticPr fontId="6" type="noConversion"/>
  </si>
  <si>
    <t>工业用地</t>
  </si>
  <si>
    <t>工业用地</t>
    <phoneticPr fontId="6" type="noConversion"/>
  </si>
  <si>
    <t>是</t>
  </si>
  <si>
    <t>在建</t>
  </si>
  <si>
    <t>正常</t>
  </si>
  <si>
    <t>正常</t>
    <phoneticPr fontId="6" type="noConversion"/>
  </si>
  <si>
    <t>通路</t>
  </si>
  <si>
    <t>通电</t>
  </si>
  <si>
    <t>通讯</t>
  </si>
  <si>
    <t>通上水</t>
  </si>
  <si>
    <t>通下水</t>
  </si>
  <si>
    <t>Ⅴ-永丰产业基地</t>
  </si>
  <si>
    <t>（2017）施（海）建字0019号</t>
    <phoneticPr fontId="6" type="noConversion"/>
  </si>
  <si>
    <r>
      <t>京海国用（</t>
    </r>
    <r>
      <rPr>
        <sz val="10"/>
        <color indexed="8"/>
        <rFont val="Arial"/>
        <family val="2"/>
      </rPr>
      <t>2014</t>
    </r>
    <r>
      <rPr>
        <sz val="10"/>
        <color indexed="8"/>
        <rFont val="宋体"/>
        <family val="3"/>
        <charset val="134"/>
      </rPr>
      <t>出）第</t>
    </r>
    <r>
      <rPr>
        <sz val="10"/>
        <color indexed="8"/>
        <rFont val="Arial"/>
        <family val="2"/>
      </rPr>
      <t>00157</t>
    </r>
    <r>
      <rPr>
        <sz val="10"/>
        <color indexed="8"/>
        <rFont val="宋体"/>
        <family val="3"/>
        <charset val="134"/>
      </rPr>
      <t>号</t>
    </r>
  </si>
  <si>
    <r>
      <t>2016</t>
    </r>
    <r>
      <rPr>
        <sz val="10"/>
        <color indexed="8"/>
        <rFont val="宋体"/>
        <family val="3"/>
        <charset val="134"/>
      </rPr>
      <t>规（海）建字</t>
    </r>
    <r>
      <rPr>
        <sz val="10"/>
        <color indexed="8"/>
        <rFont val="Arial"/>
        <family val="2"/>
      </rPr>
      <t>0044</t>
    </r>
    <r>
      <rPr>
        <sz val="10"/>
        <color indexed="8"/>
        <rFont val="宋体"/>
        <family val="3"/>
        <charset val="134"/>
      </rPr>
      <t>号</t>
    </r>
  </si>
  <si>
    <t>科研楼</t>
    <phoneticPr fontId="3" type="noConversion"/>
  </si>
  <si>
    <t>地上</t>
  </si>
  <si>
    <t>地下</t>
  </si>
  <si>
    <t>办公楼</t>
  </si>
  <si>
    <t>车库</t>
  </si>
  <si>
    <t>仓储</t>
  </si>
  <si>
    <t>地上办公</t>
  </si>
  <si>
    <t>地上办公</t>
    <phoneticPr fontId="7" type="noConversion"/>
  </si>
  <si>
    <t>地下车库</t>
    <phoneticPr fontId="7" type="noConversion"/>
  </si>
  <si>
    <t>地下仓储</t>
  </si>
  <si>
    <t>地下仓储</t>
    <phoneticPr fontId="7" type="noConversion"/>
  </si>
  <si>
    <t>比较法（套用）</t>
  </si>
  <si>
    <t>永丰产业基地</t>
    <phoneticPr fontId="3" type="noConversion"/>
  </si>
  <si>
    <t>永丰产业基地</t>
    <phoneticPr fontId="3" type="noConversion"/>
  </si>
  <si>
    <t>办公</t>
    <phoneticPr fontId="32" type="noConversion"/>
  </si>
  <si>
    <t>40-50（含）</t>
  </si>
  <si>
    <t>一般</t>
  </si>
  <si>
    <t>较好</t>
  </si>
  <si>
    <t>六通</t>
  </si>
  <si>
    <t>钢混</t>
  </si>
  <si>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</si>
  <si>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</si>
  <si>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</si>
  <si>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</si>
  <si>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</si>
  <si>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</si>
  <si>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</si>
  <si>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</si>
  <si>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</si>
  <si>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</si>
  <si>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</si>
  <si>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</si>
  <si>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不专业</t>
    <phoneticPr fontId="32" type="noConversion"/>
  </si>
  <si>
    <t>七通</t>
    <phoneticPr fontId="32" type="noConversion"/>
  </si>
  <si>
    <t>六通</t>
    <phoneticPr fontId="32" type="noConversion"/>
  </si>
  <si>
    <t>五通</t>
  </si>
  <si>
    <t>五通</t>
    <phoneticPr fontId="32" type="noConversion"/>
  </si>
  <si>
    <t>四通</t>
    <phoneticPr fontId="32" type="noConversion"/>
  </si>
  <si>
    <t>超高层高</t>
    <phoneticPr fontId="32" type="noConversion"/>
  </si>
  <si>
    <t>标准层高</t>
  </si>
  <si>
    <t>标准层高</t>
    <phoneticPr fontId="32" type="noConversion"/>
  </si>
  <si>
    <t>精装修</t>
    <phoneticPr fontId="32" type="noConversion"/>
  </si>
  <si>
    <t>简单装修</t>
    <phoneticPr fontId="32" type="noConversion"/>
  </si>
  <si>
    <t>普通装修</t>
    <phoneticPr fontId="32" type="noConversion"/>
  </si>
  <si>
    <t>好</t>
  </si>
  <si>
    <t>标准写字楼</t>
  </si>
  <si>
    <t>标准写字楼</t>
    <phoneticPr fontId="32" type="noConversion"/>
  </si>
  <si>
    <t>城市支路-丰润东路</t>
    <phoneticPr fontId="32" type="noConversion"/>
  </si>
  <si>
    <r>
      <rPr>
        <sz val="11"/>
        <rFont val="宋体"/>
        <family val="3"/>
        <charset val="134"/>
      </rPr>
      <t>城市支路</t>
    </r>
    <r>
      <rPr>
        <sz val="11"/>
        <rFont val="Arial"/>
        <family val="2"/>
      </rPr>
      <t>-</t>
    </r>
    <r>
      <rPr>
        <sz val="11"/>
        <rFont val="宋体"/>
        <family val="3"/>
        <charset val="134"/>
      </rPr>
      <t>丰贤中路</t>
    </r>
    <phoneticPr fontId="32" type="noConversion"/>
  </si>
  <si>
    <t>收益法</t>
  </si>
  <si>
    <t>城市快速路</t>
    <phoneticPr fontId="32" type="noConversion"/>
  </si>
  <si>
    <t>主干道</t>
    <phoneticPr fontId="32" type="noConversion"/>
  </si>
  <si>
    <t>次干道</t>
    <phoneticPr fontId="32" type="noConversion"/>
  </si>
  <si>
    <t>支路</t>
  </si>
  <si>
    <t>支路</t>
    <phoneticPr fontId="32" type="noConversion"/>
  </si>
  <si>
    <t>高速路</t>
    <phoneticPr fontId="32" type="noConversion"/>
  </si>
  <si>
    <t>收益法（办公）</t>
  </si>
  <si>
    <t>收益法（仓储）</t>
  </si>
  <si>
    <t>收益法 (车库)</t>
  </si>
  <si>
    <t>租金</t>
  </si>
  <si>
    <t>在建（套用方法）</t>
  </si>
  <si>
    <t>押一</t>
  </si>
  <si>
    <t>非生产用房</t>
  </si>
  <si>
    <t>否</t>
  </si>
  <si>
    <t>北斗星通大厦</t>
    <phoneticPr fontId="3" type="noConversion"/>
  </si>
  <si>
    <t>已全部缴纳</t>
  </si>
  <si>
    <t>未包含在土地购买价格中</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</si>
  <si>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</si>
  <si>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</si>
  <si>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</si>
  <si>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</si>
  <si>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</si>
  <si>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</si>
  <si>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</si>
  <si>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</si>
  <si>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</si>
  <si>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</si>
  <si>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</si>
  <si>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</si>
  <si>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</si>
  <si>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</si>
  <si>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北京经济技术开发区河西区X55M1地块</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</si>
  <si>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</si>
  <si>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</si>
  <si>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</si>
  <si>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</si>
  <si>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</si>
  <si>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</si>
  <si>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</si>
  <si>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</si>
  <si>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</si>
  <si>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2017-12-25</t>
  </si>
  <si>
    <t>北京星汉特种印刷有限公司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</si>
  <si>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</si>
  <si>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</si>
  <si>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</si>
  <si>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</si>
  <si>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</si>
  <si>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</si>
  <si>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</si>
  <si>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</si>
  <si>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</si>
  <si>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</si>
  <si>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</si>
  <si>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</si>
  <si>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</si>
  <si>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</si>
  <si>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</si>
  <si>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</si>
  <si>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</si>
  <si>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</si>
  <si>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</si>
  <si>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</si>
  <si>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</si>
  <si>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</si>
  <si>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</si>
  <si>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</si>
  <si>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</si>
  <si>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</si>
  <si>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</si>
  <si>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</si>
  <si>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</si>
  <si>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</si>
  <si>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</si>
  <si>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</si>
  <si>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</si>
  <si>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</si>
  <si>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</si>
  <si>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</si>
  <si>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</si>
  <si>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</si>
  <si>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2016-06-17</t>
  </si>
  <si>
    <t>北京市机动车排放管理中心</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</si>
  <si>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</si>
  <si>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</si>
  <si>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</si>
  <si>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</si>
  <si>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</si>
  <si>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</si>
  <si>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</si>
  <si>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</si>
  <si>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</si>
  <si>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</si>
  <si>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</si>
  <si>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</si>
  <si>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</si>
  <si>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</si>
  <si>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</si>
  <si>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</si>
  <si>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</si>
  <si>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</si>
  <si>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</si>
  <si>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</si>
  <si>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</si>
  <si>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</si>
  <si>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</si>
  <si>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</si>
  <si>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</si>
  <si>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</si>
  <si>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</si>
  <si>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</si>
  <si>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</si>
  <si>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</si>
  <si>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</si>
  <si>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</si>
  <si>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</si>
  <si>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</si>
  <si>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</si>
  <si>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</si>
  <si>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</si>
  <si>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</si>
  <si>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</si>
  <si>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</si>
  <si>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</si>
  <si>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</si>
  <si>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</si>
  <si>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</si>
  <si>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</si>
  <si>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</si>
  <si>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</si>
  <si>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</si>
  <si>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</si>
  <si>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</si>
  <si>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</si>
  <si>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</si>
  <si>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</si>
  <si>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</si>
  <si>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</si>
  <si>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</si>
  <si>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</si>
  <si>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</si>
  <si>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</si>
  <si>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</si>
  <si>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</si>
  <si>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</si>
  <si>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</si>
  <si>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</si>
  <si>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</si>
  <si>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</si>
  <si>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</si>
  <si>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</si>
  <si>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</si>
  <si>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</si>
  <si>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</si>
  <si>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</si>
  <si>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</si>
  <si>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</si>
  <si>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</si>
  <si>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</si>
  <si>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</si>
  <si>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</si>
  <si>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</si>
  <si>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</si>
  <si>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</si>
  <si>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</si>
  <si>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</si>
  <si>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</si>
  <si>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r>
      <rPr>
        <sz val="10"/>
        <rFont val="宋体"/>
        <family val="3"/>
        <charset val="134"/>
      </rPr>
      <t>北京经济技术开发区</t>
    </r>
    <r>
      <rPr>
        <sz val="10"/>
        <rFont val="Arial"/>
        <family val="2"/>
      </rPr>
      <t>77M1-a</t>
    </r>
    <r>
      <rPr>
        <sz val="10"/>
        <rFont val="宋体"/>
        <family val="3"/>
        <charset val="134"/>
      </rPr>
      <t>地块</t>
    </r>
    <phoneticPr fontId="143" type="noConversion"/>
  </si>
  <si>
    <t>北京经济技术开发区77M1-a地块</t>
    <phoneticPr fontId="3" type="noConversion"/>
  </si>
  <si>
    <r>
      <rPr>
        <sz val="10"/>
        <rFont val="宋体"/>
        <family val="3"/>
        <charset val="134"/>
      </rPr>
      <t>北京经济技术开发区</t>
    </r>
    <r>
      <rPr>
        <sz val="10"/>
        <rFont val="Arial"/>
        <family val="2"/>
      </rPr>
      <t>80M10-2</t>
    </r>
    <r>
      <rPr>
        <sz val="10"/>
        <rFont val="宋体"/>
        <family val="3"/>
        <charset val="134"/>
      </rPr>
      <t>地块</t>
    </r>
    <phoneticPr fontId="143" type="noConversion"/>
  </si>
  <si>
    <t>工业</t>
    <phoneticPr fontId="33" type="noConversion"/>
  </si>
  <si>
    <r>
      <rPr>
        <sz val="10"/>
        <rFont val="宋体"/>
        <family val="3"/>
        <charset val="134"/>
      </rPr>
      <t>顺义新城第</t>
    </r>
    <r>
      <rPr>
        <sz val="10"/>
        <rFont val="Arial"/>
        <family val="2"/>
      </rPr>
      <t>14</t>
    </r>
    <r>
      <rPr>
        <sz val="10"/>
        <rFont val="宋体"/>
        <family val="3"/>
        <charset val="134"/>
      </rPr>
      <t>街区</t>
    </r>
    <r>
      <rPr>
        <sz val="10"/>
        <rFont val="Arial"/>
        <family val="2"/>
      </rPr>
      <t>SY00-0014-6001M1</t>
    </r>
    <r>
      <rPr>
        <sz val="10"/>
        <rFont val="宋体"/>
        <family val="3"/>
        <charset val="134"/>
      </rPr>
      <t>一类工业用地项目</t>
    </r>
    <phoneticPr fontId="143" type="noConversion"/>
  </si>
  <si>
    <t>顺义新城第14街区SY00-0014-6001M1一类工业用地项目</t>
    <phoneticPr fontId="33" type="noConversion"/>
  </si>
  <si>
    <t>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</si>
  <si>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</si>
  <si>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</si>
  <si>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</si>
  <si>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</si>
  <si>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</si>
  <si>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</si>
  <si>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</si>
  <si>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r>
      <t>40-50</t>
    </r>
    <r>
      <rPr>
        <sz val="11"/>
        <color indexed="8"/>
        <rFont val="宋体"/>
        <family val="3"/>
        <charset val="134"/>
      </rPr>
      <t>（含）</t>
    </r>
    <phoneticPr fontId="33" type="noConversion"/>
  </si>
  <si>
    <t>好</t>
    <phoneticPr fontId="33" type="noConversion"/>
  </si>
  <si>
    <t>较好</t>
    <phoneticPr fontId="33" type="noConversion"/>
  </si>
  <si>
    <t>一般</t>
    <phoneticPr fontId="33" type="noConversion"/>
  </si>
  <si>
    <t>较差</t>
    <phoneticPr fontId="33"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</si>
  <si>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</si>
  <si>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</si>
  <si>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</si>
  <si>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</si>
  <si>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</si>
  <si>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r>
      <rPr>
        <sz val="10"/>
        <rFont val="宋体"/>
        <family val="3"/>
        <charset val="134"/>
      </rPr>
      <t>顺义区金马工业区</t>
    </r>
    <r>
      <rPr>
        <sz val="10"/>
        <rFont val="Arial"/>
        <family val="2"/>
      </rPr>
      <t>D1-01-1</t>
    </r>
    <r>
      <rPr>
        <sz val="10"/>
        <rFont val="宋体"/>
        <family val="3"/>
        <charset val="134"/>
      </rPr>
      <t>地块</t>
    </r>
    <phoneticPr fontId="143" type="noConversion"/>
  </si>
  <si>
    <t>双面临街</t>
  </si>
  <si>
    <t>较规则</t>
  </si>
  <si>
    <t>较规则</t>
    <phoneticPr fontId="33" type="noConversion"/>
  </si>
  <si>
    <t>较不规则</t>
    <phoneticPr fontId="33" type="noConversion"/>
  </si>
  <si>
    <t>北京经济技术开发区80M10-2地块</t>
    <phoneticPr fontId="33" type="noConversion"/>
  </si>
  <si>
    <r>
      <t>40-50</t>
    </r>
    <r>
      <rPr>
        <sz val="11"/>
        <color indexed="8"/>
        <rFont val="宋体"/>
        <family val="3"/>
        <charset val="134"/>
      </rPr>
      <t>（含）</t>
    </r>
    <phoneticPr fontId="33" type="noConversion"/>
  </si>
  <si>
    <t>成本法</t>
  </si>
  <si>
    <t>假设开发法</t>
  </si>
  <si>
    <t>楼面地价</t>
  </si>
  <si>
    <t>北京市系数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</si>
</sst>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0" borderId="0" xfId="13" applyFill="1"/>
    <xf numFmtId="0" fontId="47" fillId="6"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457200</xdr:colOff>
      <xdr:row>34</xdr:row>
      <xdr:rowOff>22207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943600" cy="5851506"/>
        </a:xfrm>
        <a:prstGeom prst="rect">
          <a:avLst/>
        </a:prstGeom>
      </xdr:spPr>
    </xdr:pic>
    <xdr:clientData/>
  </xdr:twoCellAnchor>
  <xdr:twoCellAnchor editAs="oneCell">
    <xdr:from>
      <xdr:col>1</xdr:col>
      <xdr:colOff>409575</xdr:colOff>
      <xdr:row>84</xdr:row>
      <xdr:rowOff>95250</xdr:rowOff>
    </xdr:from>
    <xdr:to>
      <xdr:col>7</xdr:col>
      <xdr:colOff>300696</xdr:colOff>
      <xdr:row>119</xdr:row>
      <xdr:rowOff>65731</xdr:rowOff>
    </xdr:to>
    <xdr:pic>
      <xdr:nvPicPr>
        <xdr:cNvPr id="4" name="图片 3"/>
        <xdr:cNvPicPr>
          <a:picLocks noChangeAspect="1"/>
        </xdr:cNvPicPr>
      </xdr:nvPicPr>
      <xdr:blipFill>
        <a:blip xmlns:r="http://schemas.openxmlformats.org/officeDocument/2006/relationships" r:embed="rId2"/>
        <a:stretch>
          <a:fillRect/>
        </a:stretch>
      </xdr:blipFill>
      <xdr:spPr>
        <a:xfrm>
          <a:off x="1095375" y="14497050"/>
          <a:ext cx="4005921" cy="5971231"/>
        </a:xfrm>
        <a:prstGeom prst="rect">
          <a:avLst/>
        </a:prstGeom>
      </xdr:spPr>
    </xdr:pic>
    <xdr:clientData/>
  </xdr:twoCellAnchor>
  <xdr:twoCellAnchor editAs="oneCell">
    <xdr:from>
      <xdr:col>2</xdr:col>
      <xdr:colOff>1</xdr:colOff>
      <xdr:row>39</xdr:row>
      <xdr:rowOff>0</xdr:rowOff>
    </xdr:from>
    <xdr:to>
      <xdr:col>9</xdr:col>
      <xdr:colOff>609601</xdr:colOff>
      <xdr:row>75</xdr:row>
      <xdr:rowOff>163223</xdr:rowOff>
    </xdr:to>
    <xdr:pic>
      <xdr:nvPicPr>
        <xdr:cNvPr id="6" name="图片 5"/>
        <xdr:cNvPicPr>
          <a:picLocks noChangeAspect="1"/>
        </xdr:cNvPicPr>
      </xdr:nvPicPr>
      <xdr:blipFill>
        <a:blip xmlns:r="http://schemas.openxmlformats.org/officeDocument/2006/relationships" r:embed="rId3"/>
        <a:stretch>
          <a:fillRect/>
        </a:stretch>
      </xdr:blipFill>
      <xdr:spPr>
        <a:xfrm>
          <a:off x="1371601" y="6686550"/>
          <a:ext cx="5410200" cy="63354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35" sqref="A3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北京市北京市海淀区永丰产业基地Ⅱ-4-C地段出让国有建设用地使用权及在建建筑物房地产抵押价值预评估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康正预评字454号</v>
      </c>
    </row>
    <row r="6" spans="1:2" s="1593" customFormat="1" ht="15" thickTop="1">
      <c r="A6" s="1591" t="s">
        <v>1224</v>
      </c>
      <c r="B6" s="1592" t="str">
        <f>'预评函-1'!A4</f>
        <v>受贵公司委托，我公司对北京市北京市海淀区永丰产业基地Ⅱ-4-C地段出让国有建设用地使用权及在建建筑物房地产抵押价值进行了预评估。</v>
      </c>
    </row>
    <row r="7" spans="1:2" s="1596" customFormat="1">
      <c r="A7" s="1594" t="s">
        <v>1264</v>
      </c>
      <c r="B7" s="1595" t="str">
        <f>'预评函-1'!A7</f>
        <v>估价对象为北京市北京市海淀区永丰产业基地Ⅱ-4-C地段出让国有建设用地使用权及在建建筑物房地产，为所有。根据《国有土地使用证》[]，估价对象（分摊）出让国有建设用地使用权面积为12753.9平方米，建筑面积为32573.12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海淀区永丰产业基地Ⅱ-4-C地段出让国有建设用地使用权及在建建筑物房地产,属开发建设的，该项目尚在开发建设中。根据《国有土地使用证》[]，估价对象（分摊）出让国有建设用地使用权面积为12753.9平方米，规划建筑面积为32573.12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为估价委托人在向工商银行通州支行办理贷款手续过程中，确定房地产抵押贷款额度提供参考依据而评估房地产抵押价值。</v>
      </c>
    </row>
    <row r="12" spans="1:2" s="1596" customFormat="1">
      <c r="A12" s="1594" t="s">
        <v>1226</v>
      </c>
      <c r="B12" s="1595" t="str">
        <f>'预评函-1'!A15</f>
        <v>2018年6月25日（评估专业人员实地查勘之日）</v>
      </c>
    </row>
    <row r="13" spans="1:2" s="1596" customFormat="1">
      <c r="A13" s="1594" t="s">
        <v>1227</v>
      </c>
      <c r="B13" s="1595" t="str">
        <f>'预评函-1'!A18</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4" spans="1:2" s="1596" customFormat="1">
      <c r="A14" s="1594" t="s">
        <v>1228</v>
      </c>
      <c r="B14" s="1595" t="str">
        <f>'预评函-1'!A19</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20672</v>
      </c>
    </row>
    <row r="21" spans="1:2" s="1596" customFormat="1">
      <c r="A21" s="1594" t="s">
        <v>1235</v>
      </c>
      <c r="B21" s="1595">
        <f ca="1">'预评函-2'!D7</f>
        <v>6346</v>
      </c>
    </row>
    <row r="22" spans="1:2" s="1596" customFormat="1">
      <c r="A22" s="1594" t="s">
        <v>1236</v>
      </c>
      <c r="B22" s="1595" t="str">
        <f ca="1">'预评函-2'!D6</f>
        <v>贰亿零陆佰柒拾贰万元整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20672</v>
      </c>
    </row>
    <row r="31" spans="1:2" s="1596" customFormat="1">
      <c r="A31" s="1594" t="s">
        <v>1274</v>
      </c>
      <c r="B31" s="1595">
        <f ca="1">'预评函-2'!D15</f>
        <v>6346</v>
      </c>
    </row>
    <row r="32" spans="1:2" s="1596" customFormat="1">
      <c r="A32" s="1594" t="s">
        <v>1241</v>
      </c>
      <c r="B32" s="1595" t="str">
        <f ca="1">'预评函-2'!D14</f>
        <v>贰亿零陆佰柒拾贰万元整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北京市北京市海淀区永丰产业基地Ⅱ-4-C地段出让国有建设用地使用权及在建建筑物房地产</v>
      </c>
    </row>
    <row r="42" spans="1:2" s="1596" customFormat="1">
      <c r="A42" s="1594" t="s">
        <v>1288</v>
      </c>
      <c r="B42" s="1595" t="str">
        <f>'预评函-3'!B2</f>
        <v>建筑面积</v>
      </c>
    </row>
    <row r="43" spans="1:2" s="1596" customFormat="1">
      <c r="A43" s="1594" t="s">
        <v>1289</v>
      </c>
      <c r="B43" s="1595">
        <f>'预评函-3'!B4</f>
        <v>32573.120000000003</v>
      </c>
    </row>
    <row r="44" spans="1:2" s="1596" customFormat="1">
      <c r="A44" s="1594" t="s">
        <v>1273</v>
      </c>
      <c r="B44" s="1595" t="str">
        <f>'预评函-3'!C2</f>
        <v>(分摊)土地面积</v>
      </c>
    </row>
    <row r="45" spans="1:2" s="1596" customFormat="1">
      <c r="A45" s="1594" t="s">
        <v>1245</v>
      </c>
      <c r="B45" s="1595">
        <f>'预评函-3'!C4</f>
        <v>12753.9</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28" sqref="AC2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3085</v>
      </c>
      <c r="C17" s="2018"/>
    </row>
    <row r="18" spans="1:3">
      <c r="A18" s="2017" t="s">
        <v>1767</v>
      </c>
      <c r="B18" s="2017" t="s">
        <v>3130</v>
      </c>
      <c r="C18" s="2018"/>
    </row>
    <row r="19" spans="1:3">
      <c r="A19" s="2017" t="s">
        <v>1768</v>
      </c>
      <c r="B19" s="2017" t="s">
        <v>3131</v>
      </c>
      <c r="C19" s="2018"/>
    </row>
    <row r="20" spans="1:3">
      <c r="A20" s="2017" t="s">
        <v>1769</v>
      </c>
      <c r="B20" s="2017" t="s">
        <v>3132</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永丰产业基地Ⅱ-4-C地段出让国有建设用地使用权及在建建筑物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13"/>
      <c r="B54" s="2025" t="s">
        <v>864</v>
      </c>
      <c r="C54" s="2022" t="s">
        <v>1281</v>
      </c>
    </row>
    <row r="55" spans="1:4">
      <c r="A55" s="3013"/>
      <c r="B55" s="2025" t="s">
        <v>865</v>
      </c>
      <c r="C55" s="2022" t="s">
        <v>1282</v>
      </c>
    </row>
    <row r="56" spans="1:4">
      <c r="A56" s="3013"/>
      <c r="B56" s="2025" t="s">
        <v>866</v>
      </c>
      <c r="C56" s="2022" t="s">
        <v>1286</v>
      </c>
    </row>
    <row r="57" spans="1:4">
      <c r="A57" s="301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D38" sqref="D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22" t="str">
        <f>IF(B10="北京市","北京市",C10)&amp;F10&amp;IF(结果表!G1="在建","出让国有建设用地使用权及在建建筑物",IF(结果表!G1="土地","出让国有建设用地使用权",))&amp;B9&amp;"预评估"</f>
        <v>北京市北京市海淀区永丰产业基地Ⅱ-4-C地段出让国有建设用地使用权及在建建筑物房地产抵押价值预评估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北京市北京市海淀区永丰产业基地Ⅱ-4-C地段出让国有建设用地使用权及在建建筑物房地产抵押价值</v>
      </c>
    </row>
    <row r="2" spans="1:19" ht="18" customHeight="1">
      <c r="A2" s="2029" t="s">
        <v>1777</v>
      </c>
      <c r="B2" s="1042">
        <v>454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北京市北京市海淀区永丰产业基地Ⅱ-4-C地段出让国有建设用地使用权及在建建筑物房地产</v>
      </c>
    </row>
    <row r="3" spans="1:19" ht="18" customHeight="1">
      <c r="A3" s="2038" t="s">
        <v>1778</v>
      </c>
      <c r="B3" s="2039">
        <v>43276</v>
      </c>
      <c r="C3" s="2040" t="s">
        <v>1779</v>
      </c>
      <c r="D3" s="2039">
        <f>B3</f>
        <v>43276</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56" t="s">
        <v>3052</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3053</v>
      </c>
      <c r="C8" s="2058"/>
      <c r="D8" s="3025" t="s">
        <v>1785</v>
      </c>
      <c r="E8" s="2059" t="s">
        <v>3054</v>
      </c>
      <c r="F8" s="2060"/>
      <c r="G8" s="2029"/>
      <c r="H8" s="2029"/>
      <c r="I8" s="2029"/>
      <c r="J8" s="2045"/>
      <c r="K8" s="2046"/>
      <c r="L8" s="2031"/>
      <c r="M8" s="2031"/>
      <c r="N8" s="2032"/>
      <c r="O8" s="2033"/>
      <c r="P8" s="2032"/>
      <c r="Q8" s="2032"/>
      <c r="R8" s="2032"/>
    </row>
    <row r="9" spans="1:19" ht="18" customHeight="1" thickBot="1">
      <c r="A9" s="2043" t="s">
        <v>1786</v>
      </c>
      <c r="B9" s="2061" t="s">
        <v>3054</v>
      </c>
      <c r="C9" s="2062"/>
      <c r="D9" s="3026"/>
      <c r="E9" s="2061"/>
      <c r="F9" s="2063"/>
      <c r="G9" s="2064"/>
      <c r="H9" s="2064"/>
      <c r="I9" s="2064"/>
      <c r="J9" s="2045"/>
      <c r="K9" s="2056"/>
      <c r="L9" s="2031"/>
      <c r="M9" s="2031"/>
      <c r="N9" s="2032"/>
      <c r="O9" s="2033"/>
      <c r="P9" s="2032"/>
      <c r="Q9" s="2032"/>
      <c r="R9" s="2032"/>
    </row>
    <row r="10" spans="1:19" ht="18" customHeight="1" thickTop="1">
      <c r="A10" s="2065" t="s">
        <v>1787</v>
      </c>
      <c r="B10" s="2066" t="s">
        <v>3055</v>
      </c>
      <c r="C10" s="2067"/>
      <c r="D10" s="2050"/>
      <c r="E10" s="2068" t="s">
        <v>1788</v>
      </c>
      <c r="F10" s="2069" t="s">
        <v>3058</v>
      </c>
      <c r="G10" s="2070"/>
      <c r="H10" s="2071"/>
      <c r="I10" s="2050"/>
      <c r="J10" s="2045"/>
      <c r="K10" s="2056"/>
      <c r="L10" s="2031"/>
      <c r="M10" s="2031"/>
      <c r="N10" s="2032"/>
      <c r="O10" s="2033"/>
      <c r="P10" s="2032"/>
      <c r="Q10" s="2032"/>
      <c r="R10" s="2032"/>
    </row>
    <row r="11" spans="1:19" ht="18" customHeight="1">
      <c r="A11" s="2072" t="s">
        <v>1789</v>
      </c>
      <c r="B11" s="2073" t="s">
        <v>3056</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3057</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f>I13</f>
        <v>59924</v>
      </c>
      <c r="H13" s="2082">
        <f>I13</f>
        <v>59924</v>
      </c>
      <c r="I13" s="1050">
        <v>59924</v>
      </c>
      <c r="J13" s="2045"/>
      <c r="K13" s="2056"/>
      <c r="L13" s="2031"/>
      <c r="M13" s="2031"/>
      <c r="N13" s="2032"/>
      <c r="O13" s="2033"/>
      <c r="P13" s="2032"/>
      <c r="Q13" s="2032"/>
      <c r="R13" s="2032"/>
    </row>
    <row r="14" spans="1:19" ht="18" customHeight="1">
      <c r="A14" s="2079"/>
      <c r="B14" s="2080"/>
      <c r="C14" s="2081" t="s">
        <v>1799</v>
      </c>
      <c r="D14" s="1053"/>
      <c r="E14" s="1053"/>
      <c r="F14" s="1053"/>
      <c r="G14" s="1053">
        <v>50</v>
      </c>
      <c r="H14" s="1053">
        <v>50</v>
      </c>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f>IF(B12="出让",IF(G13="","",ROUNDDOWN(MIN((G13-$D$3)/365,G14),2)),G14)</f>
        <v>45.61</v>
      </c>
      <c r="H15" s="1052">
        <f>IF(B12="出让",IF(H13="","",ROUNDDOWN(MIN((H13-$D$3)/365,H14),2)),H14)</f>
        <v>45.61</v>
      </c>
      <c r="I15" s="1052">
        <f>IF(B12="出让",IF(I13="","",ROUNDDOWN(MIN((I13-$D$3)/365,I14),2)),I14)</f>
        <v>45.61</v>
      </c>
      <c r="J15" s="2045"/>
      <c r="K15" s="2085"/>
      <c r="L15" s="2086"/>
      <c r="M15" s="2086"/>
      <c r="N15" s="2087"/>
      <c r="O15" s="2086"/>
      <c r="P15" s="2087"/>
      <c r="Q15" s="2032"/>
      <c r="R15" s="2032"/>
    </row>
    <row r="16" spans="1:19" ht="30.75" customHeight="1">
      <c r="A16" s="2068" t="s">
        <v>1801</v>
      </c>
      <c r="B16" s="3032" t="s">
        <v>3060</v>
      </c>
      <c r="C16" s="3033"/>
      <c r="D16" s="3034"/>
      <c r="E16" s="2088" t="s">
        <v>1802</v>
      </c>
      <c r="F16" s="3035">
        <f>I15</f>
        <v>45.61</v>
      </c>
      <c r="G16" s="3036"/>
      <c r="H16" s="3036"/>
      <c r="I16" s="3037"/>
      <c r="J16" s="2032"/>
      <c r="K16" s="2085"/>
      <c r="L16" s="2086"/>
      <c r="M16" s="2086"/>
      <c r="N16" s="2087"/>
      <c r="O16" s="2086"/>
      <c r="P16" s="2087"/>
      <c r="Q16" s="2032"/>
      <c r="R16" s="2032"/>
    </row>
    <row r="17" spans="1:22" ht="18" customHeight="1">
      <c r="A17" s="2089" t="s">
        <v>1803</v>
      </c>
      <c r="B17" s="2038" t="s">
        <v>1804</v>
      </c>
      <c r="C17" s="1057">
        <f>'数据-汇总表'!E3</f>
        <v>32573.120000000003</v>
      </c>
      <c r="D17" s="2090" t="s">
        <v>1805</v>
      </c>
      <c r="E17" s="3038" t="s">
        <v>1806</v>
      </c>
      <c r="F17" s="3039"/>
      <c r="G17" s="3039"/>
      <c r="H17" s="3039"/>
      <c r="I17" s="3040"/>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12753.9</v>
      </c>
      <c r="D18" s="2093" t="s">
        <v>1805</v>
      </c>
      <c r="E18" s="3041" t="s">
        <v>1809</v>
      </c>
      <c r="F18" s="3042"/>
      <c r="G18" s="3042"/>
      <c r="H18" s="3042"/>
      <c r="I18" s="3043"/>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t="s">
        <v>3061</v>
      </c>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28" t="s">
        <v>1814</v>
      </c>
      <c r="C20" s="3029"/>
      <c r="D20" s="3030" t="s">
        <v>1815</v>
      </c>
      <c r="E20" s="3031"/>
      <c r="F20" s="2100" t="s">
        <v>1816</v>
      </c>
      <c r="G20" s="2045"/>
      <c r="H20" s="2045"/>
      <c r="I20" s="2045"/>
      <c r="J20" s="2045"/>
      <c r="K20" s="302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15" t="s">
        <v>1829</v>
      </c>
      <c r="B27" s="2065"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5"/>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5"/>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6"/>
      <c r="B30" s="2038" t="s">
        <v>1833</v>
      </c>
      <c r="C30" s="3017"/>
      <c r="D30" s="3018"/>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19" t="s">
        <v>1834</v>
      </c>
      <c r="B31" s="2129" t="s">
        <v>3062</v>
      </c>
      <c r="C31" s="2130" t="str">
        <f>IF(B31="现房","成新及维护状况正常否",IF(B31="在建","工程状态是否正常",IF(B31="土地","是否闲置","-")))</f>
        <v>工程状态是否正常</v>
      </c>
      <c r="D31" s="2131"/>
      <c r="E31" s="2957" t="s">
        <v>3064</v>
      </c>
      <c r="F31" s="2045"/>
      <c r="G31" s="2045"/>
      <c r="H31" s="2045"/>
      <c r="I31" s="2045"/>
      <c r="J31" s="2045"/>
      <c r="K31" s="2054"/>
      <c r="L31" s="2031"/>
      <c r="M31" s="2031"/>
      <c r="N31" s="2032"/>
      <c r="O31" s="2033"/>
      <c r="P31" s="2032"/>
      <c r="Q31" s="2032"/>
      <c r="R31" s="2032"/>
      <c r="S31" s="2032"/>
      <c r="T31" s="2032"/>
      <c r="U31" s="2032"/>
      <c r="V31" s="2032"/>
    </row>
    <row r="32" spans="1:22" ht="18" customHeight="1">
      <c r="A32" s="3020"/>
      <c r="B32" s="2129" t="s">
        <v>3062</v>
      </c>
      <c r="C32" s="2130" t="str">
        <f>IF(B32="现房","成新及维护状况是否正常",IF(B32="在建","工程状态是否正常",IF(B32="土地","是否闲置","-")))</f>
        <v>工程状态是否正常</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20"/>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t="s">
        <v>3065</v>
      </c>
      <c r="C34" s="2136" t="s">
        <v>3066</v>
      </c>
      <c r="D34" s="2136" t="s">
        <v>3067</v>
      </c>
      <c r="E34" s="2136" t="s">
        <v>3068</v>
      </c>
      <c r="F34" s="2136" t="s">
        <v>3069</v>
      </c>
      <c r="G34" s="2136"/>
      <c r="H34" s="2136"/>
      <c r="I34" s="2045"/>
      <c r="J34" s="2045"/>
      <c r="K34" s="1798">
        <f>COUNTIF(B34:H34,"——")</f>
        <v>0</v>
      </c>
      <c r="L34" s="2077" t="s">
        <v>1836</v>
      </c>
      <c r="M34" s="2077" t="s">
        <v>1837</v>
      </c>
      <c r="N34" s="2077" t="s">
        <v>1838</v>
      </c>
      <c r="O34" s="2077" t="s">
        <v>1839</v>
      </c>
      <c r="P34" s="2077" t="s">
        <v>1840</v>
      </c>
      <c r="Q34" s="2077" t="s">
        <v>1841</v>
      </c>
      <c r="R34" s="2077" t="s">
        <v>1842</v>
      </c>
      <c r="S34" s="3014" t="s">
        <v>1843</v>
      </c>
      <c r="T34" s="2137" t="str">
        <f>NUMBERSTRING(7-K34,1)&amp;"通"</f>
        <v>七通</v>
      </c>
      <c r="U34" s="2032"/>
      <c r="V34" s="2032"/>
    </row>
    <row r="35" spans="1:22" ht="18" customHeight="1">
      <c r="A35" s="2138"/>
      <c r="B35" s="3021" t="s">
        <v>1844</v>
      </c>
      <c r="C35" s="3021"/>
      <c r="D35" s="3021"/>
      <c r="E35" s="3021"/>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4"/>
      <c r="T35" s="48" t="str">
        <f>IF(T34="一通",L35,IF(T34="二通",M35,IF(T34="三通",N35,IF(T34="四通",O35,IF(T34="五通",P35,IF(T34="六通",Q35,R35))))))</f>
        <v>通路、通电、通讯、通上水、通下水、、</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t="s">
        <v>523</v>
      </c>
      <c r="C37" s="2143" t="s">
        <v>523</v>
      </c>
      <c r="D37" s="2143" t="s">
        <v>523</v>
      </c>
      <c r="E37" s="2143" t="s">
        <v>523</v>
      </c>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t="s">
        <v>3070</v>
      </c>
      <c r="C38" s="2145" t="s">
        <v>3070</v>
      </c>
      <c r="D38" s="2145" t="s">
        <v>3070</v>
      </c>
      <c r="E38" s="2145" t="s">
        <v>3070</v>
      </c>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2958" t="s">
        <v>3071</v>
      </c>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12753.9</v>
      </c>
      <c r="B3" s="14">
        <f>IF(C3="否",G5-AT5,G5)</f>
        <v>32573.120000000006</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34816.990000000005</v>
      </c>
      <c r="H5" s="16">
        <f t="shared" ref="H5:AT5" si="0">SUM(H13:H656)</f>
        <v>31301.47</v>
      </c>
      <c r="I5" s="16">
        <f t="shared" si="0"/>
        <v>16443.89</v>
      </c>
      <c r="J5" s="16">
        <f t="shared" si="0"/>
        <v>0</v>
      </c>
      <c r="K5" s="16">
        <f t="shared" si="0"/>
        <v>8588.09</v>
      </c>
      <c r="L5" s="16">
        <f t="shared" si="0"/>
        <v>0</v>
      </c>
      <c r="M5" s="16">
        <f t="shared" si="0"/>
        <v>6269.49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1271.6500000000001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1271.6500000000001</v>
      </c>
      <c r="AM5" s="16">
        <f t="shared" si="0"/>
        <v>0</v>
      </c>
      <c r="AN5" s="16">
        <f t="shared" si="0"/>
        <v>0</v>
      </c>
      <c r="AO5" s="16">
        <f t="shared" si="0"/>
        <v>0</v>
      </c>
      <c r="AP5" s="16">
        <f t="shared" si="0"/>
        <v>0</v>
      </c>
      <c r="AQ5" s="16">
        <f t="shared" si="0"/>
        <v>0</v>
      </c>
      <c r="AR5" s="16">
        <f t="shared" si="0"/>
        <v>0</v>
      </c>
      <c r="AS5" s="16">
        <f t="shared" si="0"/>
        <v>0</v>
      </c>
      <c r="AT5" s="16">
        <f t="shared" si="0"/>
        <v>2243.87</v>
      </c>
      <c r="AU5" s="1805"/>
      <c r="AV5" s="15" t="s">
        <v>1880</v>
      </c>
      <c r="AW5" s="1806"/>
      <c r="AX5" s="1806"/>
      <c r="AY5" s="17" t="s">
        <v>3</v>
      </c>
      <c r="AZ5" s="18">
        <f t="shared" ref="AZ5:BT5" si="1">SUM(AZ13:AZ656)</f>
        <v>32573.120000000003</v>
      </c>
      <c r="BA5" s="18">
        <f t="shared" si="1"/>
        <v>31301.47</v>
      </c>
      <c r="BB5" s="18">
        <f t="shared" si="1"/>
        <v>16443.89</v>
      </c>
      <c r="BC5" s="18">
        <f t="shared" si="1"/>
        <v>8588.09</v>
      </c>
      <c r="BD5" s="18">
        <f t="shared" si="1"/>
        <v>6269.49</v>
      </c>
      <c r="BE5" s="18">
        <f t="shared" si="1"/>
        <v>0</v>
      </c>
      <c r="BF5" s="18">
        <f t="shared" si="1"/>
        <v>0</v>
      </c>
      <c r="BG5" s="18">
        <f t="shared" si="1"/>
        <v>0</v>
      </c>
      <c r="BH5" s="18">
        <f t="shared" si="1"/>
        <v>0</v>
      </c>
      <c r="BI5" s="18">
        <f t="shared" si="1"/>
        <v>0</v>
      </c>
      <c r="BJ5" s="18">
        <f t="shared" si="1"/>
        <v>0</v>
      </c>
      <c r="BK5" s="18">
        <f t="shared" si="1"/>
        <v>0</v>
      </c>
      <c r="BL5" s="18">
        <f t="shared" si="1"/>
        <v>1271.6500000000001</v>
      </c>
      <c r="BM5" s="18">
        <f t="shared" si="1"/>
        <v>0</v>
      </c>
      <c r="BN5" s="18">
        <f t="shared" si="1"/>
        <v>0</v>
      </c>
      <c r="BO5" s="18">
        <f t="shared" si="1"/>
        <v>0</v>
      </c>
      <c r="BP5" s="18">
        <f t="shared" si="1"/>
        <v>0</v>
      </c>
      <c r="BQ5" s="18">
        <f t="shared" si="1"/>
        <v>1271.6500000000001</v>
      </c>
      <c r="BR5" s="18">
        <f t="shared" si="1"/>
        <v>0</v>
      </c>
      <c r="BS5" s="18">
        <f t="shared" si="1"/>
        <v>0</v>
      </c>
      <c r="BT5" s="19">
        <f t="shared" si="1"/>
        <v>0</v>
      </c>
    </row>
    <row r="6" spans="1:72" s="2180" customFormat="1" ht="12.75">
      <c r="A6" s="15" t="s">
        <v>1881</v>
      </c>
      <c r="B6" s="2177"/>
      <c r="C6" s="2177"/>
      <c r="D6" s="2178"/>
      <c r="E6" s="16">
        <f>H6+AC6+AT6</f>
        <v>12753.900000000001</v>
      </c>
      <c r="F6" s="16" t="s">
        <v>1</v>
      </c>
      <c r="G6" s="16" t="s">
        <v>2</v>
      </c>
      <c r="H6" s="20">
        <f>SUMIF(I$12:AB$12,"总值",I6:AB6)</f>
        <v>12255.990000000002</v>
      </c>
      <c r="I6" s="16">
        <f t="shared" ref="I6:AB6" si="2">ROUND($A$3*I5/$B$3,2)</f>
        <v>6438.55</v>
      </c>
      <c r="J6" s="16">
        <f t="shared" si="2"/>
        <v>0</v>
      </c>
      <c r="K6" s="16">
        <f t="shared" si="2"/>
        <v>3362.64</v>
      </c>
      <c r="L6" s="16">
        <f t="shared" si="2"/>
        <v>0</v>
      </c>
      <c r="M6" s="16">
        <f t="shared" si="2"/>
        <v>2454.8000000000002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497.91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497.91</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12753.9</v>
      </c>
      <c r="AZ6" s="16" t="s">
        <v>3</v>
      </c>
      <c r="BA6" s="16">
        <f>ROUND($AY$6*BA5/$AZ$5,2)</f>
        <v>12255.99</v>
      </c>
      <c r="BB6" s="16">
        <f>ROUND($AY$6*BB5/$AZ$5,2)</f>
        <v>6438.55</v>
      </c>
      <c r="BC6" s="16">
        <f t="shared" ref="BC6:BH6" si="4">ROUND($AY$6*BC5/$AZ$5,2)</f>
        <v>3362.64</v>
      </c>
      <c r="BD6" s="16">
        <f t="shared" si="4"/>
        <v>2454.8000000000002</v>
      </c>
      <c r="BE6" s="16">
        <f t="shared" si="4"/>
        <v>0</v>
      </c>
      <c r="BF6" s="16">
        <f t="shared" si="4"/>
        <v>0</v>
      </c>
      <c r="BG6" s="16">
        <f t="shared" si="4"/>
        <v>0</v>
      </c>
      <c r="BH6" s="16">
        <f t="shared" si="4"/>
        <v>0</v>
      </c>
      <c r="BI6" s="16">
        <f t="shared" ref="BI6:BT6" si="5">ROUND($AY$6*BI5/$AZ$5,2)</f>
        <v>0</v>
      </c>
      <c r="BJ6" s="16">
        <f t="shared" si="5"/>
        <v>0</v>
      </c>
      <c r="BK6" s="16">
        <f t="shared" si="5"/>
        <v>0</v>
      </c>
      <c r="BL6" s="16">
        <f t="shared" si="5"/>
        <v>497.91</v>
      </c>
      <c r="BM6" s="16">
        <f t="shared" si="5"/>
        <v>0</v>
      </c>
      <c r="BN6" s="16">
        <f t="shared" si="5"/>
        <v>0</v>
      </c>
      <c r="BO6" s="16">
        <f t="shared" si="5"/>
        <v>0</v>
      </c>
      <c r="BP6" s="16">
        <f t="shared" si="5"/>
        <v>0</v>
      </c>
      <c r="BQ6" s="16">
        <f t="shared" si="5"/>
        <v>497.91</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3075</v>
      </c>
      <c r="J9" s="984"/>
      <c r="K9" s="2194" t="s">
        <v>3076</v>
      </c>
      <c r="L9" s="984"/>
      <c r="M9" s="2194" t="s">
        <v>3076</v>
      </c>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t="s">
        <v>3078</v>
      </c>
      <c r="L10" s="984"/>
      <c r="M10" s="2200" t="s">
        <v>3079</v>
      </c>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地下</v>
      </c>
      <c r="BD10" s="29" t="str">
        <f>M9</f>
        <v>地下</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3077</v>
      </c>
      <c r="J11" s="2206"/>
      <c r="K11" s="2205" t="s">
        <v>3078</v>
      </c>
      <c r="L11" s="2206"/>
      <c r="M11" s="2205" t="s">
        <v>3078</v>
      </c>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t="str">
        <f>K10</f>
        <v>车库</v>
      </c>
      <c r="BD11" s="2190" t="str">
        <f>M10</f>
        <v>仓储</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办公楼</v>
      </c>
      <c r="BC12" s="2215" t="str">
        <f>K11</f>
        <v>车库</v>
      </c>
      <c r="BD12" s="2215" t="str">
        <f>M11</f>
        <v>车库</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38.25">
      <c r="A13" s="2958" t="s">
        <v>3072</v>
      </c>
      <c r="B13" s="1275" t="s">
        <v>3073</v>
      </c>
      <c r="C13" s="2958" t="s">
        <v>3074</v>
      </c>
      <c r="D13" s="2216" t="s">
        <v>3061</v>
      </c>
      <c r="E13" s="16">
        <f>IF($C$3="是",ROUND($A$3*G13/$B$3,2),ROUND($A$3*(G13-AT13)/$B$3,2))</f>
        <v>12753.9</v>
      </c>
      <c r="F13" s="32"/>
      <c r="G13" s="33">
        <f>H13+AC13+AT13</f>
        <v>34816.990000000005</v>
      </c>
      <c r="H13" s="20">
        <f>SUMIF(I$12:AB$12,"总值",I13:AB13)</f>
        <v>31301.47</v>
      </c>
      <c r="I13" s="2217">
        <v>16443.89</v>
      </c>
      <c r="J13" s="2217"/>
      <c r="K13" s="2217">
        <v>8588.09</v>
      </c>
      <c r="L13" s="2217"/>
      <c r="M13" s="2217">
        <v>6269.49</v>
      </c>
      <c r="N13" s="2217"/>
      <c r="O13" s="2217"/>
      <c r="P13" s="2217"/>
      <c r="Q13" s="2217"/>
      <c r="R13" s="2217"/>
      <c r="S13" s="2217"/>
      <c r="T13" s="2217"/>
      <c r="U13" s="2217"/>
      <c r="V13" s="2217"/>
      <c r="W13" s="2217"/>
      <c r="X13" s="2217"/>
      <c r="Y13" s="2217"/>
      <c r="Z13" s="2217"/>
      <c r="AA13" s="2217"/>
      <c r="AB13" s="2217"/>
      <c r="AC13" s="16">
        <f>SUMIF(AD$12:AS$12,"总值",AD13:AS13)</f>
        <v>1271.6500000000001</v>
      </c>
      <c r="AD13" s="2218"/>
      <c r="AE13" s="2218"/>
      <c r="AF13" s="2218"/>
      <c r="AG13" s="2218"/>
      <c r="AH13" s="2218"/>
      <c r="AI13" s="2218"/>
      <c r="AJ13" s="2218"/>
      <c r="AK13" s="2218"/>
      <c r="AL13" s="2218">
        <v>1271.6500000000001</v>
      </c>
      <c r="AM13" s="2218"/>
      <c r="AN13" s="2218"/>
      <c r="AO13" s="2218"/>
      <c r="AP13" s="2218"/>
      <c r="AQ13" s="2218"/>
      <c r="AR13" s="2218"/>
      <c r="AS13" s="2218"/>
      <c r="AT13" s="2219">
        <v>2243.87</v>
      </c>
      <c r="AU13" s="2220"/>
      <c r="AV13" s="11" t="str">
        <f t="shared" ref="AV13:AX17" si="6">A13</f>
        <v>京海国用（2014出）第00157号</v>
      </c>
      <c r="AW13" s="11" t="str">
        <f t="shared" si="6"/>
        <v>2016规（海）建字0044号</v>
      </c>
      <c r="AX13" s="11" t="str">
        <f t="shared" si="6"/>
        <v>科研楼</v>
      </c>
      <c r="AY13" s="1809">
        <f>ROUND($AY$6*AZ13/$AZ$5,2)</f>
        <v>12753.9</v>
      </c>
      <c r="AZ13" s="16">
        <f>BA13+BL13</f>
        <v>32573.120000000003</v>
      </c>
      <c r="BA13" s="16">
        <f>SUM(BB13:BK13)</f>
        <v>31301.47</v>
      </c>
      <c r="BB13" s="16">
        <f>IF($D13="是",I13-J13,0)</f>
        <v>16443.89</v>
      </c>
      <c r="BC13" s="16">
        <f>IF($D13="是",K13-L13,0)</f>
        <v>8588.09</v>
      </c>
      <c r="BD13" s="16">
        <f>IF($D13="是",M13-N13,0)</f>
        <v>6269.49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1271.6500000000001</v>
      </c>
      <c r="BM13" s="16">
        <f>IF($D13="是",AD13-AE13,0)</f>
        <v>0</v>
      </c>
      <c r="BN13" s="16">
        <f>IF($D13="是",AF13-AG13,0)</f>
        <v>0</v>
      </c>
      <c r="BO13" s="16">
        <f>IF($D13="是",AH13-AI13,0)</f>
        <v>0</v>
      </c>
      <c r="BP13" s="16">
        <f>IF($D13="是",AJ13-AK13,0)</f>
        <v>0</v>
      </c>
      <c r="BQ13" s="16">
        <f>IF($D13="是",AL13-AM13,0)</f>
        <v>1271.6500000000001</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55" t="s">
        <v>1940</v>
      </c>
      <c r="B2" s="3055"/>
      <c r="C2" s="3055"/>
      <c r="D2" s="970" t="s">
        <v>1916</v>
      </c>
      <c r="E2" s="2230" t="s">
        <v>1917</v>
      </c>
      <c r="F2" s="1395"/>
      <c r="G2" s="2231"/>
      <c r="H2" s="2232"/>
      <c r="I2" s="2233" t="s">
        <v>1941</v>
      </c>
      <c r="J2" s="1395"/>
      <c r="K2" s="1395"/>
      <c r="L2" s="1395"/>
      <c r="M2" s="1395"/>
      <c r="N2" s="1430"/>
      <c r="O2" s="1395"/>
      <c r="P2" s="1395"/>
    </row>
    <row r="3" spans="1:16" ht="15.75" thickBot="1">
      <c r="A3" s="3056" t="s">
        <v>1914</v>
      </c>
      <c r="B3" s="3056"/>
      <c r="C3" s="3056"/>
      <c r="D3" s="46">
        <f>'数据-基础表'!AY6</f>
        <v>12753.9</v>
      </c>
      <c r="E3" s="46">
        <f>'数据-基础表'!AZ5</f>
        <v>32573.120000000003</v>
      </c>
      <c r="F3" s="1395"/>
      <c r="G3" s="1402"/>
      <c r="H3" s="1250" t="s">
        <v>1915</v>
      </c>
      <c r="I3" s="55">
        <f>ROUND('数据-基础表'!B3/'数据-基础表'!A3,2)</f>
        <v>2.5499999999999998</v>
      </c>
      <c r="J3" s="1395"/>
      <c r="K3" s="1395"/>
      <c r="L3" s="1395"/>
      <c r="M3" s="1395"/>
      <c r="N3" s="1430"/>
      <c r="O3" s="1395"/>
      <c r="P3" s="1395"/>
    </row>
    <row r="4" spans="1:16" ht="15">
      <c r="A4" s="3057"/>
      <c r="B4" s="3058"/>
      <c r="C4" s="3059"/>
      <c r="D4" s="2234" t="s">
        <v>1916</v>
      </c>
      <c r="E4" s="2235" t="s">
        <v>1917</v>
      </c>
      <c r="F4" s="1395"/>
      <c r="G4" s="2236" t="s">
        <v>1942</v>
      </c>
      <c r="H4" s="1250" t="s">
        <v>1922</v>
      </c>
      <c r="I4" s="55">
        <f>ROUND(SUMIF('数据-基础表'!I9:AS9,"地上",'数据-基础表'!I5:AS5)/'数据-基础表'!A3,2)</f>
        <v>1.39</v>
      </c>
      <c r="J4" s="1395"/>
      <c r="K4" s="1395"/>
      <c r="L4" s="1395"/>
      <c r="M4" s="1395"/>
      <c r="N4" s="1430"/>
      <c r="O4" s="1395"/>
      <c r="P4" s="1395"/>
    </row>
    <row r="5" spans="1:16">
      <c r="A5" s="47" t="s">
        <v>1918</v>
      </c>
      <c r="B5" s="3060" t="s">
        <v>1919</v>
      </c>
      <c r="C5" s="3060"/>
      <c r="D5" s="48">
        <f>ROUND($D$3*E5/$E$3,2)</f>
        <v>0</v>
      </c>
      <c r="E5" s="49">
        <f>SUMIF('数据-基础表'!$11:$11,"住宅",'数据-基础表'!$5:$5)</f>
        <v>0</v>
      </c>
      <c r="F5" s="1395"/>
      <c r="G5" s="1402"/>
      <c r="H5" s="1250" t="s">
        <v>1915</v>
      </c>
      <c r="I5" s="55">
        <f>ROUND(E31/D31,2)</f>
        <v>2.5499999999999998</v>
      </c>
      <c r="J5" s="1395"/>
      <c r="K5" s="1395"/>
      <c r="L5" s="1395"/>
      <c r="M5" s="1395"/>
      <c r="N5" s="1395"/>
      <c r="O5" s="1395"/>
      <c r="P5" s="1395"/>
    </row>
    <row r="6" spans="1:16" ht="15" thickBot="1">
      <c r="A6" s="2237"/>
      <c r="B6" s="3060" t="s">
        <v>1920</v>
      </c>
      <c r="C6" s="3060"/>
      <c r="D6" s="48">
        <f>ROUND($D$3*E6/$E$3,2)</f>
        <v>12753.9</v>
      </c>
      <c r="E6" s="49">
        <f>E3-E5</f>
        <v>32573.120000000003</v>
      </c>
      <c r="F6" s="1395"/>
      <c r="G6" s="2238" t="s">
        <v>1921</v>
      </c>
      <c r="H6" s="1402" t="s">
        <v>1922</v>
      </c>
      <c r="I6" s="942">
        <f>ROUND(F31/D31,2)</f>
        <v>1.39</v>
      </c>
      <c r="J6" s="1395"/>
      <c r="K6" s="1395"/>
      <c r="L6" s="1395"/>
      <c r="M6" s="1395"/>
      <c r="N6" s="1395"/>
      <c r="O6" s="1395"/>
      <c r="P6" s="1395"/>
    </row>
    <row r="7" spans="1:16" ht="15">
      <c r="A7" s="3052"/>
      <c r="B7" s="3053"/>
      <c r="C7" s="3054"/>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6438.55</v>
      </c>
      <c r="E8" s="51">
        <f>SUMIF('数据-基础表'!BB10:BK10,"地上",'数据-基础表'!BB5:BK5)</f>
        <v>16443.89</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2454.8000000000002</v>
      </c>
      <c r="E12" s="51">
        <f>SUMPRODUCT(('数据-基础表'!BB10:BK10="地下")*('数据-基础表'!BB11:BK11="仓储")*('数据-基础表'!BB5:BK5))</f>
        <v>6269.49</v>
      </c>
      <c r="F12" s="1395"/>
      <c r="G12" s="2240"/>
      <c r="H12" s="2240"/>
      <c r="I12" s="1395"/>
      <c r="J12" s="1395"/>
      <c r="K12" s="1395"/>
      <c r="L12" s="1395"/>
      <c r="M12" s="1395"/>
      <c r="N12" s="1395"/>
      <c r="O12" s="1395"/>
      <c r="P12" s="1395"/>
    </row>
    <row r="13" spans="1:16">
      <c r="A13" s="2241"/>
      <c r="B13" s="2242"/>
      <c r="C13" s="48" t="s">
        <v>1931</v>
      </c>
      <c r="D13" s="48">
        <f t="shared" si="0"/>
        <v>3362.64</v>
      </c>
      <c r="E13" s="51">
        <f>SUMPRODUCT(('数据-基础表'!BB10:BK10="地下")*('数据-基础表'!BB11:BK11="车库")*('数据-基础表'!BB5:BK5))</f>
        <v>8588.09</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12255.99</v>
      </c>
      <c r="E16" s="53">
        <f>SUM(E8:E15)</f>
        <v>31301.469999999998</v>
      </c>
      <c r="F16" s="1395"/>
      <c r="G16" s="2240"/>
      <c r="H16" s="2243" t="s">
        <v>1944</v>
      </c>
      <c r="I16" s="2244"/>
      <c r="J16" s="1395"/>
      <c r="K16" s="3049" t="s">
        <v>1944</v>
      </c>
      <c r="L16" s="3050"/>
      <c r="M16" s="3050"/>
      <c r="N16" s="3050"/>
      <c r="O16" s="3050"/>
      <c r="P16" s="3051"/>
    </row>
    <row r="17" spans="1:19" ht="15">
      <c r="A17" s="2245" t="s">
        <v>1945</v>
      </c>
      <c r="B17" s="2246" t="s">
        <v>1946</v>
      </c>
      <c r="C17" s="2247" t="s">
        <v>1947</v>
      </c>
      <c r="D17" s="2248" t="s">
        <v>1935</v>
      </c>
      <c r="E17" s="2249" t="s">
        <v>1936</v>
      </c>
      <c r="F17" s="2250"/>
      <c r="G17" s="2251"/>
      <c r="H17" s="2252" t="s">
        <v>1948</v>
      </c>
      <c r="I17" s="2253" t="s">
        <v>1933</v>
      </c>
      <c r="J17" s="1395"/>
      <c r="K17" s="3046" t="s">
        <v>1949</v>
      </c>
      <c r="L17" s="3047"/>
      <c r="M17" s="3048"/>
      <c r="N17" s="3046" t="s">
        <v>1950</v>
      </c>
      <c r="O17" s="3047"/>
      <c r="P17" s="3048"/>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9" t="s">
        <v>3081</v>
      </c>
      <c r="D19" s="48">
        <f>ROUND($D$3*E19/$E$3,2)</f>
        <v>6438.55</v>
      </c>
      <c r="E19" s="56">
        <f t="shared" ref="E19:E26" si="1">SUM(F19:G19)</f>
        <v>16443.89</v>
      </c>
      <c r="F19" s="57">
        <f>'数据-基础表'!I13</f>
        <v>16443.89</v>
      </c>
      <c r="G19" s="58"/>
      <c r="H19" s="723">
        <f>ROUND($D$3*I19/$E$3,2)</f>
        <v>261.57</v>
      </c>
      <c r="I19" s="51">
        <f t="shared" ref="I19:I26" si="2">IF($I$17="自定义",P19,M19)</f>
        <v>668.05</v>
      </c>
      <c r="J19" s="1395"/>
      <c r="K19" s="1394">
        <f t="shared" ref="K19:K26" si="3">ROUND(E$28*E19/E$27,2)</f>
        <v>668.05</v>
      </c>
      <c r="L19" s="1250">
        <f t="shared" ref="L19:L26" si="4">ROUND(IF(COUNTIF(C19,"*住宅*")&gt;0,E$29*E19/E$32,0),2)</f>
        <v>0</v>
      </c>
      <c r="M19" s="1406">
        <f>K19+L19</f>
        <v>668.05</v>
      </c>
      <c r="N19" s="2263"/>
      <c r="O19" s="2264"/>
      <c r="P19" s="1406">
        <f>N19+O19</f>
        <v>0</v>
      </c>
      <c r="R19" s="1250">
        <f t="shared" ref="R19:S26" si="5">D19+H19</f>
        <v>6700.12</v>
      </c>
      <c r="S19" s="1251">
        <f t="shared" si="5"/>
        <v>17111.939999999999</v>
      </c>
    </row>
    <row r="20" spans="1:19">
      <c r="A20" s="2265"/>
      <c r="B20" s="50" t="s">
        <v>1962</v>
      </c>
      <c r="C20" s="2959" t="s">
        <v>3082</v>
      </c>
      <c r="D20" s="48">
        <f t="shared" ref="D20:D26" si="6">ROUND($D$3*E20/$E$3,2)</f>
        <v>3362.64</v>
      </c>
      <c r="E20" s="56">
        <f t="shared" si="1"/>
        <v>8588.09</v>
      </c>
      <c r="F20" s="57"/>
      <c r="G20" s="58">
        <f>'数据-基础表'!K13</f>
        <v>8588.09</v>
      </c>
      <c r="H20" s="723">
        <f t="shared" ref="H20:H26" si="7">ROUND($D$3*I20/$E$3,2)</f>
        <v>136.61000000000001</v>
      </c>
      <c r="I20" s="51">
        <f t="shared" si="2"/>
        <v>348.9</v>
      </c>
      <c r="J20" s="1395"/>
      <c r="K20" s="1394">
        <f t="shared" si="3"/>
        <v>348.9</v>
      </c>
      <c r="L20" s="1250">
        <f t="shared" si="4"/>
        <v>0</v>
      </c>
      <c r="M20" s="1406">
        <f t="shared" ref="M20:M26" si="8">K20+L20</f>
        <v>348.9</v>
      </c>
      <c r="N20" s="2263"/>
      <c r="O20" s="2264"/>
      <c r="P20" s="1406">
        <f t="shared" ref="P20:P26" si="9">N20+O20</f>
        <v>0</v>
      </c>
      <c r="R20" s="1250">
        <f t="shared" si="5"/>
        <v>3499.25</v>
      </c>
      <c r="S20" s="1251">
        <f t="shared" si="5"/>
        <v>8936.99</v>
      </c>
    </row>
    <row r="21" spans="1:19">
      <c r="A21" s="2265"/>
      <c r="B21" s="50" t="s">
        <v>1962</v>
      </c>
      <c r="C21" s="2959" t="s">
        <v>3084</v>
      </c>
      <c r="D21" s="48">
        <f t="shared" si="6"/>
        <v>2454.8000000000002</v>
      </c>
      <c r="E21" s="56">
        <f t="shared" si="1"/>
        <v>6269.49</v>
      </c>
      <c r="F21" s="57"/>
      <c r="G21" s="58">
        <f>'数据-基础表'!M13</f>
        <v>6269.49</v>
      </c>
      <c r="H21" s="723">
        <f t="shared" si="7"/>
        <v>99.73</v>
      </c>
      <c r="I21" s="51">
        <f t="shared" si="2"/>
        <v>254.7</v>
      </c>
      <c r="J21" s="1395"/>
      <c r="K21" s="1394">
        <f t="shared" si="3"/>
        <v>254.7</v>
      </c>
      <c r="L21" s="1250">
        <f t="shared" si="4"/>
        <v>0</v>
      </c>
      <c r="M21" s="1406">
        <f t="shared" si="8"/>
        <v>254.7</v>
      </c>
      <c r="N21" s="2263"/>
      <c r="O21" s="2264"/>
      <c r="P21" s="1406">
        <f t="shared" si="9"/>
        <v>0</v>
      </c>
      <c r="R21" s="1250">
        <f t="shared" si="5"/>
        <v>2554.5300000000002</v>
      </c>
      <c r="S21" s="1251">
        <f t="shared" si="5"/>
        <v>6524.19</v>
      </c>
    </row>
    <row r="22" spans="1:19">
      <c r="A22" s="2265"/>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1963</v>
      </c>
      <c r="D27" s="1396">
        <f>SUM(D19:D26)</f>
        <v>12255.990000000002</v>
      </c>
      <c r="E27" s="1397">
        <f>IF(SUM(E19:E26)='数据-基础表'!BA5,SUM(E19:E26),IF(F27="地上面积有误","面积有误","地下面积有误"))</f>
        <v>31301.47</v>
      </c>
      <c r="F27" s="1396">
        <f>IF(SUM(F19:F26)=E8,SUM(F19:F26),"地上面积有误")</f>
        <v>16443.89</v>
      </c>
      <c r="G27" s="1398">
        <f>SUM(G19:G26)</f>
        <v>14857.58</v>
      </c>
      <c r="H27" s="1399">
        <f>SUM(H19:H26)</f>
        <v>497.91</v>
      </c>
      <c r="I27" s="1400">
        <f>SUM(I19:I26)</f>
        <v>1271.6499999999999</v>
      </c>
      <c r="J27" s="1395"/>
      <c r="K27" s="1403">
        <f>SUM(K19:K26)</f>
        <v>1271.6499999999999</v>
      </c>
      <c r="L27" s="1404">
        <f>SUM(L19:L26)</f>
        <v>0</v>
      </c>
      <c r="M27" s="1407">
        <f>SUM(M19:M26)</f>
        <v>1271.6499999999999</v>
      </c>
      <c r="N27" s="1403">
        <f t="shared" ref="N27:O27" si="10">SUM(N19:N26)</f>
        <v>0</v>
      </c>
      <c r="O27" s="1404">
        <f t="shared" si="10"/>
        <v>0</v>
      </c>
      <c r="P27" s="1405">
        <f>SUM(P19:P26)</f>
        <v>0</v>
      </c>
      <c r="R27" s="1252">
        <f>IF(SUM(R19:R26)=$D$3,SUM(R19:R26),SUM(R19:R26)&amp;"误差"&amp;ROUND(SUM(R19:R26)-$D$3,2))</f>
        <v>12753.9</v>
      </c>
      <c r="S27" s="1250">
        <f>IF(SUM(S19:S26)=$E$3,SUM(S19:S26),SUM(S19:S26)&amp;"误差"&amp;ROUND(SUM(S19:S26)-E3,2))</f>
        <v>32573.119999999999</v>
      </c>
    </row>
    <row r="28" spans="1:19">
      <c r="A28" s="2265"/>
      <c r="B28" s="50" t="s">
        <v>1964</v>
      </c>
      <c r="C28" s="1262" t="s">
        <v>1965</v>
      </c>
      <c r="D28" s="48">
        <f>ROUND($D$3*E28/$E$3,2)</f>
        <v>497.91</v>
      </c>
      <c r="E28" s="56">
        <f>SUM(F28:G28)</f>
        <v>1271.6500000000001</v>
      </c>
      <c r="F28" s="64">
        <f>'数据-基础表'!BQ5+'数据-基础表'!BS5</f>
        <v>1271.6500000000001</v>
      </c>
      <c r="G28" s="65">
        <f>'数据-基础表'!BR5+'数据-基础表'!BT5</f>
        <v>0</v>
      </c>
      <c r="H28" s="1395"/>
      <c r="I28" s="1395"/>
      <c r="J28" s="1395"/>
      <c r="K28" s="1395"/>
      <c r="L28" s="1395"/>
      <c r="M28" s="1395"/>
      <c r="N28" s="1395"/>
      <c r="O28" s="1395"/>
      <c r="P28" s="1395"/>
    </row>
    <row r="29" spans="1:19">
      <c r="A29" s="2265"/>
      <c r="B29" s="50" t="s">
        <v>1964</v>
      </c>
      <c r="C29" s="2269"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1963</v>
      </c>
      <c r="D30" s="1396">
        <f>SUM(D28:D29)</f>
        <v>497.91</v>
      </c>
      <c r="E30" s="1396">
        <f>SUM(E28:E29)</f>
        <v>1271.6500000000001</v>
      </c>
      <c r="F30" s="1396">
        <f>SUM(F28:F29)</f>
        <v>1271.6500000000001</v>
      </c>
      <c r="G30" s="1398">
        <f>SUM(G28:G29)</f>
        <v>0</v>
      </c>
      <c r="H30" s="1395"/>
      <c r="I30" s="1395"/>
      <c r="J30" s="1395"/>
      <c r="K30" s="1395"/>
      <c r="L30" s="1395"/>
      <c r="M30" s="1395"/>
      <c r="N30" s="1395"/>
      <c r="O30" s="1395"/>
      <c r="P30" s="1395"/>
    </row>
    <row r="31" spans="1:19" ht="15.75" thickBot="1">
      <c r="A31" s="2271"/>
      <c r="B31" s="2272"/>
      <c r="C31" s="1010" t="s">
        <v>1967</v>
      </c>
      <c r="D31" s="729">
        <f>D27+D30</f>
        <v>12753.900000000001</v>
      </c>
      <c r="E31" s="729">
        <f>E27+E30</f>
        <v>32573.120000000003</v>
      </c>
      <c r="F31" s="730">
        <f>F27+F30</f>
        <v>17715.54</v>
      </c>
      <c r="G31" s="731">
        <f>G27+G30</f>
        <v>14857.58</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E7" sqref="AE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1970</v>
      </c>
      <c r="B2" s="1269">
        <f>项目基本情况!D3</f>
        <v>43276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1977</v>
      </c>
      <c r="B5" s="2292" t="s">
        <v>1978</v>
      </c>
      <c r="C5" s="2293" t="s">
        <v>1979</v>
      </c>
      <c r="D5" s="2294" t="s">
        <v>1980</v>
      </c>
      <c r="E5" s="1271" t="s">
        <v>1981</v>
      </c>
      <c r="F5" s="2295" t="s">
        <v>1982</v>
      </c>
      <c r="G5" s="1271" t="s">
        <v>1983</v>
      </c>
      <c r="H5" s="1271" t="s">
        <v>1984</v>
      </c>
      <c r="I5" s="1271" t="s">
        <v>1985</v>
      </c>
      <c r="J5" s="2296" t="s">
        <v>1986</v>
      </c>
      <c r="K5" s="2297" t="s">
        <v>1987</v>
      </c>
      <c r="L5" s="2298" t="s">
        <v>1988</v>
      </c>
      <c r="M5" s="2299" t="s">
        <v>1989</v>
      </c>
      <c r="N5" s="2300" t="s">
        <v>1990</v>
      </c>
      <c r="O5" s="2298" t="s">
        <v>1991</v>
      </c>
      <c r="P5" s="2301" t="s">
        <v>1992</v>
      </c>
      <c r="Q5" s="69" t="s">
        <v>1993</v>
      </c>
      <c r="R5" s="2302" t="s">
        <v>1994</v>
      </c>
      <c r="S5" s="2303" t="s">
        <v>1995</v>
      </c>
      <c r="T5" s="2304" t="s">
        <v>1996</v>
      </c>
      <c r="U5" s="1270" t="s">
        <v>1997</v>
      </c>
      <c r="V5" s="1271" t="s">
        <v>1998</v>
      </c>
      <c r="W5" s="1271" t="s">
        <v>1999</v>
      </c>
      <c r="X5" s="71"/>
      <c r="Y5" s="70" t="s">
        <v>2000</v>
      </c>
      <c r="Z5" s="2305" t="s">
        <v>1997</v>
      </c>
      <c r="AA5" s="1271" t="s">
        <v>1998</v>
      </c>
      <c r="AB5" s="1271" t="s">
        <v>1999</v>
      </c>
      <c r="AC5" s="71"/>
      <c r="AD5" s="71" t="s">
        <v>2000</v>
      </c>
      <c r="AE5" s="1270" t="s">
        <v>2001</v>
      </c>
      <c r="AF5" s="1271" t="s">
        <v>2002</v>
      </c>
      <c r="AG5" s="70" t="s">
        <v>2003</v>
      </c>
      <c r="AH5" s="1270" t="s">
        <v>2004</v>
      </c>
      <c r="AI5" s="2305" t="s">
        <v>2005</v>
      </c>
      <c r="AJ5" s="2305" t="s">
        <v>2006</v>
      </c>
      <c r="AK5" s="1271" t="s">
        <v>2007</v>
      </c>
      <c r="AL5" s="1271" t="s">
        <v>2008</v>
      </c>
      <c r="AM5" s="70" t="s">
        <v>2009</v>
      </c>
      <c r="AN5" s="2306" t="s">
        <v>2010</v>
      </c>
      <c r="AO5" s="2077" t="s">
        <v>2011</v>
      </c>
      <c r="AP5" s="1252" t="s">
        <v>2012</v>
      </c>
      <c r="AQ5" s="2307" t="s">
        <v>2013</v>
      </c>
      <c r="AR5" s="2307"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8" t="str">
        <f>'数据-汇总表'!C19</f>
        <v>地上办公</v>
      </c>
      <c r="B6" s="2309" t="str">
        <f>IF(A6=0,"","经营性")</f>
        <v>经营性</v>
      </c>
      <c r="C6" s="2310" t="s">
        <v>6</v>
      </c>
      <c r="D6" s="1054">
        <f>SUMIF(项目基本情况!D$12:I$12,C6,项目基本情况!D$14:I$14)</f>
        <v>50</v>
      </c>
      <c r="E6" s="1051">
        <f>IF(B6="","",SUMIF(项目基本情况!D$12:I$12,C6,项目基本情况!D$13:I$13))</f>
        <v>59924</v>
      </c>
      <c r="F6" s="72">
        <f>SUMIF(项目基本情况!D$12:I$12,C6,项目基本情况!D$15:I$15)</f>
        <v>45.61</v>
      </c>
      <c r="G6" s="73">
        <f>IF(ISERROR(ROUND(POWER(1+H6,D6-F6)*(POWER(1+H6,F6)-1)/(POWER(1+H6,D6)-1),3)),0,ROUND(POWER(1+H6,D6-F6)*(POWER(1+H6,F6)-1)/(POWER(1+H6,D6)-1),3))</f>
        <v>0.97299999999999998</v>
      </c>
      <c r="H6" s="802">
        <v>4.4999999999999998E-2</v>
      </c>
      <c r="I6" s="802">
        <v>0.05</v>
      </c>
      <c r="J6" s="74">
        <v>8.5000000000000006E-2</v>
      </c>
      <c r="K6" s="1254">
        <f>SUMIF('数据-汇总表'!C$19:C$33,A6,'数据-汇总表'!E$19:E$33)</f>
        <v>16443.89</v>
      </c>
      <c r="L6" s="803">
        <v>3000</v>
      </c>
      <c r="M6" s="75">
        <f t="shared" ref="M6:M14" si="0">ROUND(K6*L6/10000,0)</f>
        <v>4933</v>
      </c>
      <c r="N6" s="801">
        <v>0.55000000000000004</v>
      </c>
      <c r="O6" s="75">
        <f>IF($N$5="成新度","——",ROUND(M6*N6,0))</f>
        <v>2713</v>
      </c>
      <c r="P6" s="76">
        <f>IF($N$5="成新度","——",M6-O6)</f>
        <v>2220</v>
      </c>
      <c r="Q6" s="804">
        <v>0.15</v>
      </c>
      <c r="R6" s="77">
        <f ca="1">SUMIF('数据-汇总表'!C$19:C$33,A6,'数据-汇总表'!R$19:R$27)</f>
        <v>6700.12</v>
      </c>
      <c r="S6" s="54">
        <f>IF('数据-汇总表'!$I$17="按面积比例",SUMIF('数据-汇总表'!C$19:C$33,A6,'数据-汇总表'!K$19:K$33),SUMIF('数据-汇总表'!C$19:C$33,A6,'数据-汇总表'!N$19:N$33))</f>
        <v>668.05</v>
      </c>
      <c r="T6" s="1446">
        <f>ROUND($L$14*S6/10000,0)</f>
        <v>0</v>
      </c>
      <c r="U6" s="78">
        <f>'比较法（套用）'!C50</f>
        <v>3.4</v>
      </c>
      <c r="V6" s="79">
        <v>0.02</v>
      </c>
      <c r="W6" s="79">
        <v>0.15</v>
      </c>
      <c r="X6" s="1264"/>
      <c r="Y6" s="80">
        <v>1</v>
      </c>
      <c r="Z6" s="81"/>
      <c r="AA6" s="74"/>
      <c r="AB6" s="74"/>
      <c r="AC6" s="1264"/>
      <c r="AD6" s="82"/>
      <c r="AE6" s="1265">
        <f ca="1">IF(AN6="",0,SUMIF(INDIRECT("'"&amp;AN6&amp;"'"&amp;"!E:E"),$AE$5,INDIRECT("'"&amp;AN6&amp;"'"&amp;"!F:F")))</f>
        <v>45.01</v>
      </c>
      <c r="AF6" s="1807"/>
      <c r="AG6" s="147">
        <f>IF(AF6="",0,AE6-AF6)</f>
        <v>0</v>
      </c>
      <c r="AH6" s="83"/>
      <c r="AI6" s="85">
        <v>365</v>
      </c>
      <c r="AJ6" s="86"/>
      <c r="AK6" s="87">
        <v>0.02</v>
      </c>
      <c r="AL6" s="88">
        <v>2E-3</v>
      </c>
      <c r="AM6" s="89">
        <v>0.02</v>
      </c>
      <c r="AN6" s="2311" t="s">
        <v>3130</v>
      </c>
      <c r="AO6" s="55">
        <f ca="1">SUMIF(INDIRECT("'"&amp;AN6&amp;"'"&amp;"!A:A"),"总价",INDIRECT("'"&amp;AN6&amp;"'"&amp;"!B:B"))</f>
        <v>33728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地下车库</v>
      </c>
      <c r="B7" s="2309" t="str">
        <f t="shared" ref="B7:B13" si="1">IF(A7=0,"","经营性")</f>
        <v>经营性</v>
      </c>
      <c r="C7" s="2310" t="s">
        <v>6</v>
      </c>
      <c r="D7" s="1054">
        <f>SUMIF(项目基本情况!D$12:I$12,C7,项目基本情况!D$14:I$14)</f>
        <v>50</v>
      </c>
      <c r="E7" s="1051">
        <f>IF(B7="","",SUMIF(项目基本情况!D$12:I$12,C7,项目基本情况!D$13:I$13))</f>
        <v>59924</v>
      </c>
      <c r="F7" s="72">
        <f>SUMIF(项目基本情况!D$12:I$12,C7,项目基本情况!D$15:I$15)</f>
        <v>45.61</v>
      </c>
      <c r="G7" s="73">
        <f t="shared" ref="G7:G11" si="2">IF(ISERROR(ROUND(POWER(1+H7,D7-F7)*(POWER(1+H7,F7)-1)/(POWER(1+H7,D7)-1),3)),0,ROUND(POWER(1+H7,D7-F7)*(POWER(1+H7,F7)-1)/(POWER(1+H7,D7)-1),3))</f>
        <v>0.96899999999999997</v>
      </c>
      <c r="H7" s="802">
        <v>0.04</v>
      </c>
      <c r="I7" s="802">
        <v>4.4999999999999998E-2</v>
      </c>
      <c r="J7" s="74">
        <v>8.5000000000000006E-2</v>
      </c>
      <c r="K7" s="1254">
        <f>SUMIF('数据-汇总表'!C$19:C$33,A7,'数据-汇总表'!E$19:E$33)</f>
        <v>8588.09</v>
      </c>
      <c r="L7" s="803">
        <v>2500</v>
      </c>
      <c r="M7" s="75">
        <f t="shared" si="0"/>
        <v>2147</v>
      </c>
      <c r="N7" s="801">
        <v>0.55000000000000004</v>
      </c>
      <c r="O7" s="75">
        <f t="shared" ref="O7:O14" si="3">IF($N$5="成新度","——",ROUND(M7*N7,0))</f>
        <v>1181</v>
      </c>
      <c r="P7" s="76">
        <f t="shared" ref="P7:P14" si="4">IF($N$5="成新度","——",M7-O7)</f>
        <v>966</v>
      </c>
      <c r="Q7" s="804">
        <v>0.1</v>
      </c>
      <c r="R7" s="77">
        <f ca="1">SUMIF('数据-汇总表'!C$19:C$33,A7,'数据-汇总表'!R$19:R$27)</f>
        <v>3499.25</v>
      </c>
      <c r="S7" s="54">
        <f>IF('数据-汇总表'!$I$17="按面积比例",SUMIF('数据-汇总表'!C$19:C$33,A7,'数据-汇总表'!K$19:K$33),SUMIF('数据-汇总表'!C$19:C$33,A7,'数据-汇总表'!N$19:N$33))</f>
        <v>348.9</v>
      </c>
      <c r="T7" s="1446">
        <f t="shared" ref="T7:T13" si="5">ROUND($L$14*S7/10000,0)</f>
        <v>0</v>
      </c>
      <c r="U7" s="78">
        <v>1</v>
      </c>
      <c r="V7" s="79">
        <v>0.01</v>
      </c>
      <c r="W7" s="79">
        <v>0.15</v>
      </c>
      <c r="X7" s="1264"/>
      <c r="Y7" s="80">
        <v>1</v>
      </c>
      <c r="Z7" s="81"/>
      <c r="AA7" s="74"/>
      <c r="AB7" s="74"/>
      <c r="AC7" s="1264"/>
      <c r="AD7" s="82"/>
      <c r="AE7" s="1265">
        <f t="shared" ref="AE7:AE13" ca="1" si="6">IF(AN7="",0,SUMIF(INDIRECT("'"&amp;AN7&amp;"'"&amp;"!E:E"),$AE$5,INDIRECT("'"&amp;AN7&amp;"'"&amp;"!F:F")))</f>
        <v>45.01</v>
      </c>
      <c r="AF7" s="1807"/>
      <c r="AG7" s="147">
        <f t="shared" ref="AG7:AG13" si="7">IF(AF7="",0,AE7-AF7)</f>
        <v>0</v>
      </c>
      <c r="AH7" s="83"/>
      <c r="AI7" s="85">
        <v>365</v>
      </c>
      <c r="AJ7" s="86"/>
      <c r="AK7" s="87">
        <v>0.02</v>
      </c>
      <c r="AL7" s="88">
        <v>0.02</v>
      </c>
      <c r="AM7" s="89">
        <v>0.02</v>
      </c>
      <c r="AN7" s="2311" t="s">
        <v>3132</v>
      </c>
      <c r="AO7" s="55">
        <f t="shared" ref="AO7:AO13" ca="1" si="8">SUMIF(INDIRECT("'"&amp;AN7&amp;"'"&amp;"!A:A"),"总价",INDIRECT("'"&amp;AN7&amp;"'"&amp;"!B:B"))</f>
        <v>2198</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t="str">
        <f>'数据-汇总表'!C21</f>
        <v>地下仓储</v>
      </c>
      <c r="B8" s="2309" t="str">
        <f t="shared" si="1"/>
        <v>经营性</v>
      </c>
      <c r="C8" s="2310" t="s">
        <v>6</v>
      </c>
      <c r="D8" s="1054">
        <f>SUMIF(项目基本情况!D$12:I$12,C8,项目基本情况!D$14:I$14)</f>
        <v>50</v>
      </c>
      <c r="E8" s="1051">
        <f>IF(B8="","",SUMIF(项目基本情况!D$12:I$12,C8,项目基本情况!D$13:I$13))</f>
        <v>59924</v>
      </c>
      <c r="F8" s="72">
        <f>SUMIF(项目基本情况!D$12:I$12,C8,项目基本情况!D$15:I$15)</f>
        <v>45.61</v>
      </c>
      <c r="G8" s="73">
        <f t="shared" si="2"/>
        <v>0.96899999999999997</v>
      </c>
      <c r="H8" s="802">
        <v>0.04</v>
      </c>
      <c r="I8" s="802">
        <v>4.4999999999999998E-2</v>
      </c>
      <c r="J8" s="74">
        <v>8.5000000000000006E-2</v>
      </c>
      <c r="K8" s="1254">
        <f>SUMIF('数据-汇总表'!C$19:C$33,A8,'数据-汇总表'!E$19:E$33)</f>
        <v>6269.49</v>
      </c>
      <c r="L8" s="803">
        <v>2500</v>
      </c>
      <c r="M8" s="75">
        <f>ROUND(K8*L8/10000,0)</f>
        <v>1567</v>
      </c>
      <c r="N8" s="801">
        <v>0.55000000000000004</v>
      </c>
      <c r="O8" s="75">
        <f t="shared" si="3"/>
        <v>862</v>
      </c>
      <c r="P8" s="76">
        <f t="shared" si="4"/>
        <v>705</v>
      </c>
      <c r="Q8" s="804">
        <v>0.1</v>
      </c>
      <c r="R8" s="77">
        <f ca="1">SUMIF('数据-汇总表'!C$19:C$33,A8,'数据-汇总表'!R$19:R$27)</f>
        <v>2554.5300000000002</v>
      </c>
      <c r="S8" s="54">
        <f>IF('数据-汇总表'!$I$17="按面积比例",SUMIF('数据-汇总表'!C$19:C$33,A8,'数据-汇总表'!K$19:K$33),SUMIF('数据-汇总表'!C$19:C$33,A8,'数据-汇总表'!N$19:N$33))</f>
        <v>254.7</v>
      </c>
      <c r="T8" s="1446">
        <f t="shared" si="5"/>
        <v>0</v>
      </c>
      <c r="U8" s="805">
        <v>1</v>
      </c>
      <c r="V8" s="806">
        <v>0.01</v>
      </c>
      <c r="W8" s="806">
        <v>0.15</v>
      </c>
      <c r="X8" s="1264"/>
      <c r="Y8" s="807">
        <v>1</v>
      </c>
      <c r="Z8" s="81"/>
      <c r="AA8" s="74"/>
      <c r="AB8" s="74"/>
      <c r="AC8" s="1264"/>
      <c r="AD8" s="82"/>
      <c r="AE8" s="1265">
        <f t="shared" ca="1" si="6"/>
        <v>45.01</v>
      </c>
      <c r="AF8" s="1807"/>
      <c r="AG8" s="147">
        <f t="shared" si="7"/>
        <v>0</v>
      </c>
      <c r="AH8" s="808"/>
      <c r="AI8" s="85">
        <v>365</v>
      </c>
      <c r="AJ8" s="86"/>
      <c r="AK8" s="809">
        <v>0.02</v>
      </c>
      <c r="AL8" s="810">
        <v>2E-3</v>
      </c>
      <c r="AM8" s="811">
        <v>0.02</v>
      </c>
      <c r="AN8" s="2311" t="s">
        <v>3131</v>
      </c>
      <c r="AO8" s="55">
        <f t="shared" ca="1" si="8"/>
        <v>2528</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2015</v>
      </c>
      <c r="B14" s="2309" t="s">
        <v>2016</v>
      </c>
      <c r="C14" s="2314" t="s">
        <v>2015</v>
      </c>
      <c r="D14" s="1054"/>
      <c r="E14" s="1051"/>
      <c r="F14" s="72"/>
      <c r="G14" s="73"/>
      <c r="H14" s="1253"/>
      <c r="I14" s="1253"/>
      <c r="J14" s="1253"/>
      <c r="K14" s="1254">
        <f>SUMIF('数据-汇总表'!C$19:C$33,A14,'数据-汇总表'!E$19:E$33)</f>
        <v>1271.6500000000001</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2017</v>
      </c>
      <c r="B15" s="2309" t="s">
        <v>2016</v>
      </c>
      <c r="C15" s="2314"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2019</v>
      </c>
      <c r="B16" s="97"/>
      <c r="C16" s="1008"/>
      <c r="D16" s="2316"/>
      <c r="E16" s="97"/>
      <c r="F16" s="97"/>
      <c r="G16" s="98">
        <f>ROUND(SUMPRODUCT(G6:G13,K6:K13)/SUMPRODUCT((G6:G13&gt;0)*(K6:K13)),3)</f>
        <v>0.97099999999999997</v>
      </c>
      <c r="H16" s="99">
        <f>ROUND(SUMPRODUCT(H6:H13,K6:K13)/SUMPRODUCT((H6:H13&gt;0)*(K6:K13)),3)</f>
        <v>4.2999999999999997E-2</v>
      </c>
      <c r="I16" s="100"/>
      <c r="J16" s="100"/>
      <c r="K16" s="101">
        <f>SUM(K6:K15)</f>
        <v>32573.120000000003</v>
      </c>
      <c r="L16" s="102">
        <f>ROUND(M16*10000/SUM(K6:K14),0)</f>
        <v>2655</v>
      </c>
      <c r="M16" s="102">
        <f>SUM(M6:M14)</f>
        <v>8647</v>
      </c>
      <c r="N16" s="103">
        <f>ROUND(SUMPRODUCT(M6:M14,N6:N14)/M16,3)</f>
        <v>0.55000000000000004</v>
      </c>
      <c r="O16" s="102">
        <f>SUM(O6:O14)</f>
        <v>4756</v>
      </c>
      <c r="P16" s="102">
        <f>SUM(P6:P14)</f>
        <v>3891</v>
      </c>
      <c r="Q16" s="104">
        <f>ROUND(SUMPRODUCT(Q6:Q13,K6:K13)/SUMPRODUCT((Q6:Q13&gt;0)*(K6:K13)),2)</f>
        <v>0.13</v>
      </c>
      <c r="R16" s="1258">
        <f ca="1">SUM(R6:R13)</f>
        <v>12753.9</v>
      </c>
      <c r="S16" s="105">
        <f>SUM(S6:S13)</f>
        <v>1271.6499999999999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2021</v>
      </c>
      <c r="B19" s="112">
        <v>0</v>
      </c>
      <c r="C19" s="2279" t="s">
        <v>2022</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2023</v>
      </c>
      <c r="B20" s="113">
        <v>2</v>
      </c>
      <c r="C20" s="2279" t="s">
        <v>2024</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2025</v>
      </c>
      <c r="B21" s="113">
        <v>1.4</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2026</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2027</v>
      </c>
      <c r="B23" s="114">
        <f>B19+B21</f>
        <v>1.4</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2028</v>
      </c>
      <c r="B24" s="115">
        <f>B20-B21</f>
        <v>0.60000000000000009</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2029</v>
      </c>
      <c r="B26" s="2322" t="s">
        <v>2030</v>
      </c>
      <c r="C26" s="2323" t="s">
        <v>2031</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2032</v>
      </c>
      <c r="B27" s="116">
        <v>0</v>
      </c>
      <c r="C27" s="1767" t="s">
        <v>2033</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2034</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2035</v>
      </c>
      <c r="B29" s="121" t="str">
        <f>成本法!C19</f>
        <v>0</v>
      </c>
      <c r="C29" s="1767" t="s">
        <v>2036</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2037</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2038</v>
      </c>
      <c r="B31" s="120">
        <f>B30-B32</f>
        <v>170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2039</v>
      </c>
      <c r="B32" s="725">
        <v>30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2040</v>
      </c>
      <c r="B33" s="726">
        <v>0.03</v>
      </c>
      <c r="C33" s="1766" t="s">
        <v>2041</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2042</v>
      </c>
      <c r="B34" s="122">
        <v>0</v>
      </c>
      <c r="C34" s="1766" t="s">
        <v>2043</v>
      </c>
      <c r="D34" s="2280" t="s">
        <v>2044</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2045</v>
      </c>
      <c r="B35" s="119">
        <v>200</v>
      </c>
      <c r="C35" s="1766" t="s">
        <v>2046</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2047</v>
      </c>
      <c r="B36" s="123">
        <v>1.4999999999999999E-2</v>
      </c>
      <c r="C36" s="1766" t="s">
        <v>2048</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2049</v>
      </c>
      <c r="B37" s="124">
        <v>0.02</v>
      </c>
      <c r="C37" s="1766" t="s">
        <v>2050</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2051</v>
      </c>
      <c r="B38" s="122">
        <v>0.02</v>
      </c>
      <c r="C38" s="1766" t="s">
        <v>2050</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2052</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2053</v>
      </c>
      <c r="B40" s="1303">
        <f ca="1">存贷款利率!G1</f>
        <v>4.7500000000000001E-2</v>
      </c>
      <c r="C40" s="1766" t="s">
        <v>2054</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2055</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2056</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2057</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2058</v>
      </c>
      <c r="B44" s="128">
        <v>7.0000000000000007E-2</v>
      </c>
      <c r="C44" s="1766" t="s">
        <v>2059</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2060</v>
      </c>
      <c r="B45" s="126">
        <v>0.03</v>
      </c>
      <c r="C45" s="1767" t="s">
        <v>2061</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2062</v>
      </c>
      <c r="B46" s="126">
        <v>0.02</v>
      </c>
      <c r="C46" s="1767" t="s">
        <v>2063</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2064</v>
      </c>
      <c r="B47" s="129">
        <v>0</v>
      </c>
      <c r="C47" s="1767" t="s">
        <v>2065</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2066</v>
      </c>
      <c r="B48" s="130">
        <v>0.03</v>
      </c>
      <c r="C48" s="1774" t="s">
        <v>2067</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2068</v>
      </c>
      <c r="B49" s="126">
        <v>5.0000000000000001E-4</v>
      </c>
      <c r="C49" s="1774" t="s">
        <v>2069</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2070</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2071</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2072</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2073</v>
      </c>
      <c r="B53" s="2338" t="s">
        <v>523</v>
      </c>
      <c r="C53" s="1430" t="s">
        <v>2074</v>
      </c>
      <c r="D53" s="2339" t="s">
        <v>2075</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2076</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2077</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2078</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2079</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2080</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2081</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2082</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2083</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2084</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2085</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61" t="s">
        <v>2086</v>
      </c>
      <c r="B1" s="3062"/>
      <c r="C1" s="3062"/>
      <c r="D1" s="3062"/>
      <c r="E1" s="3062"/>
      <c r="F1" s="3062"/>
      <c r="G1" s="3062"/>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2087</v>
      </c>
      <c r="D2" s="2368"/>
      <c r="E2" s="2369"/>
      <c r="F2" s="2288"/>
      <c r="G2" s="2367" t="s">
        <v>2088</v>
      </c>
      <c r="H2" s="2370"/>
      <c r="I2" s="2370"/>
      <c r="J2" s="2370"/>
      <c r="K2" s="2370"/>
      <c r="L2" s="2370"/>
      <c r="M2" s="2370"/>
      <c r="N2" s="2370"/>
      <c r="O2" s="2370"/>
      <c r="P2" s="2370"/>
      <c r="Q2" s="2370"/>
      <c r="R2" s="2370"/>
    </row>
    <row r="3" spans="1:29" ht="54">
      <c r="A3" s="415" t="s">
        <v>2089</v>
      </c>
      <c r="B3" s="1271" t="s">
        <v>2090</v>
      </c>
      <c r="C3" s="2372" t="s">
        <v>2091</v>
      </c>
      <c r="D3" s="2373"/>
      <c r="E3" s="431" t="s">
        <v>2089</v>
      </c>
      <c r="F3" s="2374" t="s">
        <v>2092</v>
      </c>
      <c r="G3" s="2375" t="s">
        <v>2093</v>
      </c>
      <c r="H3" s="2370"/>
      <c r="I3" s="2370"/>
      <c r="J3" s="2370"/>
      <c r="K3" s="2370"/>
      <c r="L3" s="2370"/>
      <c r="M3" s="2370"/>
      <c r="N3" s="2370"/>
      <c r="O3" s="2370"/>
      <c r="P3" s="2370"/>
      <c r="Q3" s="2370"/>
      <c r="R3" s="2370"/>
    </row>
    <row r="4" spans="1:29" ht="41.25">
      <c r="A4" s="431"/>
      <c r="B4" s="1798" t="s">
        <v>2094</v>
      </c>
      <c r="C4" s="2376" t="s">
        <v>2095</v>
      </c>
      <c r="D4" s="2373"/>
      <c r="E4" s="2377"/>
      <c r="F4" s="42" t="s">
        <v>2096</v>
      </c>
      <c r="G4" s="2378" t="s">
        <v>2097</v>
      </c>
      <c r="H4" s="2370"/>
      <c r="I4" s="2370"/>
      <c r="J4" s="2370"/>
      <c r="K4" s="2370"/>
      <c r="L4" s="2370"/>
      <c r="M4" s="2370"/>
      <c r="N4" s="2370"/>
      <c r="O4" s="2370"/>
      <c r="P4" s="2370"/>
      <c r="Q4" s="2370"/>
      <c r="R4" s="2370"/>
    </row>
    <row r="5" spans="1:29" ht="41.25">
      <c r="A5" s="431"/>
      <c r="B5" s="1798" t="s">
        <v>2098</v>
      </c>
      <c r="C5" s="2376" t="s">
        <v>2099</v>
      </c>
      <c r="D5" s="2373"/>
      <c r="E5" s="2377"/>
      <c r="F5" s="1798" t="s">
        <v>2100</v>
      </c>
      <c r="G5" s="2378" t="s">
        <v>2101</v>
      </c>
      <c r="H5" s="2370"/>
      <c r="I5" s="2370"/>
      <c r="J5" s="2370"/>
      <c r="K5" s="2370"/>
      <c r="L5" s="2370"/>
      <c r="M5" s="2370"/>
      <c r="N5" s="2370"/>
      <c r="O5" s="2370"/>
      <c r="P5" s="2370"/>
      <c r="Q5" s="2370"/>
      <c r="R5" s="2370"/>
    </row>
    <row r="6" spans="1:29" ht="54">
      <c r="A6" s="431"/>
      <c r="B6" s="1798" t="s">
        <v>2102</v>
      </c>
      <c r="C6" s="2378" t="s">
        <v>2097</v>
      </c>
      <c r="D6" s="2373"/>
      <c r="E6" s="2377"/>
      <c r="F6" s="1798" t="s">
        <v>2103</v>
      </c>
      <c r="G6" s="2378" t="s">
        <v>2104</v>
      </c>
      <c r="H6" s="2370"/>
      <c r="I6" s="2370"/>
      <c r="J6" s="2370"/>
      <c r="K6" s="2370"/>
      <c r="L6" s="2370"/>
      <c r="M6" s="2370"/>
      <c r="N6" s="2370"/>
      <c r="O6" s="2370"/>
      <c r="P6" s="2370"/>
      <c r="Q6" s="2370"/>
      <c r="R6" s="2370"/>
    </row>
    <row r="7" spans="1:29" ht="41.25" thickBot="1">
      <c r="A7" s="431"/>
      <c r="B7" s="1798" t="s">
        <v>2100</v>
      </c>
      <c r="C7" s="2378" t="s">
        <v>2101</v>
      </c>
      <c r="D7" s="2379"/>
      <c r="E7" s="2380"/>
      <c r="F7" s="2381" t="s">
        <v>2105</v>
      </c>
      <c r="G7" s="2382" t="s">
        <v>2106</v>
      </c>
      <c r="H7" s="2370"/>
      <c r="I7" s="2370"/>
      <c r="J7" s="2370"/>
      <c r="K7" s="2370"/>
      <c r="L7" s="2370"/>
      <c r="M7" s="2370"/>
      <c r="N7" s="2370"/>
      <c r="O7" s="2370"/>
      <c r="P7" s="2370"/>
      <c r="Q7" s="2370"/>
      <c r="R7" s="2370"/>
    </row>
    <row r="8" spans="1:29" ht="27">
      <c r="A8" s="431"/>
      <c r="B8" s="1798" t="s">
        <v>2103</v>
      </c>
      <c r="C8" s="2378" t="s">
        <v>2104</v>
      </c>
      <c r="D8" s="2379"/>
      <c r="E8" s="2379"/>
      <c r="F8" s="1136"/>
      <c r="G8" s="1136"/>
      <c r="H8" s="2370"/>
      <c r="I8" s="2370"/>
      <c r="J8" s="2370"/>
      <c r="K8" s="2370"/>
      <c r="L8" s="2370"/>
      <c r="M8" s="2370"/>
      <c r="N8" s="2370"/>
      <c r="O8" s="2370"/>
      <c r="P8" s="2370"/>
      <c r="Q8" s="2370"/>
      <c r="R8" s="2370"/>
    </row>
    <row r="9" spans="1:29" ht="27">
      <c r="A9" s="431"/>
      <c r="B9" s="1798" t="s">
        <v>2107</v>
      </c>
      <c r="C9" s="2376" t="s">
        <v>2108</v>
      </c>
      <c r="D9" s="2373"/>
      <c r="E9" s="2379"/>
      <c r="F9" s="1136"/>
      <c r="G9" s="1136"/>
      <c r="H9" s="2370"/>
      <c r="I9" s="2370"/>
      <c r="J9" s="2370"/>
      <c r="K9" s="2370"/>
      <c r="L9" s="2370"/>
      <c r="M9" s="2370"/>
      <c r="N9" s="2370"/>
      <c r="O9" s="2370"/>
      <c r="P9" s="2370"/>
      <c r="Q9" s="2370"/>
      <c r="R9" s="2370"/>
    </row>
    <row r="10" spans="1:29" s="117" customFormat="1" ht="15.75" thickBot="1">
      <c r="A10" s="2383"/>
      <c r="B10" s="2384" t="s">
        <v>2109</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2110</v>
      </c>
      <c r="B13" s="2390"/>
      <c r="C13" s="2390"/>
      <c r="D13" s="2397"/>
      <c r="E13" s="2390"/>
      <c r="F13" s="2390"/>
      <c r="G13" s="2390"/>
    </row>
    <row r="14" spans="1:29" ht="15.75" thickBot="1">
      <c r="A14" s="2401"/>
      <c r="B14" s="2402"/>
      <c r="C14" s="2403" t="s">
        <v>2111</v>
      </c>
      <c r="D14" s="2373"/>
      <c r="E14" s="2404"/>
      <c r="F14" s="2404"/>
      <c r="G14" s="2367" t="s">
        <v>2112</v>
      </c>
    </row>
    <row r="15" spans="1:29" ht="57">
      <c r="A15" s="68" t="s">
        <v>2113</v>
      </c>
      <c r="B15" s="1270" t="s">
        <v>2090</v>
      </c>
      <c r="C15" s="2405" t="str">
        <f>C3</f>
        <v>估价对象周边居住用地比例、居住小区规模和社区发展完善程度，综合评价居住社区成熟度一般</v>
      </c>
      <c r="D15" s="2373"/>
      <c r="E15" s="2406" t="s">
        <v>2114</v>
      </c>
      <c r="F15" s="1270" t="s">
        <v>2115</v>
      </c>
      <c r="G15" s="135" t="str">
        <f>G3</f>
        <v>估价对象位于XX开发区，园区建设成熟度XX，产业集聚程度XX</v>
      </c>
    </row>
    <row r="16" spans="1:29" ht="42.75">
      <c r="A16" s="645"/>
      <c r="B16" s="2407" t="s">
        <v>2094</v>
      </c>
      <c r="C16" s="2408" t="str">
        <f>C4</f>
        <v>估价对象位于XX商圈，周边商业氛围成熟，人流量大，商业繁华度好</v>
      </c>
      <c r="D16" s="2373"/>
      <c r="E16" s="2409"/>
      <c r="F16" s="2410" t="s">
        <v>2096</v>
      </c>
      <c r="G16" s="136" t="str">
        <f>G4</f>
        <v>估价对象周边道路状况、公共交通通达情况、停车便捷程度，综合评价交通便捷度较好</v>
      </c>
    </row>
    <row r="17" spans="1:18" ht="42.75">
      <c r="A17" s="645"/>
      <c r="B17" s="2407" t="s">
        <v>2098</v>
      </c>
      <c r="C17" s="2408" t="str">
        <f>C5</f>
        <v>估价对象位于XX商圈，周边办公楼项目较多，入驻率高，办公集聚程度较好</v>
      </c>
      <c r="D17" s="2379"/>
      <c r="E17" s="2409"/>
      <c r="F17" s="2410" t="s">
        <v>2116</v>
      </c>
      <c r="G17" s="1572"/>
    </row>
    <row r="18" spans="1:18" ht="57">
      <c r="A18" s="645"/>
      <c r="B18" s="2410" t="s">
        <v>2102</v>
      </c>
      <c r="C18" s="136" t="str">
        <f>C6</f>
        <v>估价对象周边道路状况、公共交通通达情况、停车便捷程度，综合评价交通便捷度较好</v>
      </c>
      <c r="D18" s="2379"/>
      <c r="E18" s="2409"/>
      <c r="F18" s="2410" t="s">
        <v>2105</v>
      </c>
      <c r="G18" s="136" t="str">
        <f>G7</f>
        <v>该园区内是否有污染型企业，绿化情况，卫生条件，整体环境状况判断</v>
      </c>
    </row>
    <row r="19" spans="1:18" ht="28.5">
      <c r="A19" s="645"/>
      <c r="B19" s="2410" t="s">
        <v>2117</v>
      </c>
      <c r="C19" s="1572"/>
      <c r="D19" s="2373"/>
      <c r="E19" s="2409"/>
      <c r="F19" s="1798" t="s">
        <v>2100</v>
      </c>
      <c r="G19" s="136" t="str">
        <f>G5</f>
        <v>估价对象所在区域公共配套设施齐备情况</v>
      </c>
    </row>
    <row r="20" spans="1:18" ht="28.5">
      <c r="A20" s="645"/>
      <c r="B20" s="2410" t="s">
        <v>2118</v>
      </c>
      <c r="C20" s="2408" t="str">
        <f>C9</f>
        <v>区域自然环境：；人文环境；综合评价环境状况一般</v>
      </c>
      <c r="D20" s="2379"/>
      <c r="E20" s="2409"/>
      <c r="F20" s="1798" t="s">
        <v>2119</v>
      </c>
      <c r="G20" s="136" t="str">
        <f>G6</f>
        <v>估价对象所在区域基础设施水平</v>
      </c>
    </row>
    <row r="21" spans="1:18" ht="28.5">
      <c r="A21" s="645"/>
      <c r="B21" s="1798" t="s">
        <v>2100</v>
      </c>
      <c r="C21" s="136" t="str">
        <f>C7</f>
        <v>估价对象所在区域公共配套设施齐备情况</v>
      </c>
      <c r="D21" s="2373"/>
      <c r="E21" s="2409"/>
      <c r="F21" s="2410" t="s">
        <v>2120</v>
      </c>
      <c r="G21" s="2411"/>
    </row>
    <row r="22" spans="1:18" ht="13.5" customHeight="1">
      <c r="A22" s="645"/>
      <c r="B22" s="1798" t="s">
        <v>2103</v>
      </c>
      <c r="C22" s="136" t="str">
        <f>C8</f>
        <v>估价对象所在区域基础设施水平</v>
      </c>
      <c r="D22" s="2373"/>
      <c r="E22" s="2409"/>
      <c r="F22" s="2410" t="s">
        <v>2109</v>
      </c>
      <c r="G22" s="1572"/>
    </row>
    <row r="23" spans="1:18" s="2370" customFormat="1" ht="15.75" thickBot="1">
      <c r="A23" s="645"/>
      <c r="B23" s="2410" t="s">
        <v>2120</v>
      </c>
      <c r="C23" s="2411"/>
      <c r="D23" s="2398"/>
      <c r="E23" s="2412"/>
      <c r="F23" s="2413" t="s">
        <v>2121</v>
      </c>
      <c r="G23" s="2414"/>
      <c r="H23" s="2398"/>
      <c r="I23" s="2399"/>
      <c r="J23" s="2398"/>
      <c r="K23" s="2398"/>
      <c r="L23" s="2399"/>
      <c r="M23" s="2398"/>
      <c r="N23" s="2398"/>
      <c r="O23" s="2399"/>
      <c r="P23" s="2398"/>
      <c r="Q23" s="2398"/>
      <c r="R23" s="2400"/>
    </row>
    <row r="24" spans="1:18" s="2370" customFormat="1" ht="15.75" thickBot="1">
      <c r="A24" s="2415"/>
      <c r="B24" s="2413" t="s">
        <v>2122</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32573.120000000003</v>
      </c>
      <c r="C1" s="1745"/>
      <c r="D1" s="1745"/>
      <c r="E1" s="1745"/>
      <c r="F1" s="1745"/>
      <c r="G1" s="1743"/>
    </row>
    <row r="2" spans="1:10" ht="16.5">
      <c r="A2" s="1746" t="s">
        <v>1353</v>
      </c>
      <c r="B2" s="1746">
        <f>SUM(C14:C23)</f>
        <v>12753.9</v>
      </c>
      <c r="C2" s="1745"/>
      <c r="D2" s="1745"/>
      <c r="E2" s="1745"/>
      <c r="F2" s="1745"/>
      <c r="G2" s="1743"/>
    </row>
    <row r="3" spans="1:10" ht="16.5">
      <c r="A3" s="1746" t="s">
        <v>1362</v>
      </c>
      <c r="B3" s="1747">
        <f>项目基本情况!D3</f>
        <v>43276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20672</v>
      </c>
      <c r="C5" s="1746">
        <f ca="1">ROUND(B5*10000/$B$1,0)</f>
        <v>6346</v>
      </c>
      <c r="D5" s="1746">
        <f ca="1">ROUND(B5*10000/$B$2,0)</f>
        <v>16208</v>
      </c>
      <c r="E5" s="1745"/>
      <c r="F5" s="1743"/>
      <c r="G5" s="1743"/>
    </row>
    <row r="6" spans="1:10" ht="16.5">
      <c r="A6" s="1746" t="s">
        <v>1356</v>
      </c>
      <c r="B6" s="1746">
        <f ca="1">SUM(G14:G23)</f>
        <v>20672</v>
      </c>
      <c r="C6" s="1746">
        <f ca="1">ROUND(B6*10000/$B$1,0)</f>
        <v>6346</v>
      </c>
      <c r="D6" s="1746">
        <f ca="1">ROUND(B6*10000/$B$2,0)</f>
        <v>16208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32573.120000000003</v>
      </c>
      <c r="C14" s="1744">
        <f>结果表!C118</f>
        <v>12753.9</v>
      </c>
      <c r="D14" s="1744">
        <f ca="1">结果表!H118</f>
        <v>20672</v>
      </c>
      <c r="E14" s="1744">
        <f ca="1">ROUND(D14*10000/B14,0)</f>
        <v>6346</v>
      </c>
      <c r="F14" s="1744">
        <f ca="1">ROUND(D14*10000/C14,0)</f>
        <v>16208</v>
      </c>
      <c r="G14" s="1744">
        <f ca="1">结果表!D122</f>
        <v>20672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8" sqref="E2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2123</v>
      </c>
      <c r="B1" s="2421"/>
      <c r="C1" s="2422"/>
      <c r="D1" s="2421"/>
      <c r="E1" s="2421"/>
      <c r="F1" s="2423" t="s">
        <v>2124</v>
      </c>
      <c r="G1" s="2073" t="s">
        <v>2125</v>
      </c>
      <c r="H1" s="2424" t="str">
        <f>IF(G1="现房","——","估价对象范围")</f>
        <v>估价对象范围</v>
      </c>
      <c r="I1" s="2425"/>
    </row>
    <row r="2" spans="1:12" ht="21.75" customHeight="1" thickBot="1">
      <c r="A2" s="3096" t="str">
        <f>项目基本情况!S2</f>
        <v>北京市北京市海淀区永丰产业基地Ⅱ-4-C地段出让国有建设用地使用权及在建建筑物房地产</v>
      </c>
      <c r="B2" s="3097"/>
      <c r="C2" s="3097"/>
      <c r="D2" s="3097"/>
      <c r="E2" s="3097"/>
      <c r="F2" s="3097"/>
      <c r="G2" s="3097"/>
      <c r="H2" s="3097"/>
      <c r="I2" s="3098"/>
    </row>
    <row r="3" spans="1:12" ht="12.75">
      <c r="A3" s="3100" t="s">
        <v>2126</v>
      </c>
      <c r="B3" s="3101"/>
      <c r="C3" s="3101"/>
      <c r="D3" s="3101"/>
      <c r="E3" s="3101"/>
      <c r="F3" s="3101"/>
      <c r="G3" s="3101"/>
      <c r="H3" s="3101"/>
      <c r="I3" s="3101"/>
    </row>
    <row r="4" spans="1:12" ht="14.25">
      <c r="A4" s="2428" t="s">
        <v>2127</v>
      </c>
      <c r="B4" s="2429" t="s">
        <v>2128</v>
      </c>
      <c r="C4" s="2430" t="s">
        <v>3322</v>
      </c>
      <c r="D4" s="2430" t="s">
        <v>3323</v>
      </c>
      <c r="E4" s="3093" t="s">
        <v>2129</v>
      </c>
      <c r="F4" s="3094"/>
      <c r="G4" s="3094"/>
      <c r="H4" s="3094"/>
      <c r="I4" s="3102"/>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076" t="s">
        <v>2130</v>
      </c>
      <c r="B5" s="3014">
        <v>25</v>
      </c>
      <c r="C5" s="3079"/>
      <c r="D5" s="3099"/>
      <c r="E5" s="140" t="s">
        <v>2131</v>
      </c>
      <c r="F5" s="2432"/>
      <c r="G5" s="2432"/>
      <c r="H5" s="2432"/>
      <c r="I5" s="1834"/>
    </row>
    <row r="6" spans="1:12" ht="12.75">
      <c r="A6" s="3076"/>
      <c r="B6" s="3014"/>
      <c r="C6" s="3080"/>
      <c r="D6" s="3099"/>
      <c r="E6" s="140" t="s">
        <v>2132</v>
      </c>
      <c r="F6" s="2432"/>
      <c r="G6" s="2432"/>
      <c r="H6" s="2432"/>
      <c r="I6" s="1834"/>
    </row>
    <row r="7" spans="1:12" ht="12.75">
      <c r="A7" s="3076"/>
      <c r="B7" s="3014"/>
      <c r="C7" s="3081"/>
      <c r="D7" s="3099"/>
      <c r="E7" s="140" t="s">
        <v>2133</v>
      </c>
      <c r="F7" s="2432"/>
      <c r="G7" s="2432"/>
      <c r="H7" s="2432"/>
      <c r="I7" s="1834"/>
    </row>
    <row r="8" spans="1:12" ht="12.75">
      <c r="A8" s="3076" t="s">
        <v>2134</v>
      </c>
      <c r="B8" s="3014">
        <v>15</v>
      </c>
      <c r="C8" s="3079"/>
      <c r="D8" s="3099"/>
      <c r="E8" s="140" t="s">
        <v>2135</v>
      </c>
      <c r="F8" s="2432"/>
      <c r="G8" s="2432"/>
      <c r="H8" s="2432"/>
      <c r="I8" s="1834"/>
    </row>
    <row r="9" spans="1:12" ht="12.75">
      <c r="A9" s="3076"/>
      <c r="B9" s="3014"/>
      <c r="C9" s="3081"/>
      <c r="D9" s="3099"/>
      <c r="E9" s="140" t="s">
        <v>2136</v>
      </c>
      <c r="F9" s="2432"/>
      <c r="G9" s="2432"/>
      <c r="H9" s="2432"/>
      <c r="I9" s="1834"/>
    </row>
    <row r="10" spans="1:12" ht="12.75">
      <c r="A10" s="3076" t="s">
        <v>2137</v>
      </c>
      <c r="B10" s="3014">
        <v>15</v>
      </c>
      <c r="C10" s="3079"/>
      <c r="D10" s="3099"/>
      <c r="E10" s="140" t="s">
        <v>2138</v>
      </c>
      <c r="F10" s="2432"/>
      <c r="G10" s="2432"/>
      <c r="H10" s="2432"/>
      <c r="I10" s="1834"/>
    </row>
    <row r="11" spans="1:12" ht="12.75">
      <c r="A11" s="3076"/>
      <c r="B11" s="3014"/>
      <c r="C11" s="3081"/>
      <c r="D11" s="3099"/>
      <c r="E11" s="140" t="s">
        <v>2139</v>
      </c>
      <c r="F11" s="2432"/>
      <c r="G11" s="2432"/>
      <c r="H11" s="2432"/>
      <c r="I11" s="1834"/>
    </row>
    <row r="12" spans="1:12" ht="12.75">
      <c r="A12" s="3076" t="s">
        <v>2140</v>
      </c>
      <c r="B12" s="3014">
        <v>15</v>
      </c>
      <c r="C12" s="3079"/>
      <c r="D12" s="3099"/>
      <c r="E12" s="140" t="s">
        <v>2141</v>
      </c>
      <c r="F12" s="2432"/>
      <c r="G12" s="2432"/>
      <c r="H12" s="2432"/>
      <c r="I12" s="1834"/>
    </row>
    <row r="13" spans="1:12" ht="12.75">
      <c r="A13" s="3076"/>
      <c r="B13" s="3014"/>
      <c r="C13" s="3081"/>
      <c r="D13" s="3099"/>
      <c r="E13" s="140" t="s">
        <v>2142</v>
      </c>
      <c r="F13" s="2432"/>
      <c r="G13" s="2432"/>
      <c r="H13" s="2432"/>
      <c r="I13" s="1834"/>
    </row>
    <row r="14" spans="1:12" ht="12.75">
      <c r="A14" s="3076" t="s">
        <v>2143</v>
      </c>
      <c r="B14" s="3014">
        <v>30</v>
      </c>
      <c r="C14" s="3079">
        <v>4</v>
      </c>
      <c r="D14" s="3099">
        <v>6</v>
      </c>
      <c r="E14" s="140" t="s">
        <v>2144</v>
      </c>
      <c r="F14" s="2432"/>
      <c r="G14" s="2432"/>
      <c r="H14" s="2432"/>
      <c r="I14" s="1834"/>
    </row>
    <row r="15" spans="1:12" ht="12.75">
      <c r="A15" s="3076"/>
      <c r="B15" s="3014"/>
      <c r="C15" s="3080"/>
      <c r="D15" s="3099"/>
      <c r="E15" s="140" t="s">
        <v>2145</v>
      </c>
      <c r="F15" s="2432"/>
      <c r="G15" s="2432"/>
      <c r="H15" s="2432"/>
      <c r="I15" s="1834"/>
    </row>
    <row r="16" spans="1:12" ht="12.75">
      <c r="A16" s="3076"/>
      <c r="B16" s="3014"/>
      <c r="C16" s="3081"/>
      <c r="D16" s="3099"/>
      <c r="E16" s="140" t="s">
        <v>2146</v>
      </c>
      <c r="F16" s="2432"/>
      <c r="G16" s="2432"/>
      <c r="H16" s="2432"/>
      <c r="I16" s="1834"/>
    </row>
    <row r="17" spans="1:35" ht="15">
      <c r="A17" s="2433" t="s">
        <v>2147</v>
      </c>
      <c r="B17" s="64"/>
      <c r="C17" s="141">
        <f>SUM(C5:C16)</f>
        <v>4</v>
      </c>
      <c r="D17" s="141">
        <f>SUM(D5:D16)</f>
        <v>6</v>
      </c>
      <c r="E17" s="138"/>
      <c r="F17" s="138"/>
      <c r="G17" s="138"/>
      <c r="H17" s="138"/>
      <c r="I17" s="138"/>
      <c r="K17" s="2431"/>
      <c r="L17" s="2434" t="s">
        <v>2148</v>
      </c>
      <c r="M17" s="2434" t="s">
        <v>2149</v>
      </c>
    </row>
    <row r="18" spans="1:35" ht="15.75" thickBot="1">
      <c r="A18" s="2435" t="s">
        <v>2150</v>
      </c>
      <c r="B18" s="2436"/>
      <c r="C18" s="142">
        <f>ROUND(C17/SUM(C17:D17),2)</f>
        <v>0.4</v>
      </c>
      <c r="D18" s="142">
        <f>1-C18</f>
        <v>0.6</v>
      </c>
      <c r="E18" s="138"/>
      <c r="F18" s="138"/>
      <c r="G18" s="138"/>
      <c r="H18" s="138"/>
      <c r="I18" s="138"/>
      <c r="K18" s="2431" t="s">
        <v>2151</v>
      </c>
      <c r="L18" s="2431">
        <f>IF(C1="",'数据-汇总表'!E3,SUMIF(项目类型,C1,'数据-汇总表'!E17:E26)+SUMIF(项目类型,C1,'数据-汇总表'!I17:I26))</f>
        <v>32573.120000000003</v>
      </c>
      <c r="M18" s="2431">
        <f>IF(C1="",'数据-汇总表'!E3,SUMIF(项目类型,C1,'数据-汇总表'!E17:E26))</f>
        <v>32573.120000000003</v>
      </c>
    </row>
    <row r="19" spans="1:35" ht="15">
      <c r="A19" s="2437" t="s">
        <v>2152</v>
      </c>
      <c r="B19" s="2438" t="s">
        <v>2153</v>
      </c>
      <c r="C19" s="143">
        <f ca="1">SUMIF(INDIRECT("'"&amp;C4&amp;"'"&amp;"!A:A"),结果表!B19,INDIRECT("'"&amp;C4&amp;"'"&amp;"!B:B"))</f>
        <v>10641</v>
      </c>
      <c r="D19" s="144">
        <f ca="1">SUMIF(INDIRECT("'"&amp;D4&amp;"'"&amp;"!A:A"),结果表!B19,INDIRECT("'"&amp;D4&amp;"'"&amp;"!B:B"))</f>
        <v>27360</v>
      </c>
      <c r="E19" s="2437" t="s">
        <v>2154</v>
      </c>
      <c r="F19" s="2438" t="s">
        <v>2153</v>
      </c>
      <c r="G19" s="145">
        <f ca="1">ROUND(C19*$C$18+D19*$D$18,0)</f>
        <v>20672</v>
      </c>
      <c r="H19" s="2439" t="s">
        <v>2155</v>
      </c>
      <c r="I19" s="138"/>
      <c r="K19" s="2431" t="s">
        <v>2156</v>
      </c>
      <c r="L19" s="2431">
        <f>IF(C1="",'数据-汇总表'!D3,SUMIF(项目类型,C1,'数据-汇总表'!D17:D26)+SUMIF(项目类型,C1,'数据-汇总表'!H17:H27))</f>
        <v>12753.9</v>
      </c>
      <c r="M19" s="2431">
        <f>IF(C1="",'数据-汇总表'!D3,SUMIF(项目类型,C1,'数据-汇总表'!D17:D26))</f>
        <v>12753.9</v>
      </c>
    </row>
    <row r="20" spans="1:35" ht="15">
      <c r="A20" s="2440"/>
      <c r="B20" s="1250" t="s">
        <v>2157</v>
      </c>
      <c r="C20" s="146">
        <f ca="1">SUMIF(INDIRECT("'"&amp;C4&amp;"'"&amp;"!A:A"),结果表!B20,INDIRECT("'"&amp;C4&amp;"'"&amp;"!B:B"))</f>
        <v>3267</v>
      </c>
      <c r="D20" s="147">
        <f ca="1">SUMIF(INDIRECT("'"&amp;D4&amp;"'"&amp;"!A:A"),结果表!B20,INDIRECT("'"&amp;D4&amp;"'"&amp;"!B:B"))</f>
        <v>8400</v>
      </c>
      <c r="E20" s="2440"/>
      <c r="F20" s="1250" t="s">
        <v>2157</v>
      </c>
      <c r="G20" s="148">
        <f ca="1">ROUND(C20*$C$18+D20*$D$18,0)</f>
        <v>6347</v>
      </c>
      <c r="H20" s="983" t="s">
        <v>2158</v>
      </c>
      <c r="I20" s="138"/>
    </row>
    <row r="21" spans="1:35" ht="15" customHeight="1" thickBot="1">
      <c r="A21" s="1003"/>
      <c r="B21" s="2441" t="s">
        <v>2159</v>
      </c>
      <c r="C21" s="789">
        <f ca="1">ROUND(C19*10000/L19,0)</f>
        <v>8343</v>
      </c>
      <c r="D21" s="790">
        <f ca="1">ROUND(D19*10000/L19,0)</f>
        <v>21452</v>
      </c>
      <c r="E21" s="1003"/>
      <c r="F21" s="2441" t="s">
        <v>2159</v>
      </c>
      <c r="G21" s="149">
        <f ca="1">ROUND(G19*10000/L19,0)</f>
        <v>16208</v>
      </c>
      <c r="H21" s="2442" t="s">
        <v>2158</v>
      </c>
      <c r="I21" s="138"/>
    </row>
    <row r="22" spans="1:35" ht="15" thickBot="1">
      <c r="A22" s="2283" t="s">
        <v>2160</v>
      </c>
      <c r="B22" s="2443"/>
      <c r="C22" s="2444"/>
      <c r="D22" s="791">
        <f ca="1">IF(C19&lt;D19,D19/C19-1,C19/D19-1)</f>
        <v>1.5711869185226952</v>
      </c>
      <c r="E22" s="138"/>
      <c r="F22" s="138"/>
      <c r="G22" s="138"/>
      <c r="H22" s="138"/>
      <c r="I22" s="138"/>
    </row>
    <row r="23" spans="1:35" ht="13.5" thickBot="1">
      <c r="A23" s="2421"/>
      <c r="B23" s="2421"/>
      <c r="C23" s="2421"/>
      <c r="D23" s="2421"/>
      <c r="E23" s="138"/>
      <c r="F23" s="138"/>
      <c r="G23" s="138"/>
      <c r="H23" s="138"/>
      <c r="I23" s="138"/>
    </row>
    <row r="24" spans="1:35" ht="14.25">
      <c r="A24" s="3070" t="s">
        <v>2161</v>
      </c>
      <c r="B24" s="2438" t="s">
        <v>2153</v>
      </c>
      <c r="C24" s="145">
        <f>IF(B30=0,0,D30)</f>
        <v>0</v>
      </c>
      <c r="D24" s="2445"/>
      <c r="E24" s="138"/>
      <c r="F24" s="138"/>
      <c r="G24" s="138"/>
      <c r="H24" s="138"/>
      <c r="I24" s="138"/>
    </row>
    <row r="25" spans="1:35" ht="14.25">
      <c r="A25" s="3071"/>
      <c r="B25" s="1250" t="s">
        <v>2157</v>
      </c>
      <c r="C25" s="150">
        <f>IF(B30=0,0,C30)</f>
        <v>0</v>
      </c>
      <c r="D25" s="2446"/>
      <c r="E25" s="138"/>
      <c r="F25" s="138"/>
      <c r="G25" s="138"/>
      <c r="H25" s="138"/>
      <c r="I25" s="138"/>
    </row>
    <row r="26" spans="1:35" ht="13.5" customHeight="1">
      <c r="A26" s="2447" t="s">
        <v>2162</v>
      </c>
      <c r="B26" s="151" t="s">
        <v>2163</v>
      </c>
      <c r="C26" s="151" t="s">
        <v>2164</v>
      </c>
      <c r="D26" s="152" t="s">
        <v>2165</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2166</v>
      </c>
      <c r="B30" s="151"/>
      <c r="C30" s="151"/>
      <c r="D30" s="151"/>
      <c r="E30" s="2930" t="s">
        <v>3042</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2167</v>
      </c>
      <c r="B32" s="2451"/>
      <c r="C32" s="153">
        <f ca="1">IF(D32="总价",G19-C24,G20-C25)</f>
        <v>20672</v>
      </c>
      <c r="D32" s="2452" t="s">
        <v>2168</v>
      </c>
      <c r="E32" s="138"/>
      <c r="F32" s="138"/>
      <c r="G32" s="138"/>
      <c r="H32" s="138"/>
      <c r="I32" s="138"/>
    </row>
    <row r="33" spans="1:15" ht="15">
      <c r="A33" s="960" t="s">
        <v>2169</v>
      </c>
      <c r="B33" s="2453"/>
      <c r="C33" s="2454"/>
      <c r="D33" s="2455"/>
      <c r="E33" s="2456" t="s">
        <v>2170</v>
      </c>
      <c r="F33" s="2457" t="str">
        <f>IF(D32="楼面单价","取值（单价）","取值（总价）")</f>
        <v>取值（总价）</v>
      </c>
      <c r="G33" s="138"/>
      <c r="H33" s="138"/>
      <c r="I33" s="138"/>
    </row>
    <row r="34" spans="1:15" ht="15">
      <c r="A34" s="2458"/>
      <c r="B34" s="2459" t="s">
        <v>2171</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2172</v>
      </c>
      <c r="F34" s="1739"/>
      <c r="G34" s="138"/>
      <c r="H34" s="138"/>
      <c r="I34" s="138"/>
    </row>
    <row r="35" spans="1:15" ht="15.75" thickBot="1">
      <c r="A35" s="2461"/>
      <c r="B35" s="2462" t="s">
        <v>2173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2174</v>
      </c>
      <c r="F35" s="163"/>
      <c r="G35" s="138"/>
      <c r="H35" s="138"/>
      <c r="I35" s="138"/>
    </row>
    <row r="36" spans="1:15" ht="15.75" thickBot="1">
      <c r="A36" s="3088" t="s">
        <v>2175</v>
      </c>
      <c r="B36" s="2464" t="s">
        <v>2176</v>
      </c>
      <c r="C36" s="154"/>
      <c r="D36" s="2465"/>
      <c r="E36" s="2466"/>
      <c r="F36" s="2467"/>
      <c r="G36" s="138"/>
      <c r="H36" s="138"/>
      <c r="I36" s="138"/>
    </row>
    <row r="37" spans="1:15" ht="15.75" thickBot="1">
      <c r="A37" s="3089"/>
      <c r="B37" s="2269" t="s">
        <v>2177</v>
      </c>
      <c r="C37" s="156"/>
      <c r="D37" s="1395"/>
      <c r="E37" s="1395"/>
      <c r="F37" s="2467"/>
      <c r="G37" s="138"/>
      <c r="H37" s="138"/>
      <c r="I37" s="138"/>
    </row>
    <row r="38" spans="1:15" ht="15.75" thickBot="1">
      <c r="A38" s="3090"/>
      <c r="B38" s="2468" t="s">
        <v>2178</v>
      </c>
      <c r="C38" s="727"/>
      <c r="D38" s="2469" t="s">
        <v>2179</v>
      </c>
      <c r="E38" s="1395"/>
      <c r="F38" s="2467"/>
      <c r="G38" s="138"/>
      <c r="H38" s="138"/>
      <c r="I38" s="138"/>
    </row>
    <row r="39" spans="1:15" ht="15">
      <c r="A39" s="2440" t="s">
        <v>2180</v>
      </c>
      <c r="B39" s="2470" t="s">
        <v>2181</v>
      </c>
      <c r="C39" s="2471" t="s">
        <v>2182</v>
      </c>
      <c r="D39" s="2471" t="s">
        <v>2183</v>
      </c>
      <c r="E39" s="2472" t="s">
        <v>2184</v>
      </c>
      <c r="F39" s="2467"/>
      <c r="G39" s="138"/>
      <c r="H39" s="138"/>
      <c r="I39" s="138"/>
    </row>
    <row r="40" spans="1:15" ht="14.25">
      <c r="A40" s="2473" t="s">
        <v>2185</v>
      </c>
      <c r="B40" s="158"/>
      <c r="C40" s="159"/>
      <c r="D40" s="159"/>
      <c r="E40" s="160"/>
      <c r="F40" s="2467"/>
      <c r="G40" s="138"/>
      <c r="H40" s="138"/>
      <c r="I40" s="138"/>
    </row>
    <row r="41" spans="1:15" ht="14.25">
      <c r="A41" s="2473" t="s">
        <v>2186</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2187</v>
      </c>
      <c r="B44" s="2478"/>
      <c r="C44" s="2478"/>
      <c r="D44" s="2479"/>
      <c r="E44" s="2479"/>
      <c r="F44" s="2480"/>
      <c r="G44" s="2480"/>
      <c r="H44" s="2480"/>
      <c r="I44" s="2480"/>
      <c r="J44" s="2481" t="s">
        <v>2188</v>
      </c>
      <c r="K44" s="2482"/>
      <c r="L44" s="2482"/>
      <c r="M44" s="2482"/>
      <c r="N44" s="2482"/>
      <c r="O44" s="2482"/>
    </row>
    <row r="45" spans="1:15" ht="14.25" customHeight="1" thickBot="1">
      <c r="A45" s="3067" t="s">
        <v>2189</v>
      </c>
      <c r="B45" s="3068"/>
      <c r="C45" s="3069"/>
      <c r="D45" s="164">
        <f ca="1">ROUND(H101*F45,0)</f>
        <v>20672</v>
      </c>
      <c r="E45" s="165" t="s">
        <v>2190</v>
      </c>
      <c r="F45" s="166">
        <v>1</v>
      </c>
      <c r="G45" s="167" t="s">
        <v>2191</v>
      </c>
      <c r="H45" s="138"/>
      <c r="I45" s="138"/>
      <c r="J45" s="3127" t="s">
        <v>2192</v>
      </c>
      <c r="K45" s="3127"/>
      <c r="L45" s="3127"/>
      <c r="M45" s="3127"/>
      <c r="N45" s="3127"/>
      <c r="O45" s="3127"/>
    </row>
    <row r="46" spans="1:15" ht="14.25" customHeight="1">
      <c r="A46" s="3064" t="s">
        <v>2193</v>
      </c>
      <c r="B46" s="3065"/>
      <c r="C46" s="3065"/>
      <c r="D46" s="3065"/>
      <c r="E46" s="3065"/>
      <c r="F46" s="3065"/>
      <c r="G46" s="3066"/>
      <c r="H46" s="2483"/>
      <c r="I46" s="168"/>
      <c r="J46" s="1812">
        <v>1</v>
      </c>
      <c r="K46" s="3127" t="s">
        <v>2194</v>
      </c>
      <c r="L46" s="3127"/>
      <c r="M46" s="3147"/>
      <c r="N46" s="3147"/>
      <c r="O46" s="3147"/>
    </row>
    <row r="47" spans="1:15" ht="12" customHeight="1">
      <c r="A47" s="169" t="s">
        <v>2195</v>
      </c>
      <c r="B47" s="170"/>
      <c r="C47" s="171"/>
      <c r="D47" s="172" t="s">
        <v>2196</v>
      </c>
      <c r="E47" s="24" t="s">
        <v>2197</v>
      </c>
      <c r="F47" s="173" t="s">
        <v>2198</v>
      </c>
      <c r="G47" s="174" t="s">
        <v>2199</v>
      </c>
      <c r="H47" s="2483"/>
      <c r="I47" s="168"/>
      <c r="J47" s="1812">
        <v>2</v>
      </c>
      <c r="K47" s="3127" t="s">
        <v>2200</v>
      </c>
      <c r="L47" s="3127"/>
      <c r="M47" s="3148">
        <f>'数据-取费表'!B2</f>
        <v>43276</v>
      </c>
      <c r="N47" s="3148"/>
      <c r="O47" s="3148"/>
    </row>
    <row r="48" spans="1:15" ht="25.5">
      <c r="A48" s="3095" t="s">
        <v>2201</v>
      </c>
      <c r="B48" s="3078"/>
      <c r="C48" s="3078"/>
      <c r="D48" s="140">
        <f>IF(H48="情况1",0,IF(H48="情况2",D52,IF(H48="情况3",D53,IF(H48="情况4",D54))))</f>
        <v>0</v>
      </c>
      <c r="E48" s="1801" t="str">
        <f>IF(H48="情况4","(销售额-原购置价)×税（费）率","销售额×税（费）率")</f>
        <v>销售额×税（费）率</v>
      </c>
      <c r="F48" s="175" t="str">
        <f>IF(H48="情况1","免征",'数据-取费表'!B41)</f>
        <v>免征</v>
      </c>
      <c r="G48" s="2484" t="s">
        <v>2202</v>
      </c>
      <c r="H48" s="2485" t="s">
        <v>2203</v>
      </c>
      <c r="I48" s="2483"/>
      <c r="J48" s="1812">
        <v>3</v>
      </c>
      <c r="K48" s="3127" t="s">
        <v>2204</v>
      </c>
      <c r="L48" s="3127"/>
      <c r="M48" s="3149">
        <f ca="1">H101</f>
        <v>20672</v>
      </c>
      <c r="N48" s="3149"/>
      <c r="O48" s="3149"/>
    </row>
    <row r="49" spans="1:35" ht="25.5" customHeight="1">
      <c r="A49" s="176" t="s">
        <v>2205</v>
      </c>
      <c r="B49" s="3063" t="s">
        <v>2206</v>
      </c>
      <c r="C49" s="3063"/>
      <c r="D49" s="177">
        <v>0</v>
      </c>
      <c r="E49" s="23" t="s">
        <v>2207</v>
      </c>
      <c r="F49" s="28" t="s">
        <v>34</v>
      </c>
      <c r="G49" s="3133"/>
      <c r="H49" s="138"/>
      <c r="I49" s="2486"/>
      <c r="J49" s="1812">
        <v>4</v>
      </c>
      <c r="K49" s="3127" t="str">
        <f>IF(项目基本情况!E8="房地产抵押价值","房地产抵押价值","抵押担保权已注销时的房地产抵押价值")</f>
        <v>房地产抵押价值</v>
      </c>
      <c r="L49" s="3127"/>
      <c r="M49" s="3149">
        <f ca="1">IF(项目基本情况!E8="房地产抵押价值",H107,H109)</f>
        <v>20672</v>
      </c>
      <c r="N49" s="3149"/>
      <c r="O49" s="3149"/>
    </row>
    <row r="50" spans="1:35" ht="25.5" customHeight="1">
      <c r="A50" s="178"/>
      <c r="B50" s="3063" t="s">
        <v>2208</v>
      </c>
      <c r="C50" s="3063"/>
      <c r="D50" s="179"/>
      <c r="E50" s="31"/>
      <c r="F50" s="180"/>
      <c r="G50" s="3134"/>
      <c r="H50" s="138"/>
      <c r="I50" s="2486"/>
      <c r="J50" s="3127" t="s">
        <v>2209</v>
      </c>
      <c r="K50" s="3127"/>
      <c r="L50" s="3127"/>
      <c r="M50" s="3127"/>
      <c r="N50" s="3127"/>
      <c r="O50" s="3127"/>
    </row>
    <row r="51" spans="1:35" ht="12" customHeight="1">
      <c r="A51" s="181"/>
      <c r="B51" s="3063" t="s">
        <v>2210</v>
      </c>
      <c r="C51" s="3063"/>
      <c r="D51" s="182"/>
      <c r="E51" s="30"/>
      <c r="F51" s="180"/>
      <c r="G51" s="3135"/>
      <c r="H51" s="138"/>
      <c r="I51" s="2486"/>
      <c r="J51" s="2487" t="s">
        <v>2211</v>
      </c>
      <c r="K51" s="3127" t="s">
        <v>2212</v>
      </c>
      <c r="L51" s="3127"/>
      <c r="M51" s="2487" t="s">
        <v>2213</v>
      </c>
      <c r="N51" s="2487" t="s">
        <v>2214</v>
      </c>
      <c r="O51" s="2487" t="s">
        <v>2215</v>
      </c>
    </row>
    <row r="52" spans="1:35" ht="24" customHeight="1">
      <c r="A52" s="183" t="s">
        <v>2216</v>
      </c>
      <c r="B52" s="3063" t="s">
        <v>2217</v>
      </c>
      <c r="C52" s="3063"/>
      <c r="D52" s="182">
        <f ca="1">ROUND(D45*'数据-取费表'!B41/(1+'数据-取费表'!C42),0)</f>
        <v>1103</v>
      </c>
      <c r="E52" s="11" t="s">
        <v>2218</v>
      </c>
      <c r="F52" s="184">
        <f>'数据-取费表'!B41</f>
        <v>5.6000000000000001E-2</v>
      </c>
      <c r="G52" s="2488"/>
      <c r="H52" s="138"/>
      <c r="I52" s="2486"/>
      <c r="J52" s="1812">
        <v>1</v>
      </c>
      <c r="K52" s="3128" t="s">
        <v>2219</v>
      </c>
      <c r="L52" s="3128"/>
      <c r="M52" s="1754">
        <f>D48</f>
        <v>0</v>
      </c>
      <c r="N52" s="1812" t="str">
        <f>E48</f>
        <v>销售额×税（费）率</v>
      </c>
      <c r="O52" s="1755" t="str">
        <f>F48</f>
        <v>免征</v>
      </c>
    </row>
    <row r="53" spans="1:35" ht="12" customHeight="1">
      <c r="A53" s="183" t="s">
        <v>2220</v>
      </c>
      <c r="B53" s="3086" t="s">
        <v>2221</v>
      </c>
      <c r="C53" s="3087"/>
      <c r="D53" s="182">
        <f ca="1">ROUND(D45*'数据-取费表'!B41/(1+'数据-取费表'!C42),0)</f>
        <v>1103</v>
      </c>
      <c r="E53" s="11" t="s">
        <v>2218</v>
      </c>
      <c r="F53" s="184">
        <f>'数据-取费表'!B41</f>
        <v>5.6000000000000001E-2</v>
      </c>
      <c r="G53" s="2488"/>
      <c r="H53" s="138"/>
      <c r="I53" s="2486"/>
      <c r="J53" s="1812">
        <v>2</v>
      </c>
      <c r="K53" s="3128" t="s">
        <v>2222</v>
      </c>
      <c r="L53" s="3128"/>
      <c r="M53" s="1754">
        <f t="shared" ref="M53:O54" ca="1" si="0">D55</f>
        <v>10</v>
      </c>
      <c r="N53" s="1812" t="str">
        <f t="shared" si="0"/>
        <v>销售额×税（费）率</v>
      </c>
      <c r="O53" s="1755">
        <f t="shared" si="0"/>
        <v>5.0000000000000001E-4</v>
      </c>
    </row>
    <row r="54" spans="1:35" ht="12" customHeight="1">
      <c r="A54" s="183" t="s">
        <v>2223</v>
      </c>
      <c r="B54" s="3086" t="s">
        <v>2224</v>
      </c>
      <c r="C54" s="3087"/>
      <c r="D54" s="182">
        <f ca="1">C68</f>
        <v>1103</v>
      </c>
      <c r="E54" s="30" t="s">
        <v>2225</v>
      </c>
      <c r="F54" s="184">
        <f>'数据-取费表'!B41</f>
        <v>5.6000000000000001E-2</v>
      </c>
      <c r="G54" s="2488"/>
      <c r="H54" s="2489"/>
      <c r="I54" s="2486"/>
      <c r="J54" s="1812">
        <v>3</v>
      </c>
      <c r="K54" s="3128" t="s">
        <v>2226</v>
      </c>
      <c r="L54" s="3128"/>
      <c r="M54" s="1754">
        <f t="shared" ca="1" si="0"/>
        <v>11701</v>
      </c>
      <c r="N54" s="1812" t="str">
        <f t="shared" si="0"/>
        <v>增值额×税（费）率</v>
      </c>
      <c r="O54" s="1756" t="str">
        <f t="shared" si="0"/>
        <v>——</v>
      </c>
    </row>
    <row r="55" spans="1:35" ht="24" customHeight="1">
      <c r="A55" s="3077" t="s">
        <v>2227</v>
      </c>
      <c r="B55" s="3078"/>
      <c r="C55" s="3078"/>
      <c r="D55" s="185">
        <f ca="1">IF(H55="个人住宅",0,ROUND(D45*I55,0))</f>
        <v>10</v>
      </c>
      <c r="E55" s="11" t="s">
        <v>2228</v>
      </c>
      <c r="F55" s="184">
        <f>IF(H55="正常",I55,"免征")</f>
        <v>5.0000000000000001E-4</v>
      </c>
      <c r="G55" s="2488"/>
      <c r="H55" s="2485" t="s">
        <v>2229</v>
      </c>
      <c r="I55" s="186">
        <f>'数据-取费表'!B49</f>
        <v>5.0000000000000001E-4</v>
      </c>
      <c r="J55" s="1812" t="str">
        <f>IF(H59="非个人房产","",4)</f>
        <v/>
      </c>
      <c r="K55" s="3128" t="str">
        <f>IF(H59="非个人房产","——","个人所得税")</f>
        <v>——</v>
      </c>
      <c r="L55" s="3128"/>
      <c r="M55" s="1757" t="str">
        <f>D59</f>
        <v>——</v>
      </c>
      <c r="N55" s="1810" t="str">
        <f>E59</f>
        <v>——</v>
      </c>
      <c r="O55" s="1758" t="str">
        <f>F59</f>
        <v>——</v>
      </c>
    </row>
    <row r="56" spans="1:35" ht="24.75">
      <c r="A56" s="3077" t="s">
        <v>2230</v>
      </c>
      <c r="B56" s="3078"/>
      <c r="C56" s="3078"/>
      <c r="D56" s="185">
        <f ca="1">IF(H56="个人住宅",D57,D58)</f>
        <v>11701</v>
      </c>
      <c r="E56" s="11" t="s">
        <v>2231</v>
      </c>
      <c r="F56" s="184" t="str">
        <f>IF(H56="正常",F58,"免征")</f>
        <v>——</v>
      </c>
      <c r="G56" s="2490" t="s">
        <v>2232</v>
      </c>
      <c r="H56" s="2491" t="s">
        <v>2229</v>
      </c>
      <c r="I56" s="2492"/>
      <c r="J56" s="1812" t="str">
        <f>IF(项目基本情况!K6="上海银行",IF(J55="",4,J55+1),"")</f>
        <v/>
      </c>
      <c r="K56" s="3151" t="str">
        <f>IF(项目基本情况!K6="上海银行","其他处置费用","")</f>
        <v/>
      </c>
      <c r="L56" s="3152"/>
      <c r="M56" s="1754" t="str">
        <f>IF(项目基本情况!K6="上海银行",M69,"")</f>
        <v/>
      </c>
      <c r="N56" s="3154" t="str">
        <f>IF(项目基本情况!K6="上海银行","包含处置中涉及的律师、诉讼、拍卖、评估等费用","")</f>
        <v/>
      </c>
      <c r="O56" s="3155"/>
    </row>
    <row r="57" spans="1:35" ht="12.75">
      <c r="A57" s="183" t="s">
        <v>2205</v>
      </c>
      <c r="B57" s="3093" t="s">
        <v>2233</v>
      </c>
      <c r="C57" s="3102"/>
      <c r="D57" s="187">
        <v>0</v>
      </c>
      <c r="E57" s="23" t="s">
        <v>2207</v>
      </c>
      <c r="F57" s="155"/>
      <c r="G57" s="2488"/>
      <c r="H57" s="2492"/>
      <c r="I57" s="2492"/>
      <c r="J57" s="3128">
        <f>IF(AND(J55="",J56=""),4,IF(项目基本情况!K6="上海银行",结果表!J56+1,结果表!J55+1))</f>
        <v>4</v>
      </c>
      <c r="K57" s="3128" t="s">
        <v>2234</v>
      </c>
      <c r="L57" s="2493" t="s">
        <v>2235</v>
      </c>
      <c r="M57" s="1759"/>
      <c r="N57" s="1760">
        <f ca="1">SUMIF(M52:M56,"&lt;9e307")</f>
        <v>11711</v>
      </c>
      <c r="O57" s="2494"/>
      <c r="P57" s="1753">
        <f ca="1">N57/M49</f>
        <v>0.56651509287925694</v>
      </c>
    </row>
    <row r="58" spans="1:35" ht="24.75">
      <c r="A58" s="183" t="s">
        <v>2216</v>
      </c>
      <c r="B58" s="3093" t="s">
        <v>2236</v>
      </c>
      <c r="C58" s="3094"/>
      <c r="D58" s="185">
        <f ca="1">IF(H58="转让取得",C81,C97)</f>
        <v>11701</v>
      </c>
      <c r="E58" s="11" t="s">
        <v>2231</v>
      </c>
      <c r="F58" s="24" t="s">
        <v>34</v>
      </c>
      <c r="G58" s="2488"/>
      <c r="H58" s="2491" t="s">
        <v>2237</v>
      </c>
      <c r="I58" s="2492"/>
      <c r="J58" s="3128"/>
      <c r="K58" s="3128"/>
      <c r="L58" s="2493" t="s">
        <v>2238</v>
      </c>
      <c r="M58" s="1761"/>
      <c r="N58" s="2495" t="str">
        <f ca="1">NUMBERSTRING(INT(N57*10000),2)&amp;"元整"</f>
        <v>壹亿壹仟柒佰壹拾壹万元整</v>
      </c>
      <c r="O58" s="2496"/>
    </row>
    <row r="59" spans="1:35" ht="24.75" thickBot="1">
      <c r="A59" s="3131" t="s">
        <v>2239</v>
      </c>
      <c r="B59" s="3132"/>
      <c r="C59" s="3132"/>
      <c r="D59" s="188" t="str">
        <f>IF(H59="非个人房产","——",IF(H59="个人住宅",0,ROUND(D45*I59,0)))</f>
        <v>——</v>
      </c>
      <c r="E59" s="189" t="str">
        <f>IF(H59="非个人房产","——","销售额×税（费）率")</f>
        <v>——</v>
      </c>
      <c r="F59" s="190" t="str">
        <f>IF(H59="非个人房产","——",IF(H59="个人住宅","免征",I59))</f>
        <v>——</v>
      </c>
      <c r="G59" s="2497" t="s">
        <v>2232</v>
      </c>
      <c r="H59" s="2491" t="s">
        <v>2240</v>
      </c>
      <c r="I59" s="191">
        <v>0.01</v>
      </c>
      <c r="J59" s="3129">
        <f>J57+1</f>
        <v>5</v>
      </c>
      <c r="K59" s="3128" t="s">
        <v>2241</v>
      </c>
      <c r="L59" s="1812" t="s">
        <v>2235</v>
      </c>
      <c r="M59" s="1762"/>
      <c r="N59" s="1763">
        <f ca="1">M49-N57</f>
        <v>8961</v>
      </c>
      <c r="O59" s="2498"/>
    </row>
    <row r="60" spans="1:35" ht="12" customHeight="1">
      <c r="A60" s="2499"/>
      <c r="B60" s="2421"/>
      <c r="C60" s="2421"/>
      <c r="D60" s="2421"/>
      <c r="E60" s="2169"/>
      <c r="F60" s="2492"/>
      <c r="G60" s="2492"/>
      <c r="H60" s="2500"/>
      <c r="I60" s="138"/>
      <c r="J60" s="3130"/>
      <c r="K60" s="3128"/>
      <c r="L60" s="2493" t="s">
        <v>2238</v>
      </c>
      <c r="M60" s="1761"/>
      <c r="N60" s="2495" t="str">
        <f ca="1">NUMBERSTRING(INT(N59*10000),2)&amp;"元整"</f>
        <v>捌仟玖佰陆拾壹万元整</v>
      </c>
      <c r="O60" s="2496"/>
    </row>
    <row r="61" spans="1:35" ht="13.5" thickBot="1">
      <c r="A61" s="3075" t="s">
        <v>2242</v>
      </c>
      <c r="B61" s="3075"/>
      <c r="C61" s="3075"/>
      <c r="D61" s="3075"/>
      <c r="E61" s="3075"/>
      <c r="F61" s="2492"/>
      <c r="G61" s="2492"/>
      <c r="H61" s="2500"/>
      <c r="I61" s="138"/>
      <c r="J61" s="1812">
        <f>J59+1</f>
        <v>6</v>
      </c>
      <c r="K61" s="3128" t="s">
        <v>2243</v>
      </c>
      <c r="L61" s="3128"/>
      <c r="M61" s="1764"/>
      <c r="N61" s="1765">
        <f ca="1">ROUND(N59*10000/'数据-汇总表'!E3,0)</f>
        <v>2751</v>
      </c>
      <c r="O61" s="2501"/>
    </row>
    <row r="62" spans="1:35" ht="12.75">
      <c r="A62" s="3091" t="s">
        <v>2244</v>
      </c>
      <c r="B62" s="3092"/>
      <c r="C62" s="1804"/>
      <c r="D62" s="1804" t="s">
        <v>2245</v>
      </c>
      <c r="E62" s="192" t="s">
        <v>2246</v>
      </c>
      <c r="F62" s="2492"/>
      <c r="G62" s="2492"/>
      <c r="H62" s="2500"/>
      <c r="I62" s="138"/>
    </row>
    <row r="63" spans="1:35" ht="12.75">
      <c r="A63" s="203" t="s">
        <v>775</v>
      </c>
      <c r="B63" s="193" t="s">
        <v>2247</v>
      </c>
      <c r="C63" s="194">
        <f ca="1">ROUND((C64+C65)/(1+'数据-取费表'!C42),0)</f>
        <v>19688</v>
      </c>
      <c r="D63" s="195"/>
      <c r="E63" s="196"/>
      <c r="F63" s="2492"/>
      <c r="G63" s="2492"/>
      <c r="H63" s="2500"/>
      <c r="I63" s="138"/>
      <c r="J63" s="3153" t="s">
        <v>2248</v>
      </c>
      <c r="K63" s="2502" t="s">
        <v>2249</v>
      </c>
      <c r="L63" s="1752">
        <f ca="1">IF(M49&gt;10000,M49*0.5%,IF(AND(M49&gt;1000,M49&lt;=10000),M49*1%,IF(AND(M49&gt;100,M49&lt;=1000),M49*3%,IF(AND(M49&gt;10,M49&lt;=100),M49*5%,M49*8%))))</f>
        <v>103.36</v>
      </c>
      <c r="M63" s="24">
        <f ca="1">ROUND(L63,1)</f>
        <v>103.4</v>
      </c>
      <c r="Z63" s="2426"/>
      <c r="AI63" s="2427"/>
    </row>
    <row r="64" spans="1:35" ht="14.25" customHeight="1">
      <c r="A64" s="197" t="s">
        <v>770</v>
      </c>
      <c r="B64" s="198" t="s">
        <v>2250</v>
      </c>
      <c r="C64" s="199">
        <f ca="1">D45</f>
        <v>20672</v>
      </c>
      <c r="D64" s="200" t="s">
        <v>32</v>
      </c>
      <c r="E64" s="201"/>
      <c r="F64" s="2492"/>
      <c r="G64" s="2492"/>
      <c r="H64" s="2500"/>
      <c r="I64" s="138"/>
      <c r="J64" s="3153"/>
      <c r="K64" s="2502" t="s">
        <v>2251</v>
      </c>
      <c r="L64" s="1752">
        <f ca="1">IF(M49&gt;2000,M49*0.5%,IF(AND(M49&gt;1000,M49&lt;=2000),M49*0.6%,IF(AND(M49&gt;500,M49&lt;=1000),M49*0.7%,IF(AND(M49&gt;200,M49&lt;=500),M49*0.8%,IF(AND(M49&gt;100,M49&lt;=200),M49*0.9%,IF(AND(M49&gt;50,M49&lt;=100),M49*1%,IF(AND(M49&gt;20,M49&lt;=50),M49*1.5%,IF(AND(M49&gt;10,M49&lt;=20),M49*2%,IF(AND(M49&gt;1,M49&lt;=10),M49*2.5%)))))))))</f>
        <v>103.36</v>
      </c>
      <c r="M64" s="24">
        <f t="shared" ref="M64:M65" ca="1" si="1">ROUND(L64,1)</f>
        <v>103.4</v>
      </c>
      <c r="N64" s="138" t="s">
        <v>2252</v>
      </c>
      <c r="Z64" s="2426"/>
      <c r="AI64" s="2427"/>
    </row>
    <row r="65" spans="1:35" ht="14.25" customHeight="1">
      <c r="A65" s="197" t="s">
        <v>771</v>
      </c>
      <c r="B65" s="198" t="s">
        <v>2253</v>
      </c>
      <c r="C65" s="202"/>
      <c r="D65" s="200"/>
      <c r="E65" s="201"/>
      <c r="F65" s="2492"/>
      <c r="G65" s="2492"/>
      <c r="H65" s="2500"/>
      <c r="I65" s="138"/>
      <c r="J65" s="3153"/>
      <c r="K65" s="2502" t="s">
        <v>2254</v>
      </c>
      <c r="L65" s="1752">
        <f ca="1">IF(M49&gt;1000,M49*0.1%,IF(AND(M49&gt;500,M49&lt;=1000),M49*0.5%,IF(AND(M49&gt;50,M49&lt;=500),M49*1%,IF(AND(M49&gt;1,M49&lt;=50),M49*1.5%))))</f>
        <v>20.672000000000001</v>
      </c>
      <c r="M65" s="24">
        <f t="shared" ca="1" si="1"/>
        <v>20.7</v>
      </c>
      <c r="N65" s="138" t="s">
        <v>2252</v>
      </c>
      <c r="Z65" s="2426"/>
      <c r="AI65" s="2427"/>
    </row>
    <row r="66" spans="1:35" ht="14.25" customHeight="1">
      <c r="A66" s="203" t="s">
        <v>772</v>
      </c>
      <c r="B66" s="204" t="s">
        <v>2255</v>
      </c>
      <c r="C66" s="205"/>
      <c r="D66" s="206" t="s">
        <v>32</v>
      </c>
      <c r="E66" s="1776" t="s">
        <v>1371</v>
      </c>
      <c r="F66" s="2492"/>
      <c r="G66" s="2492"/>
      <c r="H66" s="2500"/>
      <c r="I66" s="138"/>
      <c r="J66" s="3153"/>
      <c r="K66" s="2502" t="s">
        <v>2256</v>
      </c>
      <c r="L66" s="1752">
        <f ca="1">M49*0.5%</f>
        <v>103.36</v>
      </c>
      <c r="M66" s="24">
        <f ca="1">IF(L66&gt;0.5,0.5,ROUND(L66,0))</f>
        <v>0.5</v>
      </c>
      <c r="N66" s="138" t="s">
        <v>2257</v>
      </c>
      <c r="Z66" s="2426"/>
      <c r="AI66" s="2427"/>
    </row>
    <row r="67" spans="1:35" ht="14.25" customHeight="1">
      <c r="A67" s="203" t="s">
        <v>773</v>
      </c>
      <c r="B67" s="204" t="s">
        <v>2258</v>
      </c>
      <c r="C67" s="207">
        <f ca="1">C63-C66</f>
        <v>19688</v>
      </c>
      <c r="D67" s="200" t="s">
        <v>32</v>
      </c>
      <c r="E67" s="201"/>
      <c r="F67" s="2492"/>
      <c r="G67" s="2492"/>
      <c r="H67" s="2500"/>
      <c r="I67" s="138"/>
      <c r="J67" s="3153"/>
      <c r="K67" s="2502" t="s">
        <v>2259</v>
      </c>
      <c r="L67" s="1752">
        <f ca="1">IF(M49&gt;=10000,(8.25+(M49-10000)*0.01%),IF(AND(M49&gt;=8000,M49&lt;10000),(7.85+(M49-8000)*0.02%),IF(AND(M49&gt;=5000,M49&lt;8000),(6.65+(M49-5000)*0.04%),IF(AND(M49&gt;=2000,M49&lt;5000),(4.25+(PM49-2000)*0.08%),IF(AND(M49&gt;=1000,M49&lt;2000),(2.75+(M49-1000)*0.15%),IF(AND(M49&gt;=100,M49&lt;1000),(0.5+(M49-100)*0.25%),IF(AND(M49&gt;0,M49&lt;100),M49*0.5%)))))))</f>
        <v>9.3171999999999997</v>
      </c>
      <c r="M67" s="24">
        <f ca="1">ROUND(L67*0.9,1)</f>
        <v>8.4</v>
      </c>
      <c r="Z67" s="2426"/>
      <c r="AI67" s="2427"/>
    </row>
    <row r="68" spans="1:35" ht="14.25" customHeight="1" thickBot="1">
      <c r="A68" s="208" t="s">
        <v>774</v>
      </c>
      <c r="B68" s="209" t="s">
        <v>2260</v>
      </c>
      <c r="C68" s="210">
        <f ca="1">IF(C67&lt;=0,0,ROUND(C67*D68,0))</f>
        <v>1103</v>
      </c>
      <c r="D68" s="211">
        <f>'数据-取费表'!B41</f>
        <v>5.6000000000000001E-2</v>
      </c>
      <c r="E68" s="212"/>
      <c r="F68" s="2492"/>
      <c r="G68" s="2492"/>
      <c r="H68" s="2500"/>
      <c r="I68" s="138"/>
      <c r="J68" s="3153"/>
      <c r="K68" s="2502" t="s">
        <v>2261</v>
      </c>
      <c r="L68" s="1752">
        <f ca="1">IF(M49&gt;10000,M49*0.5%,IF(AND(M49&gt;5000,M49&lt;=10000),M49*1%,IF(AND(M49&gt;1000,M49&lt;=5000),M49*2%,IF(AND(M49&gt;200,M49&lt;=1000),M49*3%,M49*5%))))</f>
        <v>103.36</v>
      </c>
      <c r="M68" s="24">
        <f ca="1">ROUND(L68,1)</f>
        <v>103.4</v>
      </c>
      <c r="Z68" s="2426"/>
      <c r="AI68" s="2427"/>
    </row>
    <row r="69" spans="1:35" s="2449" customFormat="1" ht="16.5" customHeight="1">
      <c r="A69" s="2503"/>
      <c r="B69" s="2504"/>
      <c r="C69" s="2505"/>
      <c r="D69" s="2506"/>
      <c r="E69" s="2507"/>
      <c r="F69" s="2169"/>
      <c r="G69" s="2169"/>
      <c r="H69" s="2168"/>
      <c r="I69" s="2421"/>
      <c r="J69" s="3153"/>
      <c r="K69" s="2502" t="s">
        <v>2262</v>
      </c>
      <c r="L69" s="2508"/>
      <c r="M69" s="24">
        <f ca="1">ROUND(SUM(M63:M68),0)</f>
        <v>340</v>
      </c>
      <c r="N69" s="1753">
        <f ca="1">M69/M49</f>
        <v>1.6447368421052631E-2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2" t="s">
        <v>2263</v>
      </c>
      <c r="B70" s="3113"/>
      <c r="C70" s="3113"/>
      <c r="D70" s="3113"/>
      <c r="E70" s="3113"/>
      <c r="F70" s="3113"/>
      <c r="G70" s="3113"/>
      <c r="H70" s="311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1" t="s">
        <v>2244</v>
      </c>
      <c r="B71" s="3092"/>
      <c r="C71" s="1804"/>
      <c r="D71" s="1804" t="s">
        <v>2245</v>
      </c>
      <c r="E71" s="213" t="s">
        <v>2246</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2264</v>
      </c>
      <c r="C72" s="207">
        <f ca="1">ROUND(D45/(1+'数据-取费表'!C42),0)</f>
        <v>19688</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2265</v>
      </c>
      <c r="C73" s="207">
        <f ca="1">C74+C78</f>
        <v>118</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2266</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2267</v>
      </c>
      <c r="C75" s="218"/>
      <c r="D75" s="200" t="s">
        <v>32</v>
      </c>
      <c r="E75" s="219" t="s">
        <v>2268</v>
      </c>
      <c r="F75" s="2514" t="s">
        <v>2269</v>
      </c>
      <c r="G75" s="219" t="s">
        <v>2270</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2271</v>
      </c>
      <c r="C76" s="200">
        <f>IF(F75="购房发票",ROUND(C75*H75*D76,0),0)</f>
        <v>0</v>
      </c>
      <c r="D76" s="222">
        <v>0.05</v>
      </c>
      <c r="E76" s="3086" t="s">
        <v>2272</v>
      </c>
      <c r="F76" s="3063"/>
      <c r="G76" s="3063"/>
      <c r="H76" s="311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2273</v>
      </c>
      <c r="C77" s="200">
        <f>ROUND(IF(G77="个人住宅",0,IF(G77="2016年5月1日前购买",C75*D77,C75*D77/(1+'数据-取费表'!C42))),0)</f>
        <v>0</v>
      </c>
      <c r="D77" s="223">
        <f>'数据-取费表'!B48+'数据-取费表'!B49</f>
        <v>3.0499999999999999E-2</v>
      </c>
      <c r="E77" s="15" t="s">
        <v>2274</v>
      </c>
      <c r="F77" s="224"/>
      <c r="G77" s="2516" t="s">
        <v>2275</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2276</v>
      </c>
      <c r="C78" s="225">
        <f ca="1">ROUND(D45*D78/(1+'数据-取费表'!C42),0)</f>
        <v>118</v>
      </c>
      <c r="D78" s="226">
        <f>'数据-取费表'!B43</f>
        <v>6.000000000000001E-3</v>
      </c>
      <c r="E78" s="3072" t="s">
        <v>2277</v>
      </c>
      <c r="F78" s="3073"/>
      <c r="G78" s="3073"/>
      <c r="H78" s="308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2278</v>
      </c>
      <c r="C79" s="207">
        <f ca="1">C72-C73</f>
        <v>19570</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2279</v>
      </c>
      <c r="C80" s="227">
        <f ca="1">IF(C79&lt;=0,0,C79/C73)</f>
        <v>165.84745762711864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2280</v>
      </c>
      <c r="C81" s="228">
        <f ca="1">ROUND(IF(C79&lt;=0,0,IF(C80&gt;=200%,C79*60%-C73*35%,IF(C80&gt;=100%,C79*50%-C73*15%,IF(C80&gt;=50%,C79*40%-C73*5%,IF(C80&lt;50%,C79*30%,0))))),0)</f>
        <v>11701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2" t="s">
        <v>2281</v>
      </c>
      <c r="B83" s="3113"/>
      <c r="C83" s="3113"/>
      <c r="D83" s="3113"/>
      <c r="E83" s="3113"/>
      <c r="F83" s="3113"/>
      <c r="G83" s="3113"/>
      <c r="H83" s="311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1" t="s">
        <v>2244</v>
      </c>
      <c r="B84" s="3092"/>
      <c r="C84" s="1804"/>
      <c r="D84" s="1804" t="s">
        <v>2245</v>
      </c>
      <c r="E84" s="213" t="s">
        <v>2246</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2264</v>
      </c>
      <c r="C85" s="207">
        <f ca="1">ROUND(D45/(1+'数据-取费表'!C42),0)</f>
        <v>19688</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2265</v>
      </c>
      <c r="C86" s="207">
        <f ca="1">IF(H88="仅含出让金",C87+C90+C91+C92+C93+C94,C87+C91+C92+C93+C94)</f>
        <v>118</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2282</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2283</v>
      </c>
      <c r="C88" s="236"/>
      <c r="D88" s="226"/>
      <c r="E88" s="237" t="s">
        <v>2284</v>
      </c>
      <c r="F88" s="1800"/>
      <c r="G88" s="238" t="s">
        <v>2285</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2273</v>
      </c>
      <c r="C89" s="225">
        <f>ROUND(C88*D89,0)</f>
        <v>0</v>
      </c>
      <c r="D89" s="226">
        <f>'数据-取费表'!B48+'数据-取费表'!B49</f>
        <v>3.0499999999999999E-2</v>
      </c>
      <c r="E89" s="237" t="s">
        <v>2286</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2287</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2288</v>
      </c>
      <c r="B91" s="198" t="s">
        <v>2289</v>
      </c>
      <c r="C91" s="225">
        <f>IF(H91="——",成本法!C33,I91)</f>
        <v>0</v>
      </c>
      <c r="D91" s="226"/>
      <c r="E91" s="3072" t="s">
        <v>2290</v>
      </c>
      <c r="F91" s="3073"/>
      <c r="G91" s="3073"/>
      <c r="H91" s="2521" t="s">
        <v>2291</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2292</v>
      </c>
      <c r="B92" s="198" t="s">
        <v>2293</v>
      </c>
      <c r="C92" s="225">
        <f>ROUND((C87+C90+C91)*D92,0)</f>
        <v>0</v>
      </c>
      <c r="D92" s="226">
        <v>0.1</v>
      </c>
      <c r="E92" s="3072" t="s">
        <v>2294</v>
      </c>
      <c r="F92" s="3073"/>
      <c r="G92" s="3073"/>
      <c r="H92" s="308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2295</v>
      </c>
      <c r="B93" s="198" t="s">
        <v>2276</v>
      </c>
      <c r="C93" s="225">
        <f ca="1">ROUND(D45*D93/(1+'数据-取费表'!C42),0)</f>
        <v>118</v>
      </c>
      <c r="D93" s="226">
        <f>'数据-取费表'!B43</f>
        <v>6.000000000000001E-3</v>
      </c>
      <c r="E93" s="3072" t="s">
        <v>2277</v>
      </c>
      <c r="F93" s="3073"/>
      <c r="G93" s="3073"/>
      <c r="H93" s="308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2296</v>
      </c>
      <c r="B94" s="198" t="s">
        <v>2297</v>
      </c>
      <c r="C94" s="236">
        <f>ROUND((C87+C90+C91)*D94,0)</f>
        <v>0</v>
      </c>
      <c r="D94" s="226">
        <v>0.2</v>
      </c>
      <c r="E94" s="3083" t="s">
        <v>2298</v>
      </c>
      <c r="F94" s="3084"/>
      <c r="G94" s="3084"/>
      <c r="H94" s="308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2278</v>
      </c>
      <c r="C95" s="207">
        <f ca="1">ROUND(C85-C86,0)</f>
        <v>19570</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2279</v>
      </c>
      <c r="C96" s="227">
        <f ca="1">IF(C95&lt;=0,0,C95/C86)</f>
        <v>165.84745762711864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2280</v>
      </c>
      <c r="C97" s="228">
        <f ca="1">ROUND(IF(C95&lt;=0,0,IF(C96&gt;=200%,C95*60%-C86*35%,IF(C96&gt;=100%,C95*50%-C86*15%,IF(C96&gt;=50%,C95*40%-C86*5%,IF(C96&lt;50%,C95*30%,0))))),0)</f>
        <v>11701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2299</v>
      </c>
      <c r="B99" s="2421"/>
      <c r="C99" s="2421"/>
      <c r="D99" s="2421"/>
      <c r="E99" s="2169"/>
      <c r="F99" s="2169"/>
      <c r="G99" s="2169"/>
      <c r="H99" s="2168"/>
      <c r="I99" s="138"/>
    </row>
    <row r="100" spans="1:35" ht="18.75" customHeight="1">
      <c r="A100" s="3057" t="s">
        <v>2300</v>
      </c>
      <c r="B100" s="3058"/>
      <c r="C100" s="3058"/>
      <c r="D100" s="3074"/>
      <c r="E100" s="3058" t="s">
        <v>2301</v>
      </c>
      <c r="F100" s="3058"/>
      <c r="G100" s="3058"/>
      <c r="H100" s="3074"/>
      <c r="I100" s="138"/>
    </row>
    <row r="101" spans="1:35" ht="18.75" customHeight="1">
      <c r="A101" s="3136" t="s">
        <v>2302</v>
      </c>
      <c r="B101" s="3137"/>
      <c r="C101" s="736" t="str">
        <f>C4</f>
        <v>成本法</v>
      </c>
      <c r="D101" s="737" t="str">
        <f>D4</f>
        <v>假设开发法</v>
      </c>
      <c r="E101" s="3150" t="s">
        <v>2303</v>
      </c>
      <c r="F101" s="3104"/>
      <c r="G101" s="2523" t="s">
        <v>2304</v>
      </c>
      <c r="H101" s="1048">
        <f ca="1">H118</f>
        <v>20672</v>
      </c>
      <c r="I101" s="138"/>
    </row>
    <row r="102" spans="1:35" ht="18.75" customHeight="1">
      <c r="A102" s="3106" t="s">
        <v>2305</v>
      </c>
      <c r="B102" s="2523" t="s">
        <v>2304</v>
      </c>
      <c r="C102" s="736">
        <f ca="1">C19</f>
        <v>10641</v>
      </c>
      <c r="D102" s="737">
        <f ca="1">D19</f>
        <v>27360</v>
      </c>
      <c r="E102" s="3150"/>
      <c r="F102" s="3104"/>
      <c r="G102" s="2523" t="s">
        <v>2306</v>
      </c>
      <c r="H102" s="371">
        <f ca="1">I118</f>
        <v>6346</v>
      </c>
      <c r="I102" s="138"/>
    </row>
    <row r="103" spans="1:35" ht="42.75" customHeight="1">
      <c r="A103" s="3106"/>
      <c r="B103" s="2523" t="s">
        <v>2306</v>
      </c>
      <c r="C103" s="738">
        <f ca="1">C20</f>
        <v>3267</v>
      </c>
      <c r="D103" s="739">
        <f ca="1">D20</f>
        <v>8400</v>
      </c>
      <c r="E103" s="3145" t="s">
        <v>2307</v>
      </c>
      <c r="F103" s="3146"/>
      <c r="G103" s="2524" t="s">
        <v>2308</v>
      </c>
      <c r="H103" s="1048">
        <f>IF(D36="正常操作",H104+H105+H106,H105+H106)</f>
        <v>0</v>
      </c>
      <c r="I103" s="138"/>
    </row>
    <row r="104" spans="1:35" ht="18.75" customHeight="1">
      <c r="A104" s="3106" t="s">
        <v>2309</v>
      </c>
      <c r="B104" s="2525" t="s">
        <v>2304</v>
      </c>
      <c r="C104" s="740">
        <f ca="1">H118</f>
        <v>20672</v>
      </c>
      <c r="D104" s="741"/>
      <c r="E104" s="2269" t="s">
        <v>2310</v>
      </c>
      <c r="F104" s="2261"/>
      <c r="G104" s="2524" t="s">
        <v>2308</v>
      </c>
      <c r="H104" s="1049">
        <f>IF(D36="同一抵押权人同一抵押物续贷",C36&amp;"（未扣减，详见特别提示）",C36)</f>
        <v>0</v>
      </c>
      <c r="I104" s="138"/>
    </row>
    <row r="105" spans="1:35" ht="18.75" customHeight="1" thickBot="1">
      <c r="A105" s="3107"/>
      <c r="B105" s="2526" t="s">
        <v>2306</v>
      </c>
      <c r="C105" s="742">
        <f ca="1">I118</f>
        <v>6346</v>
      </c>
      <c r="D105" s="743"/>
      <c r="E105" s="2269" t="s">
        <v>2311</v>
      </c>
      <c r="F105" s="2261"/>
      <c r="G105" s="2524" t="s">
        <v>2308</v>
      </c>
      <c r="H105" s="1049">
        <f>C37</f>
        <v>0</v>
      </c>
      <c r="I105" s="138"/>
    </row>
    <row r="106" spans="1:35" ht="18.75" customHeight="1">
      <c r="A106" s="2421" t="s">
        <v>2312</v>
      </c>
      <c r="B106" s="2421"/>
      <c r="C106" s="2421"/>
      <c r="D106" s="2421"/>
      <c r="E106" s="2527" t="s">
        <v>2313</v>
      </c>
      <c r="F106" s="2261"/>
      <c r="G106" s="2524" t="s">
        <v>2308</v>
      </c>
      <c r="H106" s="1049">
        <f>C38</f>
        <v>0</v>
      </c>
      <c r="I106" s="138"/>
    </row>
    <row r="107" spans="1:35" ht="18.75" customHeight="1">
      <c r="A107" s="138"/>
      <c r="B107" s="138"/>
      <c r="C107" s="138"/>
      <c r="D107" s="138"/>
      <c r="E107" s="3103" t="str">
        <f>IF(项目基本情况!E8="已注销","——","3.房地产抵押价值")</f>
        <v>3.房地产抵押价值</v>
      </c>
      <c r="F107" s="3104"/>
      <c r="G107" s="2523" t="s">
        <v>2304</v>
      </c>
      <c r="H107" s="1048">
        <f ca="1">IF(E107="——","——",H101-H103)</f>
        <v>20672</v>
      </c>
      <c r="I107" s="138"/>
    </row>
    <row r="108" spans="1:35" ht="18.75" customHeight="1">
      <c r="A108" s="138"/>
      <c r="B108" s="138"/>
      <c r="C108" s="138"/>
      <c r="D108" s="138"/>
      <c r="E108" s="3103"/>
      <c r="F108" s="3104"/>
      <c r="G108" s="2523" t="s">
        <v>2306</v>
      </c>
      <c r="H108" s="371">
        <f ca="1">ROUND(H107*10000/'数据-汇总表'!E3,0)</f>
        <v>6346</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23" t="s">
        <v>2304</v>
      </c>
      <c r="H109" s="348" t="str">
        <f>IF(E109="——","——",H101-H105-H106)</f>
        <v>——</v>
      </c>
      <c r="I109" s="138"/>
    </row>
    <row r="110" spans="1:35" ht="18.75" customHeight="1">
      <c r="A110" s="138"/>
      <c r="B110" s="138"/>
      <c r="C110" s="138"/>
      <c r="D110" s="138"/>
      <c r="E110" s="3103"/>
      <c r="F110" s="3104"/>
      <c r="G110" s="2523" t="s">
        <v>2306</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23" t="s">
        <v>2304</v>
      </c>
      <c r="H111" s="1048" t="str">
        <f>IF(E111="——","——",N59)</f>
        <v>——</v>
      </c>
      <c r="I111" s="138"/>
    </row>
    <row r="112" spans="1:35" ht="18.75" customHeight="1" thickBot="1">
      <c r="A112" s="138"/>
      <c r="B112" s="138"/>
      <c r="C112" s="138"/>
      <c r="D112" s="138"/>
      <c r="E112" s="3140"/>
      <c r="F112" s="3141"/>
      <c r="G112" s="2528" t="s">
        <v>2306</v>
      </c>
      <c r="H112" s="790" t="str">
        <f>IF(E111="——","——",N61)</f>
        <v>——</v>
      </c>
      <c r="I112" s="138"/>
    </row>
    <row r="113" spans="1:11" ht="18.75" customHeight="1">
      <c r="A113" s="138"/>
      <c r="B113" s="138"/>
      <c r="C113" s="138"/>
      <c r="D113" s="138"/>
      <c r="E113" s="3108" t="s">
        <v>2312</v>
      </c>
      <c r="F113" s="3108"/>
      <c r="G113" s="3108"/>
      <c r="H113" s="3108"/>
      <c r="I113" s="138"/>
    </row>
    <row r="114" spans="1:11" ht="3.75" customHeight="1">
      <c r="A114" s="2421"/>
      <c r="B114" s="2421"/>
      <c r="C114" s="2421"/>
      <c r="D114" s="2421"/>
      <c r="E114" s="2499"/>
      <c r="F114" s="2499"/>
      <c r="G114" s="2499"/>
      <c r="H114" s="2499"/>
      <c r="I114" s="2421"/>
    </row>
    <row r="115" spans="1:11" ht="18.75" customHeight="1">
      <c r="A115" s="3121" t="s">
        <v>2314</v>
      </c>
      <c r="B115" s="3122"/>
      <c r="C115" s="3122"/>
      <c r="D115" s="3122"/>
      <c r="E115" s="3122"/>
      <c r="F115" s="3122"/>
      <c r="G115" s="3122"/>
      <c r="H115" s="3122"/>
      <c r="I115" s="3123"/>
    </row>
    <row r="116" spans="1:11" ht="27" customHeight="1">
      <c r="A116" s="3014" t="s">
        <v>2315</v>
      </c>
      <c r="B116" s="3109" t="s">
        <v>2316</v>
      </c>
      <c r="C116" s="3109" t="s">
        <v>2317</v>
      </c>
      <c r="D116" s="3125" t="s">
        <v>2318</v>
      </c>
      <c r="E116" s="3126"/>
      <c r="F116" s="3117" t="s">
        <v>2319</v>
      </c>
      <c r="G116" s="3117"/>
      <c r="H116" s="3014" t="s">
        <v>2320</v>
      </c>
      <c r="I116" s="3014"/>
    </row>
    <row r="117" spans="1:11" ht="18.75" customHeight="1">
      <c r="A117" s="3014"/>
      <c r="B117" s="3110"/>
      <c r="C117" s="3110"/>
      <c r="D117" s="1798" t="s">
        <v>2321</v>
      </c>
      <c r="E117" s="1798" t="s">
        <v>2322</v>
      </c>
      <c r="F117" s="1798" t="s">
        <v>2321</v>
      </c>
      <c r="G117" s="1798" t="s">
        <v>2323</v>
      </c>
      <c r="H117" s="1798" t="s">
        <v>2321</v>
      </c>
      <c r="I117" s="1798" t="s">
        <v>2323</v>
      </c>
    </row>
    <row r="118" spans="1:11" ht="24.75" customHeight="1">
      <c r="A118" s="2529" t="str">
        <f>项目基本情况!S2</f>
        <v>北京市北京市海淀区永丰产业基地Ⅱ-4-C地段出让国有建设用地使用权及在建建筑物房地产</v>
      </c>
      <c r="B118" s="1798">
        <f>M18</f>
        <v>32573.120000000003</v>
      </c>
      <c r="C118" s="1798">
        <f>M19</f>
        <v>12753.9</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20672</v>
      </c>
      <c r="I118" s="1798">
        <f ca="1">ROUND(IF(D32="楼面单价",C32,H118*10000/B118),0)</f>
        <v>6346</v>
      </c>
    </row>
    <row r="119" spans="1:11" ht="18.75" customHeight="1">
      <c r="A119" s="3014" t="s">
        <v>2324</v>
      </c>
      <c r="B119" s="3014"/>
      <c r="C119" s="3014"/>
      <c r="D119" s="3114" t="e">
        <f ca="1">NUMBERSTRING(INT(D118*10000),2)&amp;"元整"</f>
        <v>#REF!</v>
      </c>
      <c r="E119" s="3116"/>
      <c r="F119" s="3114" t="e">
        <f ca="1">NUMBERSTRING(INT(F118*10000),2)&amp;"元整"</f>
        <v>#REF!</v>
      </c>
      <c r="G119" s="3116"/>
      <c r="H119" s="3114" t="str">
        <f ca="1">NUMBERSTRING(INT(H118*10000),2)&amp;"元整"</f>
        <v>贰亿零陆佰柒拾贰万元整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6" t="str">
        <f>IF(D120=0,"故，本次评估不存在"&amp;A120,"故，本次评估"&amp;A120&amp;"为人民币"&amp;D120&amp;"万元整。")</f>
        <v>故，本次评估不存在估价师知悉的法定优先受偿款</v>
      </c>
    </row>
    <row r="121" spans="1:11" ht="18.75" customHeight="1">
      <c r="A121" s="3118" t="s">
        <v>2324</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20672</v>
      </c>
      <c r="E122" s="3143"/>
      <c r="F122" s="3143"/>
      <c r="G122" s="3143"/>
      <c r="H122" s="3143"/>
      <c r="I122" s="3144"/>
    </row>
    <row r="123" spans="1:11" ht="18.75" customHeight="1">
      <c r="A123" s="3014" t="s">
        <v>2324</v>
      </c>
      <c r="B123" s="3014"/>
      <c r="C123" s="3014"/>
      <c r="D123" s="3114" t="str">
        <f ca="1">NUMBERSTRING(INT(D122*10000),2)&amp;"元整"</f>
        <v>贰亿零陆佰柒拾贰万元整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2324</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2324</v>
      </c>
      <c r="B127" s="3014"/>
      <c r="C127" s="3014"/>
      <c r="D127" s="3114" t="e">
        <f>NUMBERSTRING(INT(D126*10000),2)&amp;"元整"</f>
        <v>#VALUE!</v>
      </c>
      <c r="E127" s="3115"/>
      <c r="F127" s="3115"/>
      <c r="G127" s="3115"/>
      <c r="H127" s="3115"/>
      <c r="I127" s="3116"/>
    </row>
    <row r="128" spans="1:11" ht="21.75" customHeight="1">
      <c r="A128" s="3124" t="s">
        <v>2325</v>
      </c>
      <c r="B128" s="3124"/>
      <c r="C128" s="3124"/>
      <c r="D128" s="3124"/>
      <c r="E128" s="3124"/>
      <c r="F128" s="3124"/>
      <c r="G128" s="3124"/>
      <c r="H128" s="3124"/>
      <c r="I128" s="3124"/>
    </row>
    <row r="129" spans="1:35" ht="21.75" customHeight="1">
      <c r="A129" s="2530" t="s">
        <v>2326</v>
      </c>
      <c r="B129" s="2531"/>
      <c r="C129" s="2532" t="s">
        <v>2327</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2328</v>
      </c>
      <c r="G135" s="2547"/>
      <c r="H135" s="2547"/>
      <c r="I135" s="2548" t="s">
        <v>2329</v>
      </c>
    </row>
    <row r="136" spans="1:35" ht="21.75" customHeight="1">
      <c r="A136" s="795"/>
      <c r="B136" s="2549"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2331</v>
      </c>
    </row>
    <row r="139" spans="1:35" ht="21.75" customHeight="1">
      <c r="A139" s="795"/>
      <c r="B139" s="2549" t="s">
        <v>2332</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2331</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40"/>
      <c r="C1" s="242"/>
      <c r="D1" s="242"/>
      <c r="E1" s="242"/>
      <c r="F1" s="242"/>
      <c r="G1" s="1382">
        <f>MATCH(B1,'数据-取费表'!A6:A16,0)+5</f>
        <v>9</v>
      </c>
    </row>
    <row r="2" spans="1:9" s="244" customFormat="1" ht="18" customHeight="1">
      <c r="A2" s="245" t="s">
        <v>2334</v>
      </c>
      <c r="B2" s="246">
        <f ca="1">IF(D2="——",C52,C52-E2)</f>
        <v>10641</v>
      </c>
      <c r="C2" s="243" t="s">
        <v>2335</v>
      </c>
      <c r="D2" s="2552" t="s">
        <v>70</v>
      </c>
      <c r="E2" s="1443" t="e">
        <f ca="1">SUMIF(INDIRECT("'"&amp;G2&amp;"'"&amp;"!A:A"),"承租人权益价值",INDIRECT("'"&amp;G2&amp;"'"&amp;"!c:c"))</f>
        <v>#REF!</v>
      </c>
      <c r="F2" s="2553" t="s">
        <v>2335</v>
      </c>
      <c r="G2" s="2554"/>
    </row>
    <row r="3" spans="1:9" s="244" customFormat="1" ht="18" customHeight="1" thickBot="1">
      <c r="A3" s="247" t="s">
        <v>2336</v>
      </c>
      <c r="B3" s="248">
        <f ca="1">ROUND(B2*10000/(IF(B1="",'数据-汇总表'!E3,INDIRECT("'数据-取费表'!k"&amp;$G$1))),0)</f>
        <v>3267</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C6+C7+C8</f>
        <v>2971</v>
      </c>
      <c r="D5" s="255" t="s">
        <v>2341</v>
      </c>
      <c r="E5" s="256" t="s">
        <v>2342</v>
      </c>
      <c r="F5" s="256" t="s">
        <v>2343</v>
      </c>
      <c r="G5" s="257"/>
    </row>
    <row r="6" spans="1:9" s="258" customFormat="1" ht="13.5" customHeight="1">
      <c r="A6" s="952" t="s">
        <v>2344</v>
      </c>
      <c r="B6" s="259" t="s">
        <v>2345</v>
      </c>
      <c r="C6" s="260">
        <f>'土地比较法-工业'!B2</f>
        <v>2883</v>
      </c>
      <c r="D6" s="261"/>
      <c r="E6" s="262"/>
      <c r="F6" s="262"/>
      <c r="G6" s="263"/>
    </row>
    <row r="7" spans="1:9" s="258" customFormat="1" ht="13.5" customHeight="1">
      <c r="A7" s="952" t="s">
        <v>2346</v>
      </c>
      <c r="B7" s="259" t="s">
        <v>2347</v>
      </c>
      <c r="C7" s="264">
        <f>ROUND(C6*F7,0)</f>
        <v>88</v>
      </c>
      <c r="D7" s="264"/>
      <c r="E7" s="262"/>
      <c r="F7" s="265">
        <f>'数据-取费表'!B48+'数据-取费表'!B49</f>
        <v>3.0499999999999999E-2</v>
      </c>
      <c r="G7" s="263"/>
    </row>
    <row r="8" spans="1:9" s="267" customFormat="1">
      <c r="A8" s="952" t="s">
        <v>2348</v>
      </c>
      <c r="B8" s="259" t="s">
        <v>2349</v>
      </c>
      <c r="C8" s="264" t="str">
        <f>IF(G8="已包含在土地购买价格中","0",IF(B1="",'数据-取费表'!B29,IF(G9="全部缴纳",C9+C10,H9)))</f>
        <v>0</v>
      </c>
      <c r="D8" s="266"/>
      <c r="E8" s="264"/>
      <c r="F8" s="265"/>
      <c r="G8" s="2555" t="s">
        <v>3140</v>
      </c>
    </row>
    <row r="9" spans="1:9" s="258" customFormat="1" ht="13.5" customHeight="1">
      <c r="A9" s="953" t="s">
        <v>800</v>
      </c>
      <c r="B9" s="268" t="s">
        <v>2350</v>
      </c>
      <c r="C9" s="269">
        <f ca="1">ROUND(D9*E9/10000,0)</f>
        <v>0</v>
      </c>
      <c r="D9" s="1035">
        <f ca="1">IF(B1="",'数据-汇总表'!E5,IF(INDIRECT("'数据-取费表'!c"&amp;$G$1)="住宅",INDIRECT("'数据-取费表'!k"&amp;$G$1),0))</f>
        <v>0</v>
      </c>
      <c r="E9" s="269">
        <f>'数据-取费表'!B27</f>
        <v>0</v>
      </c>
      <c r="F9" s="265"/>
      <c r="G9" s="2556"/>
      <c r="H9" s="1393"/>
      <c r="I9" s="2557" t="s">
        <v>2351</v>
      </c>
    </row>
    <row r="10" spans="1:9" s="258" customFormat="1" ht="13.5" customHeight="1">
      <c r="A10" s="953" t="s">
        <v>801</v>
      </c>
      <c r="B10" s="268" t="s">
        <v>2352</v>
      </c>
      <c r="C10" s="269">
        <f ca="1">ROUND(D10*E10/10000,0)</f>
        <v>651</v>
      </c>
      <c r="D10" s="1035">
        <f ca="1">IF(B1="",'数据-汇总表'!E6,IF(INDIRECT("'数据-取费表'!c"&amp;$G$1)="住宅",INDIRECT("'数据-取费表'!s"&amp;$G$1),INDIRECT("'数据-取费表'!k"&amp;$G$1)+INDIRECT("'数据-取费表'!s"&amp;$G$1)))</f>
        <v>32573.120000000003</v>
      </c>
      <c r="E10" s="269">
        <f>'数据-取费表'!B28</f>
        <v>200</v>
      </c>
      <c r="F10" s="265"/>
      <c r="G10" s="270"/>
    </row>
    <row r="11" spans="1:9" s="258" customFormat="1" ht="13.5" hidden="1" customHeight="1">
      <c r="A11" s="271" t="s">
        <v>7</v>
      </c>
      <c r="B11" s="259" t="s">
        <v>2353</v>
      </c>
      <c r="C11" s="255"/>
      <c r="D11" s="1037"/>
      <c r="E11" s="262"/>
      <c r="F11" s="262"/>
      <c r="G11" s="263"/>
    </row>
    <row r="12" spans="1:9" s="258" customFormat="1" ht="13.5" hidden="1" customHeight="1">
      <c r="A12" s="271" t="s">
        <v>8</v>
      </c>
      <c r="B12" s="259" t="s">
        <v>2354</v>
      </c>
      <c r="C12" s="255">
        <v>0</v>
      </c>
      <c r="D12" s="1037"/>
      <c r="E12" s="272"/>
      <c r="F12" s="265">
        <v>3.0499999999999999E-2</v>
      </c>
      <c r="G12" s="263"/>
    </row>
    <row r="13" spans="1:9" s="258" customFormat="1" ht="13.5" hidden="1" customHeight="1">
      <c r="A13" s="271" t="s">
        <v>9</v>
      </c>
      <c r="B13" s="259" t="s">
        <v>2355</v>
      </c>
      <c r="C13" s="255"/>
      <c r="D13" s="1037"/>
      <c r="E13" s="262"/>
      <c r="F13" s="262"/>
      <c r="G13" s="263"/>
    </row>
    <row r="14" spans="1:9" s="258" customFormat="1" ht="13.5" hidden="1" customHeight="1">
      <c r="A14" s="271" t="s">
        <v>10</v>
      </c>
      <c r="B14" s="259" t="s">
        <v>2356</v>
      </c>
      <c r="C14" s="255"/>
      <c r="D14" s="1037"/>
      <c r="E14" s="262"/>
      <c r="F14" s="262"/>
      <c r="G14" s="263" t="s">
        <v>2357</v>
      </c>
    </row>
    <row r="15" spans="1:9" s="258" customFormat="1" ht="13.5" hidden="1" customHeight="1">
      <c r="A15" s="271" t="s">
        <v>11</v>
      </c>
      <c r="B15" s="259" t="s">
        <v>2358</v>
      </c>
      <c r="C15" s="264"/>
      <c r="D15" s="1037"/>
      <c r="E15" s="262"/>
      <c r="F15" s="262"/>
      <c r="G15" s="263" t="s">
        <v>2359</v>
      </c>
    </row>
    <row r="16" spans="1:9" s="258" customFormat="1" ht="13.5" hidden="1" customHeight="1">
      <c r="A16" s="271" t="s">
        <v>12</v>
      </c>
      <c r="B16" s="259" t="s">
        <v>2356</v>
      </c>
      <c r="C16" s="264"/>
      <c r="D16" s="1037"/>
      <c r="E16" s="262"/>
      <c r="F16" s="262"/>
      <c r="G16" s="263"/>
    </row>
    <row r="17" spans="1:7" s="258" customFormat="1" ht="13.5" hidden="1" customHeight="1">
      <c r="A17" s="271" t="s">
        <v>13</v>
      </c>
      <c r="B17" s="259" t="s">
        <v>2360</v>
      </c>
      <c r="C17" s="273"/>
      <c r="D17" s="1038"/>
      <c r="E17" s="273"/>
      <c r="F17" s="273"/>
      <c r="G17" s="263" t="s">
        <v>2359</v>
      </c>
    </row>
    <row r="18" spans="1:7" s="258" customFormat="1" ht="13.5" hidden="1" customHeight="1">
      <c r="A18" s="271" t="s">
        <v>14</v>
      </c>
      <c r="B18" s="259" t="s">
        <v>2361</v>
      </c>
      <c r="C18" s="264">
        <v>0</v>
      </c>
      <c r="D18" s="1037"/>
      <c r="E18" s="262"/>
      <c r="F18" s="265">
        <v>3.0499999999999999E-2</v>
      </c>
      <c r="G18" s="263" t="s">
        <v>2362</v>
      </c>
    </row>
    <row r="19" spans="1:7" s="267" customFormat="1" ht="13.5" customHeight="1">
      <c r="A19" s="299" t="s">
        <v>2363</v>
      </c>
      <c r="B19" s="254" t="s">
        <v>2364</v>
      </c>
      <c r="C19" s="255" t="str">
        <f>IF(G19="已包含在土地取得成本中","0",ROUND(D19*E19/10000,0))</f>
        <v>0</v>
      </c>
      <c r="D19" s="1039">
        <f ca="1">D9+D10</f>
        <v>32573.120000000003</v>
      </c>
      <c r="E19" s="255">
        <f>'数据-取费表'!B31</f>
        <v>170</v>
      </c>
      <c r="F19" s="275"/>
      <c r="G19" s="2555" t="s">
        <v>3141</v>
      </c>
    </row>
    <row r="20" spans="1:7" s="258" customFormat="1" ht="13.5" customHeight="1">
      <c r="A20" s="299" t="s">
        <v>2365</v>
      </c>
      <c r="B20" s="254" t="s">
        <v>2366</v>
      </c>
      <c r="C20" s="276">
        <f>ROUND((C5+C19)*F20,0)</f>
        <v>59</v>
      </c>
      <c r="D20" s="276"/>
      <c r="E20" s="276"/>
      <c r="F20" s="277">
        <f>'数据-取费表'!B37</f>
        <v>0.02</v>
      </c>
      <c r="G20" s="278" t="s">
        <v>2367</v>
      </c>
    </row>
    <row r="21" spans="1:7" s="258" customFormat="1" ht="13.5" customHeight="1">
      <c r="A21" s="299" t="s">
        <v>2368</v>
      </c>
      <c r="B21" s="254" t="s">
        <v>2369</v>
      </c>
      <c r="C21" s="279">
        <f>F21</f>
        <v>0.02</v>
      </c>
      <c r="D21" s="280" t="s">
        <v>2370</v>
      </c>
      <c r="E21" s="276"/>
      <c r="F21" s="277">
        <f>'数据-取费表'!B38</f>
        <v>0.02</v>
      </c>
      <c r="G21" s="278" t="s">
        <v>2371</v>
      </c>
    </row>
    <row r="22" spans="1:7" s="258" customFormat="1" ht="13.5" customHeight="1">
      <c r="A22" s="299" t="s">
        <v>2372</v>
      </c>
      <c r="B22" s="254" t="s">
        <v>2373</v>
      </c>
      <c r="C22" s="1357">
        <f ca="1">ROUND(SUM(C23:C25),0)</f>
        <v>201</v>
      </c>
      <c r="D22" s="279">
        <f ca="1">C26</f>
        <v>6.9999999999999999E-4</v>
      </c>
      <c r="E22" s="280" t="s">
        <v>2370</v>
      </c>
      <c r="F22" s="281">
        <f ca="1">'数据-取费表'!B40</f>
        <v>4.7500000000000001E-2</v>
      </c>
      <c r="G22" s="278" t="str">
        <f>IF('数据-取费表'!B22&lt;=1,"单利计息","复利计息")</f>
        <v>复利计息</v>
      </c>
    </row>
    <row r="23" spans="1:7" s="258" customFormat="1" ht="13.5" customHeight="1">
      <c r="A23" s="954" t="s">
        <v>2374</v>
      </c>
      <c r="B23" s="259" t="s">
        <v>2375</v>
      </c>
      <c r="C23" s="1358">
        <f ca="1">ROUND(IF('数据-取费表'!B22&lt;=1,C5*F22*'数据-取费表'!B23,C5*(POWER((1+F22),'数据-取费表'!B23)-1)),0)</f>
        <v>199</v>
      </c>
      <c r="D23" s="282"/>
      <c r="E23" s="282"/>
      <c r="F23" s="283"/>
      <c r="G23" s="284" t="s">
        <v>2376</v>
      </c>
    </row>
    <row r="24" spans="1:7" s="258" customFormat="1" ht="13.5" customHeight="1">
      <c r="A24" s="954" t="s">
        <v>2377</v>
      </c>
      <c r="B24" s="259" t="s">
        <v>2378</v>
      </c>
      <c r="C24" s="1358">
        <f ca="1">ROUND(IF('数据-取费表'!B22&lt;=1,C19*F22*('数据-取费表'!B19/2+'数据-取费表'!B21),C19*(POWER((1+F22),('数据-取费表'!B19/2+'数据-取费表'!B21))-1)),0)</f>
        <v>0</v>
      </c>
      <c r="D24" s="282"/>
      <c r="E24" s="282"/>
      <c r="F24" s="283"/>
      <c r="G24" s="284" t="s">
        <v>2379</v>
      </c>
    </row>
    <row r="25" spans="1:7" s="258" customFormat="1" ht="24">
      <c r="A25" s="954" t="s">
        <v>2380</v>
      </c>
      <c r="B25" s="259" t="s">
        <v>2381</v>
      </c>
      <c r="C25" s="1358">
        <f ca="1">ROUND(IF('数据-取费表'!B22&lt;=1,C20*F22*'数据-取费表'!B23/2,C20*(POWER((1+F22),'数据-取费表'!B23/2)-1)),0)</f>
        <v>2</v>
      </c>
      <c r="D25" s="282"/>
      <c r="E25" s="285"/>
      <c r="F25" s="283"/>
      <c r="G25" s="286" t="s">
        <v>2382</v>
      </c>
    </row>
    <row r="26" spans="1:7" s="258" customFormat="1">
      <c r="A26" s="954" t="s">
        <v>795</v>
      </c>
      <c r="B26" s="259" t="s">
        <v>2383</v>
      </c>
      <c r="C26" s="282">
        <f ca="1">ROUND(IF('数据-取费表'!B22&lt;=1,F21*F22*'数据-取费表'!B23/2,F21*(POWER((1+F22),'数据-取费表'!B23/2)-1)),4)</f>
        <v>6.9999999999999999E-4</v>
      </c>
      <c r="D26" s="282"/>
      <c r="E26" s="285"/>
      <c r="F26" s="283"/>
      <c r="G26" s="287"/>
    </row>
    <row r="27" spans="1:7" s="258" customFormat="1" ht="24.75">
      <c r="A27" s="299" t="s">
        <v>2384</v>
      </c>
      <c r="B27" s="288" t="s">
        <v>2385</v>
      </c>
      <c r="C27" s="289">
        <f ca="1">C28</f>
        <v>276</v>
      </c>
      <c r="D27" s="279">
        <f ca="1">C29</f>
        <v>1.8E-3</v>
      </c>
      <c r="E27" s="280" t="s">
        <v>2386</v>
      </c>
      <c r="F27" s="290">
        <f ca="1">IF(B1="",'数据-取费表'!Q16,INDIRECT("'数据-取费表'!q"&amp;$G$1))</f>
        <v>0.13</v>
      </c>
      <c r="G27" s="291" t="s">
        <v>2387</v>
      </c>
    </row>
    <row r="28" spans="1:7" s="258" customFormat="1" ht="13.5" customHeight="1">
      <c r="A28" s="954" t="s">
        <v>791</v>
      </c>
      <c r="B28" s="292" t="s">
        <v>2388</v>
      </c>
      <c r="C28" s="293">
        <f ca="1">ROUND((C5+C19+C20)*F27*'数据-取费表'!B21/'数据-取费表'!B20,0)</f>
        <v>276</v>
      </c>
      <c r="D28" s="279"/>
      <c r="E28" s="280"/>
      <c r="F28" s="290"/>
      <c r="G28" s="291"/>
    </row>
    <row r="29" spans="1:7" s="258" customFormat="1" ht="13.5" customHeight="1">
      <c r="A29" s="954" t="s">
        <v>792</v>
      </c>
      <c r="B29" s="292" t="s">
        <v>2389</v>
      </c>
      <c r="C29" s="282">
        <f ca="1">ROUND(C21*F27*'数据-取费表'!B21/'数据-取费表'!B20,4)</f>
        <v>1.8E-3</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3795</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5328</v>
      </c>
      <c r="D33" s="276"/>
      <c r="E33" s="256"/>
      <c r="F33" s="285"/>
      <c r="G33" s="278"/>
    </row>
    <row r="34" spans="1:7" s="302" customFormat="1" ht="13.5" customHeight="1">
      <c r="A34" s="954" t="s">
        <v>791</v>
      </c>
      <c r="B34" s="259" t="s">
        <v>2397</v>
      </c>
      <c r="C34" s="264">
        <f ca="1">IF(B1="",IF(F34=100%,'数据-取费表'!M16,'数据-取费表'!O16),IF(F34=100%,INDIRECT("'数据-取费表'!m"&amp;$G$1)+INDIRECT("'数据-取费表'!t"&amp;$G$1),INDIRECT("'数据-取费表'!o"&amp;$G$1)+INDIRECT("'数据-取费表'!aq"&amp;$G$1)))</f>
        <v>4756</v>
      </c>
      <c r="D34" s="261"/>
      <c r="E34" s="264"/>
      <c r="F34" s="301">
        <f ca="1">IF('数据-取费表'!B24=0,1,IF(B1="",'数据-取费表'!N16,INDIRECT("'数据-取费表'!n"&amp;$G$1)))</f>
        <v>0.55000000000000004</v>
      </c>
      <c r="G34" s="263" t="s">
        <v>2398</v>
      </c>
    </row>
    <row r="35" spans="1:7" ht="13.5" customHeight="1">
      <c r="A35" s="954" t="s">
        <v>796</v>
      </c>
      <c r="B35" s="259" t="s">
        <v>2399</v>
      </c>
      <c r="C35" s="264">
        <f ca="1">ROUND(C34*F35,0)</f>
        <v>143</v>
      </c>
      <c r="D35" s="264"/>
      <c r="E35" s="264"/>
      <c r="F35" s="303">
        <f>'数据-取费表'!B33</f>
        <v>0.03</v>
      </c>
      <c r="G35" s="263" t="s">
        <v>2400</v>
      </c>
    </row>
    <row r="36" spans="1:7" ht="24">
      <c r="A36" s="954" t="s">
        <v>797</v>
      </c>
      <c r="B36" s="259" t="s">
        <v>2401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2402</v>
      </c>
    </row>
    <row r="37" spans="1:7" s="302" customFormat="1" ht="13.5" customHeight="1">
      <c r="A37" s="954" t="s">
        <v>798</v>
      </c>
      <c r="B37" s="259" t="s">
        <v>2403</v>
      </c>
      <c r="C37" s="293">
        <f ca="1">ROUND(E37*D37*F34/10000,0)</f>
        <v>358</v>
      </c>
      <c r="D37" s="261">
        <f ca="1">D19</f>
        <v>32573.120000000003</v>
      </c>
      <c r="E37" s="293">
        <f>'数据-取费表'!B35</f>
        <v>200</v>
      </c>
      <c r="F37" s="303"/>
      <c r="G37" s="305" t="s">
        <v>2404</v>
      </c>
    </row>
    <row r="38" spans="1:7" ht="13.5" customHeight="1">
      <c r="A38" s="954" t="s">
        <v>799</v>
      </c>
      <c r="B38" s="259" t="s">
        <v>2405</v>
      </c>
      <c r="C38" s="264">
        <f ca="1">ROUND(C34*F38,0)</f>
        <v>71</v>
      </c>
      <c r="D38" s="264"/>
      <c r="E38" s="264"/>
      <c r="F38" s="303">
        <f>'数据-取费表'!B36</f>
        <v>1.4999999999999999E-2</v>
      </c>
      <c r="G38" s="263" t="s">
        <v>2400</v>
      </c>
    </row>
    <row r="39" spans="1:7" s="258" customFormat="1" ht="13.5" customHeight="1">
      <c r="A39" s="299" t="s">
        <v>2406</v>
      </c>
      <c r="B39" s="254" t="s">
        <v>2407</v>
      </c>
      <c r="C39" s="276">
        <f ca="1">ROUND(C33*F20,0)</f>
        <v>107</v>
      </c>
      <c r="D39" s="276"/>
      <c r="E39" s="276"/>
      <c r="F39" s="277"/>
      <c r="G39" s="278" t="s">
        <v>2408</v>
      </c>
    </row>
    <row r="40" spans="1:7" s="258" customFormat="1" ht="13.5" customHeight="1">
      <c r="A40" s="299" t="s">
        <v>2409</v>
      </c>
      <c r="B40" s="254" t="s">
        <v>2410</v>
      </c>
      <c r="C40" s="1731">
        <f>F21</f>
        <v>0.02</v>
      </c>
      <c r="D40" s="280" t="s">
        <v>2411</v>
      </c>
      <c r="E40" s="276"/>
      <c r="F40" s="277"/>
      <c r="G40" s="278" t="s">
        <v>2412</v>
      </c>
    </row>
    <row r="41" spans="1:7" s="258" customFormat="1" ht="13.5" customHeight="1">
      <c r="A41" s="299" t="s">
        <v>2413</v>
      </c>
      <c r="B41" s="254" t="s">
        <v>2414</v>
      </c>
      <c r="C41" s="276">
        <f ca="1">ROUND(SUM(C42:C43),0)</f>
        <v>180</v>
      </c>
      <c r="D41" s="279">
        <f ca="1">C44</f>
        <v>6.9999999999999999E-4</v>
      </c>
      <c r="E41" s="280" t="s">
        <v>2411</v>
      </c>
      <c r="F41" s="281"/>
      <c r="G41" s="278" t="str">
        <f>IF('数据-取费表'!B22&lt;=1,"单利计息","复利计息")</f>
        <v>复利计息</v>
      </c>
    </row>
    <row r="42" spans="1:7" ht="13.5" customHeight="1">
      <c r="A42" s="954" t="s">
        <v>791</v>
      </c>
      <c r="B42" s="259" t="s">
        <v>2415</v>
      </c>
      <c r="C42" s="282">
        <f ca="1">ROUND(IF('数据-取费表'!B22&lt;=1,C33*F22*'数据-取费表'!B21/2,C33*(POWER((1+F22),'数据-取费表'!B21/2)-1)),0)</f>
        <v>176</v>
      </c>
      <c r="D42" s="282"/>
      <c r="E42" s="282"/>
      <c r="F42" s="283"/>
      <c r="G42" s="3156" t="s">
        <v>2416</v>
      </c>
    </row>
    <row r="43" spans="1:7" ht="13.5" customHeight="1">
      <c r="A43" s="954" t="s">
        <v>792</v>
      </c>
      <c r="B43" s="259" t="s">
        <v>2417</v>
      </c>
      <c r="C43" s="282">
        <f ca="1">ROUND(IF('数据-取费表'!B22&lt;=1,C39*F22*'数据-取费表'!B21/2,C39*(POWER((1+F22),'数据-取费表'!B21/2)-1)),0)</f>
        <v>4</v>
      </c>
      <c r="D43" s="282"/>
      <c r="E43" s="282"/>
      <c r="F43" s="283"/>
      <c r="G43" s="3157"/>
    </row>
    <row r="44" spans="1:7" ht="13.5" customHeight="1">
      <c r="A44" s="954" t="s">
        <v>793</v>
      </c>
      <c r="B44" s="259" t="s">
        <v>2418</v>
      </c>
      <c r="C44" s="282">
        <f ca="1">ROUND(IF('数据-取费表'!B22&lt;=1,C40*F22*'数据-取费表'!B21/2,C40*(POWER((1+F22),'数据-取费表'!B21/2)-1)),4)</f>
        <v>6.9999999999999999E-4</v>
      </c>
      <c r="D44" s="282"/>
      <c r="E44" s="282"/>
      <c r="F44" s="283"/>
      <c r="G44" s="3158"/>
    </row>
    <row r="45" spans="1:7" s="258" customFormat="1" ht="13.5" customHeight="1">
      <c r="A45" s="299" t="s">
        <v>2419</v>
      </c>
      <c r="B45" s="288" t="s">
        <v>2385</v>
      </c>
      <c r="C45" s="289">
        <f ca="1">C46</f>
        <v>707</v>
      </c>
      <c r="D45" s="279">
        <f ca="1">C47</f>
        <v>2.5999999999999999E-3</v>
      </c>
      <c r="E45" s="280" t="s">
        <v>2411</v>
      </c>
      <c r="F45" s="290"/>
      <c r="G45" s="291" t="s">
        <v>2420</v>
      </c>
    </row>
    <row r="46" spans="1:7" s="258" customFormat="1" ht="13.5" customHeight="1">
      <c r="A46" s="954" t="s">
        <v>791</v>
      </c>
      <c r="B46" s="292" t="s">
        <v>2421</v>
      </c>
      <c r="C46" s="293">
        <f ca="1">ROUND((C33+C39)*F27,0)</f>
        <v>707</v>
      </c>
      <c r="D46" s="307"/>
      <c r="E46" s="280"/>
      <c r="F46" s="290"/>
      <c r="G46" s="291"/>
    </row>
    <row r="47" spans="1:7" s="258" customFormat="1" ht="13.5" customHeight="1">
      <c r="A47" s="954" t="s">
        <v>792</v>
      </c>
      <c r="B47" s="292" t="s">
        <v>2422</v>
      </c>
      <c r="C47" s="282">
        <f ca="1">ROUND(C40*F27,4)</f>
        <v>2.5999999999999999E-3</v>
      </c>
      <c r="D47" s="307"/>
      <c r="E47" s="280"/>
      <c r="F47" s="290"/>
      <c r="G47" s="291"/>
    </row>
    <row r="48" spans="1:7" s="258" customFormat="1" ht="13.5" customHeight="1">
      <c r="A48" s="299" t="s">
        <v>2384</v>
      </c>
      <c r="B48" s="254" t="s">
        <v>2423</v>
      </c>
      <c r="C48" s="1731">
        <f>ROUND(F30/(1+'数据-取费表'!C42),4)</f>
        <v>5.33E-2</v>
      </c>
      <c r="D48" s="280" t="s">
        <v>2411</v>
      </c>
      <c r="E48" s="276"/>
      <c r="F48" s="281"/>
      <c r="G48" s="278" t="s">
        <v>2424</v>
      </c>
    </row>
    <row r="49" spans="1:7" ht="16.5" customHeight="1">
      <c r="A49" s="299" t="s">
        <v>2390</v>
      </c>
      <c r="B49" s="254" t="s">
        <v>2425</v>
      </c>
      <c r="C49" s="276">
        <f ca="1">ROUND((C33+C39+C41+C45)/(1-C40-D41-D45-C48),0)</f>
        <v>6846</v>
      </c>
      <c r="D49" s="276"/>
      <c r="E49" s="276"/>
      <c r="F49" s="308"/>
      <c r="G49" s="278" t="s">
        <v>2426</v>
      </c>
    </row>
    <row r="50" spans="1:7" s="302" customFormat="1" ht="24">
      <c r="A50" s="299" t="s">
        <v>2427</v>
      </c>
      <c r="B50" s="254" t="s">
        <v>2428</v>
      </c>
      <c r="C50" s="276"/>
      <c r="D50" s="276"/>
      <c r="E50" s="276"/>
      <c r="F50" s="308">
        <f>IF('数据-取费表'!B24=0,'数据-取费表'!N16,1)</f>
        <v>1</v>
      </c>
      <c r="G50" s="291" t="s">
        <v>2429</v>
      </c>
    </row>
    <row r="51" spans="1:7" ht="16.5" customHeight="1">
      <c r="A51" s="299" t="s">
        <v>2430</v>
      </c>
      <c r="B51" s="254" t="s">
        <v>2431</v>
      </c>
      <c r="C51" s="276">
        <f ca="1">ROUND(C49*F50,0)</f>
        <v>6846</v>
      </c>
      <c r="D51" s="276"/>
      <c r="E51" s="276"/>
      <c r="F51" s="308"/>
      <c r="G51" s="278" t="s">
        <v>2432</v>
      </c>
    </row>
    <row r="52" spans="1:7" s="252" customFormat="1" ht="16.5" thickBot="1">
      <c r="A52" s="309" t="s">
        <v>2433</v>
      </c>
      <c r="B52" s="310"/>
      <c r="C52" s="311">
        <f ca="1">C31+C51</f>
        <v>10641</v>
      </c>
      <c r="D52" s="310"/>
      <c r="E52" s="310"/>
      <c r="F52" s="310"/>
      <c r="G52" s="312"/>
    </row>
    <row r="55" spans="1:7" ht="15">
      <c r="B55" s="314" t="s">
        <v>2434</v>
      </c>
      <c r="C55" s="315"/>
    </row>
    <row r="56" spans="1:7">
      <c r="B56" s="317" t="s">
        <v>1513</v>
      </c>
      <c r="C56" s="319">
        <f ca="1">1-C57</f>
        <v>0.35699999999999998</v>
      </c>
    </row>
    <row r="57" spans="1:7">
      <c r="B57" s="317" t="s">
        <v>1514</v>
      </c>
      <c r="C57" s="318">
        <f ca="1">ROUND(C51/C52,3)</f>
        <v>0.64300000000000002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35" sqref="A3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北京市北京市海淀区永丰产业基地Ⅱ-4-C地段出让国有建设用地使用权及在建建筑物房地产抵押价值预评估</v>
      </c>
      <c r="C37" s="2970"/>
      <c r="D37" s="2970"/>
      <c r="E37" s="2970"/>
      <c r="F37" s="2970"/>
      <c r="G37" s="2970"/>
      <c r="H37" s="2970"/>
      <c r="I37" s="297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康正预评字454号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40"/>
      <c r="C1" s="2558" t="s">
        <v>2435</v>
      </c>
      <c r="D1" s="242"/>
      <c r="E1" s="242"/>
      <c r="F1" s="242"/>
      <c r="G1" s="1382">
        <f>MATCH(B1,'数据-取费表'!A6:A16,0)+5</f>
        <v>9</v>
      </c>
      <c r="H1" s="1285" t="str">
        <f>IF(ISERROR(FIND("住宅",B1)),"非住宅","住宅")</f>
        <v>非住宅</v>
      </c>
    </row>
    <row r="2" spans="1:8" s="244" customFormat="1" ht="18" customHeight="1">
      <c r="A2" s="245" t="s">
        <v>2334</v>
      </c>
      <c r="B2" s="246">
        <f ca="1">ROUND(IF(D2="——",C52/10000,C52/10000-E2),0)</f>
        <v>14238</v>
      </c>
      <c r="C2" s="243" t="s">
        <v>2335</v>
      </c>
      <c r="D2" s="2552" t="s">
        <v>70</v>
      </c>
      <c r="E2" s="1443" t="e">
        <f ca="1">SUMIF(INDIRECT("'"&amp;G2&amp;"'"&amp;"!A:A"),"承租人权益价值",INDIRECT("'"&amp;G2&amp;"'"&amp;"!c:c"))</f>
        <v>#REF!</v>
      </c>
      <c r="F2" s="2553" t="s">
        <v>2335</v>
      </c>
      <c r="G2" s="2554"/>
    </row>
    <row r="3" spans="1:8" s="244" customFormat="1" ht="18" customHeight="1" thickBot="1">
      <c r="A3" s="247" t="s">
        <v>2336</v>
      </c>
      <c r="B3" s="248">
        <f ca="1">ROUND(B2*10000/(IF(B1="",'数据-汇总表'!E3,INDIRECT("'数据-取费表'!k"&amp;$G$1))),0)</f>
        <v>4371</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6514624</v>
      </c>
      <c r="D5" s="255" t="s">
        <v>2341</v>
      </c>
      <c r="E5" s="256" t="s">
        <v>2342</v>
      </c>
      <c r="F5" s="256" t="s">
        <v>2343</v>
      </c>
      <c r="G5" s="257"/>
    </row>
    <row r="6" spans="1:8" s="258" customFormat="1" ht="13.5" customHeight="1">
      <c r="A6" s="952" t="s">
        <v>2344</v>
      </c>
      <c r="B6" s="259" t="s">
        <v>2345</v>
      </c>
      <c r="C6" s="260"/>
      <c r="D6" s="261"/>
      <c r="E6" s="262"/>
      <c r="F6" s="262"/>
      <c r="G6" s="263"/>
    </row>
    <row r="7" spans="1:8" s="258" customFormat="1" ht="13.5" customHeight="1">
      <c r="A7" s="952" t="s">
        <v>2346</v>
      </c>
      <c r="B7" s="259" t="s">
        <v>2347</v>
      </c>
      <c r="C7" s="264">
        <f>ROUND(C6*F7,0)</f>
        <v>0</v>
      </c>
      <c r="D7" s="264"/>
      <c r="E7" s="262"/>
      <c r="F7" s="265">
        <f>'数据-取费表'!B48+'数据-取费表'!B49</f>
        <v>3.0499999999999999E-2</v>
      </c>
      <c r="G7" s="263"/>
    </row>
    <row r="8" spans="1:8" s="267" customFormat="1">
      <c r="A8" s="952" t="s">
        <v>2348</v>
      </c>
      <c r="B8" s="259" t="s">
        <v>2349</v>
      </c>
      <c r="C8" s="264">
        <f ca="1">IF(G8="已包含在土地购买价格中",0,C9+C10)</f>
        <v>6514624</v>
      </c>
      <c r="D8" s="266"/>
      <c r="E8" s="264"/>
      <c r="F8" s="265"/>
      <c r="G8" s="2555"/>
    </row>
    <row r="9" spans="1:8" s="258" customFormat="1" ht="13.5" customHeight="1">
      <c r="A9" s="953" t="s">
        <v>800</v>
      </c>
      <c r="B9" s="268" t="s">
        <v>2350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2352</v>
      </c>
      <c r="C10" s="269">
        <f ca="1">ROUND(D10*E10,0)</f>
        <v>6514624</v>
      </c>
      <c r="D10" s="1035">
        <f ca="1">IF(B1="",'数据-汇总表'!E6,IF(INDIRECT("'数据-取费表'!c"&amp;$G$1)="住宅",INDIRECT("'数据-取费表'!s"&amp;$G$1),INDIRECT("'数据-取费表'!k"&amp;$G$1)+INDIRECT("'数据-取费表'!s"&amp;$G$1)))</f>
        <v>32573.120000000003</v>
      </c>
      <c r="E10" s="269">
        <f>'数据-取费表'!B28</f>
        <v>200</v>
      </c>
      <c r="F10" s="265"/>
      <c r="G10" s="270"/>
    </row>
    <row r="11" spans="1:8" s="258" customFormat="1" ht="13.5" hidden="1" customHeight="1">
      <c r="A11" s="271" t="s">
        <v>7</v>
      </c>
      <c r="B11" s="259" t="s">
        <v>2353</v>
      </c>
      <c r="C11" s="255"/>
      <c r="D11" s="1037"/>
      <c r="E11" s="262"/>
      <c r="F11" s="262"/>
      <c r="G11" s="263"/>
    </row>
    <row r="12" spans="1:8" s="258" customFormat="1" ht="13.5" hidden="1" customHeight="1">
      <c r="A12" s="271" t="s">
        <v>8</v>
      </c>
      <c r="B12" s="259" t="s">
        <v>2436</v>
      </c>
      <c r="C12" s="255">
        <v>0</v>
      </c>
      <c r="D12" s="1037"/>
      <c r="E12" s="272"/>
      <c r="F12" s="265">
        <v>3.0499999999999999E-2</v>
      </c>
      <c r="G12" s="263"/>
    </row>
    <row r="13" spans="1:8" s="258" customFormat="1" ht="13.5" hidden="1" customHeight="1">
      <c r="A13" s="271" t="s">
        <v>9</v>
      </c>
      <c r="B13" s="259" t="s">
        <v>2437</v>
      </c>
      <c r="C13" s="255"/>
      <c r="D13" s="1037"/>
      <c r="E13" s="262"/>
      <c r="F13" s="262"/>
      <c r="G13" s="263"/>
    </row>
    <row r="14" spans="1:8" s="258" customFormat="1" ht="13.5" hidden="1" customHeight="1">
      <c r="A14" s="271" t="s">
        <v>10</v>
      </c>
      <c r="B14" s="259" t="s">
        <v>2349</v>
      </c>
      <c r="C14" s="255"/>
      <c r="D14" s="1037"/>
      <c r="E14" s="262"/>
      <c r="F14" s="262"/>
      <c r="G14" s="263" t="s">
        <v>2438</v>
      </c>
    </row>
    <row r="15" spans="1:8" s="258" customFormat="1" ht="13.5" hidden="1" customHeight="1">
      <c r="A15" s="271" t="s">
        <v>11</v>
      </c>
      <c r="B15" s="259" t="s">
        <v>2439</v>
      </c>
      <c r="C15" s="264"/>
      <c r="D15" s="1037"/>
      <c r="E15" s="262"/>
      <c r="F15" s="262"/>
      <c r="G15" s="263" t="s">
        <v>2440</v>
      </c>
    </row>
    <row r="16" spans="1:8" s="258" customFormat="1" ht="13.5" hidden="1" customHeight="1">
      <c r="A16" s="271" t="s">
        <v>12</v>
      </c>
      <c r="B16" s="259" t="s">
        <v>2349</v>
      </c>
      <c r="C16" s="264"/>
      <c r="D16" s="1037"/>
      <c r="E16" s="262"/>
      <c r="F16" s="262"/>
      <c r="G16" s="263"/>
    </row>
    <row r="17" spans="1:7" s="258" customFormat="1" ht="13.5" hidden="1" customHeight="1">
      <c r="A17" s="271" t="s">
        <v>13</v>
      </c>
      <c r="B17" s="259" t="s">
        <v>2441</v>
      </c>
      <c r="C17" s="273"/>
      <c r="D17" s="1038"/>
      <c r="E17" s="273"/>
      <c r="F17" s="273"/>
      <c r="G17" s="263" t="s">
        <v>2440</v>
      </c>
    </row>
    <row r="18" spans="1:7" s="258" customFormat="1" ht="13.5" hidden="1" customHeight="1">
      <c r="A18" s="271" t="s">
        <v>14</v>
      </c>
      <c r="B18" s="259" t="s">
        <v>2442</v>
      </c>
      <c r="C18" s="264">
        <v>0</v>
      </c>
      <c r="D18" s="1037"/>
      <c r="E18" s="262"/>
      <c r="F18" s="265">
        <v>3.0499999999999999E-2</v>
      </c>
      <c r="G18" s="263" t="s">
        <v>2443</v>
      </c>
    </row>
    <row r="19" spans="1:7" s="267" customFormat="1" ht="13.5" customHeight="1">
      <c r="A19" s="299" t="s">
        <v>2444</v>
      </c>
      <c r="B19" s="254" t="s">
        <v>2445</v>
      </c>
      <c r="C19" s="255">
        <f ca="1">IF(G19="已包含在土地取得成本中","0",ROUND(D19*E19,0))</f>
        <v>5537430</v>
      </c>
      <c r="D19" s="1039">
        <f ca="1">D9+D10</f>
        <v>32573.120000000003</v>
      </c>
      <c r="E19" s="255">
        <f>'数据-取费表'!B31</f>
        <v>170</v>
      </c>
      <c r="F19" s="275"/>
      <c r="G19" s="2555"/>
    </row>
    <row r="20" spans="1:7" s="258" customFormat="1" ht="13.5" customHeight="1">
      <c r="A20" s="299" t="s">
        <v>2446</v>
      </c>
      <c r="B20" s="254" t="s">
        <v>2447</v>
      </c>
      <c r="C20" s="276">
        <f ca="1">ROUND((C5+C19)*F20,0)</f>
        <v>241041</v>
      </c>
      <c r="D20" s="276"/>
      <c r="E20" s="276"/>
      <c r="F20" s="277">
        <f>'数据-取费表'!B37</f>
        <v>0.02</v>
      </c>
      <c r="G20" s="278" t="s">
        <v>2448</v>
      </c>
    </row>
    <row r="21" spans="1:7" s="258" customFormat="1" ht="13.5" customHeight="1">
      <c r="A21" s="299" t="s">
        <v>2449</v>
      </c>
      <c r="B21" s="254" t="s">
        <v>2450</v>
      </c>
      <c r="C21" s="279">
        <f>F21</f>
        <v>0.02</v>
      </c>
      <c r="D21" s="280" t="s">
        <v>2451</v>
      </c>
      <c r="E21" s="276"/>
      <c r="F21" s="277">
        <f>'数据-取费表'!B38</f>
        <v>0.02</v>
      </c>
      <c r="G21" s="278" t="s">
        <v>2452</v>
      </c>
    </row>
    <row r="22" spans="1:7" s="258" customFormat="1" ht="13.5" customHeight="1">
      <c r="A22" s="299" t="s">
        <v>2453</v>
      </c>
      <c r="B22" s="254" t="s">
        <v>2454</v>
      </c>
      <c r="C22" s="1383">
        <f ca="1">ROUND(SUM(C23:C25),0)</f>
        <v>1183587</v>
      </c>
      <c r="D22" s="279">
        <f ca="1">C26</f>
        <v>1E-3</v>
      </c>
      <c r="E22" s="280" t="s">
        <v>2451</v>
      </c>
      <c r="F22" s="281">
        <f ca="1">'数据-取费表'!B40</f>
        <v>4.7500000000000001E-2</v>
      </c>
      <c r="G22" s="278" t="str">
        <f>IF('数据-取费表'!B22&lt;=1,"单利计息","复利计息")</f>
        <v>复利计息</v>
      </c>
    </row>
    <row r="23" spans="1:7" s="258" customFormat="1" ht="13.5" customHeight="1">
      <c r="A23" s="954" t="s">
        <v>2344</v>
      </c>
      <c r="B23" s="259" t="s">
        <v>2455</v>
      </c>
      <c r="C23" s="1384">
        <f ca="1">ROUND(IF('数据-取费表'!B22&lt;=1,C5*F22*'数据-取费表'!B22,C5*(POWER((1+F22),'数据-取费表'!B22)-1)),0)</f>
        <v>633588</v>
      </c>
      <c r="D23" s="282"/>
      <c r="E23" s="282"/>
      <c r="F23" s="283"/>
      <c r="G23" s="284" t="s">
        <v>2456</v>
      </c>
    </row>
    <row r="24" spans="1:7" s="258" customFormat="1" ht="13.5" customHeight="1">
      <c r="A24" s="954" t="s">
        <v>2346</v>
      </c>
      <c r="B24" s="259" t="s">
        <v>2457</v>
      </c>
      <c r="C24" s="1384">
        <f ca="1">ROUND(IF('数据-取费表'!B22&lt;=1,C19*F22*('数据-取费表'!B19/2+'数据-取费表'!B20),C19*(POWER((1+F22),('数据-取费表'!B19/2+'数据-取费表'!B20))-1)),0)</f>
        <v>538550</v>
      </c>
      <c r="D24" s="282"/>
      <c r="E24" s="282"/>
      <c r="F24" s="283"/>
      <c r="G24" s="284" t="s">
        <v>2458</v>
      </c>
    </row>
    <row r="25" spans="1:7" s="258" customFormat="1" ht="24">
      <c r="A25" s="954" t="s">
        <v>2348</v>
      </c>
      <c r="B25" s="259" t="s">
        <v>2459</v>
      </c>
      <c r="C25" s="1384">
        <f ca="1">ROUND(IF('数据-取费表'!B22&lt;=1,C20*F22*'数据-取费表'!B22/2,C20*(POWER((1+F22),'数据-取费表'!B22/2)-1)),0)</f>
        <v>11449</v>
      </c>
      <c r="D25" s="282"/>
      <c r="E25" s="285"/>
      <c r="F25" s="283"/>
      <c r="G25" s="286" t="s">
        <v>2460</v>
      </c>
    </row>
    <row r="26" spans="1:7" s="258" customFormat="1">
      <c r="A26" s="954" t="s">
        <v>795</v>
      </c>
      <c r="B26" s="259" t="s">
        <v>2383</v>
      </c>
      <c r="C26" s="282">
        <f ca="1">ROUND(IF('数据-取费表'!B22&lt;=1,F21*F22*'数据-取费表'!B22/2,F21*(POWER((1+F22),'数据-取费表'!B22/2)-1)),4)</f>
        <v>1E-3</v>
      </c>
      <c r="D26" s="282"/>
      <c r="E26" s="285"/>
      <c r="F26" s="283"/>
      <c r="G26" s="287"/>
    </row>
    <row r="27" spans="1:7" s="258" customFormat="1" ht="24.75">
      <c r="A27" s="299" t="s">
        <v>2384</v>
      </c>
      <c r="B27" s="288" t="s">
        <v>2385</v>
      </c>
      <c r="C27" s="289">
        <f ca="1">C28</f>
        <v>1598102</v>
      </c>
      <c r="D27" s="279">
        <f ca="1">C29</f>
        <v>2.5999999999999999E-3</v>
      </c>
      <c r="E27" s="280" t="s">
        <v>2386</v>
      </c>
      <c r="F27" s="290">
        <f ca="1">IF(B1="",'数据-取费表'!Q16,INDIRECT("'数据-取费表'!q"&amp;$G$1))</f>
        <v>0.13</v>
      </c>
      <c r="G27" s="291" t="s">
        <v>2387</v>
      </c>
    </row>
    <row r="28" spans="1:7" s="258" customFormat="1" ht="13.5" customHeight="1">
      <c r="A28" s="954" t="s">
        <v>791</v>
      </c>
      <c r="B28" s="292" t="s">
        <v>2388</v>
      </c>
      <c r="C28" s="293">
        <f ca="1">ROUND((C5+C19+C20)*F27,0)</f>
        <v>1598102</v>
      </c>
      <c r="D28" s="279"/>
      <c r="E28" s="280"/>
      <c r="F28" s="290"/>
      <c r="G28" s="291"/>
    </row>
    <row r="29" spans="1:7" s="258" customFormat="1" ht="13.5" customHeight="1">
      <c r="A29" s="954" t="s">
        <v>792</v>
      </c>
      <c r="B29" s="292" t="s">
        <v>2389</v>
      </c>
      <c r="C29" s="282">
        <f ca="1">ROUND(C21*F27,4)</f>
        <v>2.5999999999999999E-3</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16330608</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96881647</v>
      </c>
      <c r="D33" s="276"/>
      <c r="E33" s="256"/>
      <c r="F33" s="285"/>
      <c r="G33" s="278"/>
    </row>
    <row r="34" spans="1:7" s="302" customFormat="1" ht="13.5" customHeight="1">
      <c r="A34" s="954" t="s">
        <v>791</v>
      </c>
      <c r="B34" s="259" t="s">
        <v>2397</v>
      </c>
      <c r="C34" s="264">
        <f ca="1">ROUND(IF(B1="",SUMPRODUCT('数据-取费表'!K6:K14,'数据-取费表'!L6:L14),INDIRECT("'数据-取费表'!l"&amp;$G$1)*INDIRECT("'数据-取费表'!k"&amp;$G$1)+'数据-取费表'!L14*INDIRECT("'数据-取费表'!S"&amp;$G$1)),0)</f>
        <v>86475620</v>
      </c>
      <c r="D34" s="261"/>
      <c r="E34" s="264"/>
      <c r="F34" s="301"/>
      <c r="G34" s="263"/>
    </row>
    <row r="35" spans="1:7" ht="13.5" customHeight="1">
      <c r="A35" s="954" t="s">
        <v>796</v>
      </c>
      <c r="B35" s="259" t="s">
        <v>2399</v>
      </c>
      <c r="C35" s="264">
        <f ca="1">ROUND(C34*F35,0)</f>
        <v>2594269</v>
      </c>
      <c r="D35" s="264"/>
      <c r="E35" s="264"/>
      <c r="F35" s="303">
        <f>'数据-取费表'!B33</f>
        <v>0.03</v>
      </c>
      <c r="G35" s="263" t="s">
        <v>2400</v>
      </c>
    </row>
    <row r="36" spans="1:7" ht="24">
      <c r="A36" s="954" t="s">
        <v>797</v>
      </c>
      <c r="B36" s="259" t="s">
        <v>2401</v>
      </c>
      <c r="C36" s="264">
        <f ca="1">ROUND(IF(B1="",SUM('数据-取费表'!AP6:AP13)*F36,IF(INDIRECT("'数据-取费表'!c"&amp;$G$1)="住宅",INDIRECT("'数据-取费表'!k"&amp;$G$1)*INDIRECT("'数据-取费表'!l"&amp;$G$1)*F36,0)),0)</f>
        <v>0</v>
      </c>
      <c r="D36" s="264"/>
      <c r="E36" s="264"/>
      <c r="F36" s="303">
        <f>'数据-取费表'!B34</f>
        <v>0</v>
      </c>
      <c r="G36" s="304" t="s">
        <v>2402</v>
      </c>
    </row>
    <row r="37" spans="1:7" s="302" customFormat="1" ht="13.5" customHeight="1">
      <c r="A37" s="954" t="s">
        <v>798</v>
      </c>
      <c r="B37" s="259" t="s">
        <v>2403</v>
      </c>
      <c r="C37" s="293">
        <f ca="1">ROUND(E37*D37,0)</f>
        <v>6514624</v>
      </c>
      <c r="D37" s="261">
        <f ca="1">D19</f>
        <v>32573.120000000003</v>
      </c>
      <c r="E37" s="293">
        <f>'数据-取费表'!B35</f>
        <v>200</v>
      </c>
      <c r="F37" s="303"/>
      <c r="G37" s="305"/>
    </row>
    <row r="38" spans="1:7" ht="13.5" customHeight="1">
      <c r="A38" s="954" t="s">
        <v>799</v>
      </c>
      <c r="B38" s="259" t="s">
        <v>2405</v>
      </c>
      <c r="C38" s="264">
        <f ca="1">ROUND(C34*F38,0)</f>
        <v>1297134</v>
      </c>
      <c r="D38" s="264"/>
      <c r="E38" s="264"/>
      <c r="F38" s="303">
        <f>'数据-取费表'!B36</f>
        <v>1.4999999999999999E-2</v>
      </c>
      <c r="G38" s="263" t="s">
        <v>2400</v>
      </c>
    </row>
    <row r="39" spans="1:7" s="258" customFormat="1" ht="13.5" customHeight="1">
      <c r="A39" s="299" t="s">
        <v>2406</v>
      </c>
      <c r="B39" s="254" t="s">
        <v>2407</v>
      </c>
      <c r="C39" s="276">
        <f ca="1">ROUND(C33*F20,0)</f>
        <v>1937633</v>
      </c>
      <c r="D39" s="276"/>
      <c r="E39" s="276"/>
      <c r="F39" s="277"/>
      <c r="G39" s="278" t="s">
        <v>2408</v>
      </c>
    </row>
    <row r="40" spans="1:7" s="258" customFormat="1" ht="13.5" customHeight="1">
      <c r="A40" s="299" t="s">
        <v>2409</v>
      </c>
      <c r="B40" s="254" t="s">
        <v>2410</v>
      </c>
      <c r="C40" s="1731">
        <f>F21</f>
        <v>0.02</v>
      </c>
      <c r="D40" s="280" t="s">
        <v>2411</v>
      </c>
      <c r="E40" s="276"/>
      <c r="F40" s="277"/>
      <c r="G40" s="278" t="s">
        <v>2412</v>
      </c>
    </row>
    <row r="41" spans="1:7" s="258" customFormat="1" ht="13.5" customHeight="1">
      <c r="A41" s="299" t="s">
        <v>2413</v>
      </c>
      <c r="B41" s="254" t="s">
        <v>2414</v>
      </c>
      <c r="C41" s="276">
        <f ca="1">ROUND(SUM(C42:C43),0)</f>
        <v>4693916</v>
      </c>
      <c r="D41" s="279">
        <f ca="1">C44</f>
        <v>1E-3</v>
      </c>
      <c r="E41" s="280" t="s">
        <v>2411</v>
      </c>
      <c r="F41" s="281"/>
      <c r="G41" s="278" t="str">
        <f>IF('数据-取费表'!B22&lt;=1,"单利计息","复利计息")</f>
        <v>复利计息</v>
      </c>
    </row>
    <row r="42" spans="1:7" ht="13.5" customHeight="1">
      <c r="A42" s="954" t="s">
        <v>791</v>
      </c>
      <c r="B42" s="259" t="s">
        <v>2415</v>
      </c>
      <c r="C42" s="282">
        <f ca="1">ROUND(IF('数据-取费表'!B22&lt;=1,C33*F22*'数据-取费表'!B20/2,C33*(POWER((1+F22),'数据-取费表'!B20/2)-1)),0)</f>
        <v>4601878</v>
      </c>
      <c r="D42" s="282"/>
      <c r="E42" s="282"/>
      <c r="F42" s="283"/>
      <c r="G42" s="3156" t="s">
        <v>2463</v>
      </c>
    </row>
    <row r="43" spans="1:7" ht="13.5" customHeight="1">
      <c r="A43" s="954" t="s">
        <v>792</v>
      </c>
      <c r="B43" s="259" t="s">
        <v>2417</v>
      </c>
      <c r="C43" s="282">
        <f ca="1">ROUND(IF('数据-取费表'!B22&lt;=1,C39*F22*'数据-取费表'!B20/2,C39*(POWER((1+F22),'数据-取费表'!B20/2)-1)),0)</f>
        <v>92038</v>
      </c>
      <c r="D43" s="282"/>
      <c r="E43" s="282"/>
      <c r="F43" s="283"/>
      <c r="G43" s="3157"/>
    </row>
    <row r="44" spans="1:7" ht="13.5" customHeight="1">
      <c r="A44" s="954" t="s">
        <v>793</v>
      </c>
      <c r="B44" s="259" t="s">
        <v>2418</v>
      </c>
      <c r="C44" s="282">
        <f ca="1">ROUND(IF('数据-取费表'!B22&lt;=1,C40*F22*'数据-取费表'!B20/2,C40*(POWER((1+F22),'数据-取费表'!B20/2)-1)),4)</f>
        <v>1E-3</v>
      </c>
      <c r="D44" s="282"/>
      <c r="E44" s="282"/>
      <c r="F44" s="283"/>
      <c r="G44" s="3158"/>
    </row>
    <row r="45" spans="1:7" s="258" customFormat="1" ht="13.5" customHeight="1">
      <c r="A45" s="299" t="s">
        <v>2419</v>
      </c>
      <c r="B45" s="288" t="s">
        <v>2385</v>
      </c>
      <c r="C45" s="289">
        <f ca="1">C46</f>
        <v>12846506</v>
      </c>
      <c r="D45" s="279">
        <f ca="1">C47</f>
        <v>2.5999999999999999E-3</v>
      </c>
      <c r="E45" s="280" t="s">
        <v>2411</v>
      </c>
      <c r="F45" s="290"/>
      <c r="G45" s="291" t="s">
        <v>2420</v>
      </c>
    </row>
    <row r="46" spans="1:7" s="258" customFormat="1" ht="13.5" customHeight="1">
      <c r="A46" s="954" t="s">
        <v>791</v>
      </c>
      <c r="B46" s="292" t="s">
        <v>2421</v>
      </c>
      <c r="C46" s="293">
        <f ca="1">ROUND((C33+C39)*F27,0)</f>
        <v>12846506</v>
      </c>
      <c r="D46" s="307"/>
      <c r="E46" s="280"/>
      <c r="F46" s="290"/>
      <c r="G46" s="291"/>
    </row>
    <row r="47" spans="1:7" s="258" customFormat="1" ht="13.5" customHeight="1">
      <c r="A47" s="954" t="s">
        <v>792</v>
      </c>
      <c r="B47" s="292" t="s">
        <v>2422</v>
      </c>
      <c r="C47" s="282">
        <f ca="1">ROUND(C40*F27,4)</f>
        <v>2.5999999999999999E-3</v>
      </c>
      <c r="D47" s="307"/>
      <c r="E47" s="280"/>
      <c r="F47" s="290"/>
      <c r="G47" s="291"/>
    </row>
    <row r="48" spans="1:7" s="258" customFormat="1" ht="13.5" customHeight="1">
      <c r="A48" s="299" t="s">
        <v>2384</v>
      </c>
      <c r="B48" s="254" t="s">
        <v>2423</v>
      </c>
      <c r="C48" s="306">
        <f>ROUND(F30/(1+'数据-取费表'!C42),4)</f>
        <v>5.33E-2</v>
      </c>
      <c r="D48" s="280" t="s">
        <v>2411</v>
      </c>
      <c r="E48" s="276"/>
      <c r="F48" s="281"/>
      <c r="G48" s="278" t="s">
        <v>2424</v>
      </c>
    </row>
    <row r="49" spans="1:7" ht="16.5" customHeight="1">
      <c r="A49" s="299" t="s">
        <v>2390</v>
      </c>
      <c r="B49" s="254" t="s">
        <v>2464</v>
      </c>
      <c r="C49" s="276">
        <f ca="1">ROUND((C33+C39+C41+C45)/(1-C40-D41-D45-C48),0)</f>
        <v>126053193</v>
      </c>
      <c r="D49" s="276"/>
      <c r="E49" s="276"/>
      <c r="F49" s="308"/>
      <c r="G49" s="278" t="s">
        <v>2426</v>
      </c>
    </row>
    <row r="50" spans="1:7" s="302" customFormat="1">
      <c r="A50" s="299" t="s">
        <v>2427</v>
      </c>
      <c r="B50" s="254" t="s">
        <v>2428</v>
      </c>
      <c r="C50" s="276"/>
      <c r="D50" s="276"/>
      <c r="E50" s="276"/>
      <c r="F50" s="308">
        <f>IF('数据-取费表'!B24=0,'数据-取费表'!N16,1)</f>
        <v>1</v>
      </c>
      <c r="G50" s="291"/>
    </row>
    <row r="51" spans="1:7" ht="16.5" customHeight="1">
      <c r="A51" s="299" t="s">
        <v>2430</v>
      </c>
      <c r="B51" s="254" t="s">
        <v>2465</v>
      </c>
      <c r="C51" s="276">
        <f ca="1">ROUND(C49*F50,0)</f>
        <v>126053193</v>
      </c>
      <c r="D51" s="276"/>
      <c r="E51" s="276"/>
      <c r="F51" s="308"/>
      <c r="G51" s="278" t="s">
        <v>2432</v>
      </c>
    </row>
    <row r="52" spans="1:7" s="252" customFormat="1" ht="16.5" thickBot="1">
      <c r="A52" s="309" t="s">
        <v>2433</v>
      </c>
      <c r="B52" s="310"/>
      <c r="C52" s="311">
        <f ca="1">C31+C51</f>
        <v>142383801</v>
      </c>
      <c r="D52" s="310"/>
      <c r="E52" s="310"/>
      <c r="F52" s="310"/>
      <c r="G52" s="312"/>
    </row>
    <row r="55" spans="1:7" ht="15">
      <c r="B55" s="314" t="s">
        <v>2434</v>
      </c>
      <c r="C55" s="315"/>
    </row>
    <row r="56" spans="1:7">
      <c r="B56" s="317" t="s">
        <v>1513</v>
      </c>
      <c r="C56" s="319">
        <f ca="1">1-C57</f>
        <v>0.11499999999999999</v>
      </c>
    </row>
    <row r="57" spans="1:7">
      <c r="B57" s="317" t="s">
        <v>1514</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G18" sqref="G1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2466</v>
      </c>
      <c r="B1" s="1584"/>
      <c r="C1" s="1585"/>
      <c r="D1" s="1583"/>
      <c r="E1" s="320"/>
      <c r="F1" s="320"/>
      <c r="G1" s="1584"/>
      <c r="H1" s="320"/>
      <c r="I1" s="320"/>
      <c r="J1" s="320"/>
      <c r="K1" s="320">
        <f>MATCH(C1,'数据-取费表'!A6:A16,0)+5</f>
        <v>9</v>
      </c>
    </row>
    <row r="2" spans="1:33" ht="18" customHeight="1">
      <c r="A2" s="245" t="s">
        <v>2334</v>
      </c>
      <c r="B2" s="248">
        <f ca="1">C32</f>
        <v>27360</v>
      </c>
      <c r="C2" s="320" t="s">
        <v>2467</v>
      </c>
      <c r="D2" s="320"/>
      <c r="E2" s="320"/>
      <c r="F2" s="320"/>
      <c r="G2" s="320"/>
      <c r="H2" s="320"/>
      <c r="I2" s="320"/>
      <c r="J2" s="320"/>
      <c r="K2" s="320"/>
    </row>
    <row r="3" spans="1:33" ht="18" customHeight="1" thickBot="1">
      <c r="A3" s="247" t="s">
        <v>2336</v>
      </c>
      <c r="B3" s="248">
        <f ca="1">ROUND(B2*10000/IF(C1="",'数据-汇总表'!E3,INDIRECT("'数据-取费表'!K"&amp;$K$1)),0)</f>
        <v>8400</v>
      </c>
      <c r="C3" s="320" t="s">
        <v>2468</v>
      </c>
      <c r="D3" s="320"/>
      <c r="E3" s="320"/>
      <c r="F3" s="320"/>
      <c r="G3" s="320"/>
      <c r="H3" s="320"/>
      <c r="I3" s="320"/>
      <c r="J3" s="320"/>
      <c r="K3" s="320"/>
    </row>
    <row r="4" spans="1:33" s="959" customFormat="1" ht="16.5" customHeight="1">
      <c r="A4" s="956" t="s">
        <v>2469</v>
      </c>
      <c r="B4" s="957"/>
      <c r="C4" s="999">
        <f ca="1">SUM(C8:K8)</f>
        <v>38454</v>
      </c>
      <c r="D4" s="957"/>
      <c r="E4" s="957"/>
      <c r="F4" s="957"/>
      <c r="G4" s="957"/>
      <c r="H4" s="957"/>
      <c r="I4" s="957"/>
      <c r="J4" s="957"/>
      <c r="K4" s="958"/>
    </row>
    <row r="5" spans="1:33" s="963" customFormat="1" ht="15">
      <c r="A5" s="960" t="s">
        <v>2470</v>
      </c>
      <c r="B5" s="961" t="s">
        <v>2471</v>
      </c>
      <c r="C5" s="2559" t="s">
        <v>3080</v>
      </c>
      <c r="D5" s="2559" t="s">
        <v>3083</v>
      </c>
      <c r="E5" s="2559" t="s">
        <v>2472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f ca="1">'收益法（办公）'!B3</f>
        <v>20511</v>
      </c>
      <c r="D6" s="965">
        <f ca="1">'收益法 (车库)'!B3</f>
        <v>2559</v>
      </c>
      <c r="E6" s="965">
        <f ca="1">'收益法（仓储）'!B3</f>
        <v>4032</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16443.89</v>
      </c>
      <c r="D7" s="321">
        <f>SUMIF('数据-汇总表'!$C19:$C33,假设开发法!D5,'数据-汇总表'!$E19:$E33)</f>
        <v>6269.49</v>
      </c>
      <c r="E7" s="321">
        <f>SUMIF('数据-汇总表'!$C19:$C33,假设开发法!E5,'数据-汇总表'!$E19:$E33)</f>
        <v>8588.09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2476</v>
      </c>
      <c r="B8" s="177" t="s">
        <v>2477</v>
      </c>
      <c r="C8" s="1000">
        <f ca="1">'收益法（办公）'!B2</f>
        <v>33728</v>
      </c>
      <c r="D8" s="1000">
        <f ca="1">'收益法 (车库)'!B2</f>
        <v>2198</v>
      </c>
      <c r="E8" s="1000">
        <f ca="1">'收益法（仓储）'!B2</f>
        <v>2528</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3891</v>
      </c>
      <c r="D11" s="976"/>
      <c r="E11" s="375"/>
      <c r="F11" s="977">
        <f ca="1">1-IF('数据-取费表'!B24=0,1,IF(C1="",'数据-取费表'!N16,INDIRECT("'数据-取费表'!n"&amp;$K$1)))</f>
        <v>0.44999999999999996</v>
      </c>
      <c r="G11" s="8"/>
      <c r="H11" s="971"/>
      <c r="I11" s="971"/>
      <c r="J11" s="971"/>
      <c r="K11" s="972"/>
    </row>
    <row r="12" spans="1:33" s="978" customFormat="1" ht="13.5" customHeight="1">
      <c r="A12" s="974" t="s">
        <v>1335</v>
      </c>
      <c r="B12" s="975" t="s">
        <v>2486</v>
      </c>
      <c r="C12" s="24">
        <f ca="1">ROUND(C11*F12,0)</f>
        <v>117</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1337</v>
      </c>
      <c r="B14" s="975" t="s">
        <v>2490</v>
      </c>
      <c r="C14" s="24">
        <f ca="1">ROUND(D14*E14*F11/10000,0)</f>
        <v>293</v>
      </c>
      <c r="D14" s="1036">
        <f ca="1">IF(C1="",'数据-汇总表'!E3,INDIRECT("'数据-取费表'!K"&amp;$K$1)+INDIRECT("'数据-取费表'!S"&amp;$K$1))</f>
        <v>32573.120000000003</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58</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4359</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98</v>
      </c>
      <c r="D17" s="1036">
        <f ca="1">D14</f>
        <v>32573.120000000003</v>
      </c>
      <c r="E17" s="24">
        <f>'数据-取费表'!B32</f>
        <v>30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651</v>
      </c>
      <c r="D18" s="1036"/>
      <c r="E18" s="24"/>
      <c r="F18" s="979"/>
      <c r="G18" s="2561" t="s">
        <v>3139</v>
      </c>
      <c r="H18" s="1580"/>
      <c r="I18" s="2562"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2500</v>
      </c>
      <c r="C20" s="24">
        <f ca="1">ROUND(D20*E20/10000,0)</f>
        <v>651</v>
      </c>
      <c r="D20" s="1036">
        <f ca="1">IF(C1="",'数据-汇总表'!E6,IF(INDIRECT("'数据-取费表'!c"&amp;$K$1)="住宅",INDIRECT("'数据-取费表'!s"&amp;$K$1),INDIRECT("'数据-取费表'!k"&amp;$K$1)+INDIRECT("'数据-取费表'!s"&amp;$K$1)))</f>
        <v>32573.120000000003</v>
      </c>
      <c r="E20" s="24">
        <f>'数据-取费表'!B28</f>
        <v>200</v>
      </c>
      <c r="F20" s="979"/>
      <c r="G20" s="15"/>
      <c r="H20" s="984"/>
      <c r="I20" s="984"/>
      <c r="J20" s="984"/>
      <c r="K20" s="985"/>
    </row>
    <row r="21" spans="1:33" s="978" customFormat="1" ht="13.5" customHeight="1">
      <c r="A21" s="964" t="s">
        <v>802</v>
      </c>
      <c r="B21" s="988" t="s">
        <v>2501</v>
      </c>
      <c r="C21" s="989">
        <f ca="1">C16+C17+C18</f>
        <v>5108</v>
      </c>
      <c r="D21" s="990"/>
      <c r="E21" s="325"/>
      <c r="F21" s="325"/>
      <c r="G21" s="140" t="s">
        <v>2502</v>
      </c>
      <c r="H21" s="982"/>
      <c r="I21" s="982"/>
      <c r="J21" s="982"/>
      <c r="K21" s="983"/>
    </row>
    <row r="22" spans="1:33" s="978" customFormat="1" ht="13.5" customHeight="1">
      <c r="A22" s="964" t="s">
        <v>2474</v>
      </c>
      <c r="B22" s="988" t="s">
        <v>2503</v>
      </c>
      <c r="C22" s="989">
        <f ca="1">ROUND(C21*F22,0)</f>
        <v>102</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346</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78</v>
      </c>
      <c r="D25" s="324">
        <f ca="1">C26</f>
        <v>2.9100000000000001E-2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2.9100000000000001E-2</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78</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2514</v>
      </c>
      <c r="B28" s="2564" t="s">
        <v>2515</v>
      </c>
      <c r="C28" s="331">
        <f ca="1">C30</f>
        <v>722</v>
      </c>
      <c r="D28" s="324">
        <f ca="1">C29</f>
        <v>4.0099999999999997E-2</v>
      </c>
      <c r="E28" s="326" t="s">
        <v>15</v>
      </c>
      <c r="F28" s="332">
        <f ca="1">IF(C1="",'数据-取费表'!Q16,INDIRECT("'数据-取费表'!q"&amp;$K$1))</f>
        <v>0.13</v>
      </c>
      <c r="G28" s="992"/>
      <c r="H28" s="993"/>
      <c r="I28" s="993"/>
      <c r="J28" s="993"/>
      <c r="K28" s="994"/>
    </row>
    <row r="29" spans="1:33" s="335" customFormat="1" ht="13.5" customHeight="1">
      <c r="A29" s="974" t="s">
        <v>803</v>
      </c>
      <c r="B29" s="997" t="s">
        <v>2516</v>
      </c>
      <c r="C29" s="328">
        <f ca="1">ROUND((1+C24)*F28*'数据-取费表'!B24/'数据-取费表'!B20,4)</f>
        <v>4.0099999999999997E-2</v>
      </c>
      <c r="D29" s="328"/>
      <c r="E29" s="329"/>
      <c r="F29" s="334"/>
      <c r="G29" s="140" t="s">
        <v>2517</v>
      </c>
      <c r="H29" s="982"/>
      <c r="I29" s="982"/>
      <c r="J29" s="982"/>
      <c r="K29" s="983"/>
    </row>
    <row r="30" spans="1:33" s="335" customFormat="1" ht="13.5" customHeight="1">
      <c r="A30" s="974" t="s">
        <v>804</v>
      </c>
      <c r="B30" s="997" t="s">
        <v>2518</v>
      </c>
      <c r="C30" s="336">
        <f ca="1">ROUND((C21+C22+C23)*F28,0)</f>
        <v>722</v>
      </c>
      <c r="D30" s="328"/>
      <c r="E30" s="329"/>
      <c r="F30" s="334"/>
      <c r="G30" s="140"/>
      <c r="H30" s="982"/>
      <c r="I30" s="982"/>
      <c r="J30" s="982"/>
      <c r="K30" s="983"/>
    </row>
    <row r="31" spans="1:33" s="978" customFormat="1" ht="13.5" customHeight="1" thickBot="1">
      <c r="A31" s="2565" t="s">
        <v>2519</v>
      </c>
      <c r="B31" s="1008" t="s">
        <v>2520</v>
      </c>
      <c r="C31" s="1009">
        <f ca="1">ROUND(C4*F31/(1+'数据-取费表'!C42),0)</f>
        <v>2051</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27360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M15" sqref="M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t="s">
        <v>3080</v>
      </c>
      <c r="E1" s="1633"/>
      <c r="F1" s="2589" t="s">
        <v>3133</v>
      </c>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f>IF(C2="——",ROUND(C50*D3/10000,0),ROUND(C50*D3/10000,0)-D2)</f>
        <v>6</v>
      </c>
      <c r="C2" s="2591" t="s">
        <v>70</v>
      </c>
      <c r="D2" s="1368" t="e">
        <f ca="1">SUMIF(INDIRECT("'"&amp;F2&amp;"'"&amp;"!A:A"),"承租人权益价值",INDIRECT("'"&amp;F2&amp;"'"&amp;"!c:c"))</f>
        <v>#REF!</v>
      </c>
      <c r="E2" s="2592" t="s">
        <v>2335</v>
      </c>
      <c r="F2" s="2593" t="s">
        <v>3123</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f>IF(C2="——",C50,ROUND(B2*10000/D3,0))</f>
        <v>3.4</v>
      </c>
      <c r="C3" s="400" t="s">
        <v>2649</v>
      </c>
      <c r="D3" s="399">
        <f>IF(D1="",'数据-汇总表'!E3,SUMIF('数据-汇总表'!$C19:$C33,D1,'数据-汇总表'!$E19:$E33))</f>
        <v>16443.89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77" t="s">
        <v>2651</v>
      </c>
      <c r="D4" s="3178"/>
      <c r="E4" s="3179" t="s">
        <v>2652</v>
      </c>
      <c r="F4" s="3180"/>
      <c r="G4" s="3177" t="s">
        <v>2653</v>
      </c>
      <c r="H4" s="3178"/>
      <c r="I4" s="3177" t="s">
        <v>2654</v>
      </c>
      <c r="J4" s="3178"/>
      <c r="K4" s="610" t="s">
        <v>2655</v>
      </c>
      <c r="L4" s="1133"/>
      <c r="M4" s="1134"/>
      <c r="N4" s="1134"/>
      <c r="O4" s="1134"/>
      <c r="P4" s="3181" t="s">
        <v>2656</v>
      </c>
      <c r="Q4" s="3182"/>
      <c r="R4" s="3187" t="s">
        <v>2652</v>
      </c>
      <c r="S4" s="3188"/>
      <c r="T4" s="3187" t="s">
        <v>2653</v>
      </c>
      <c r="U4" s="3188"/>
      <c r="V4" s="3193" t="s">
        <v>2654</v>
      </c>
      <c r="W4" s="3193"/>
      <c r="X4" s="2675"/>
      <c r="Y4" s="3187" t="s">
        <v>2656</v>
      </c>
      <c r="Z4" s="3188"/>
      <c r="AA4" s="3205" t="s">
        <v>2652</v>
      </c>
      <c r="AB4" s="3205" t="s">
        <v>2653</v>
      </c>
      <c r="AC4" s="3174" t="s">
        <v>2654</v>
      </c>
    </row>
    <row r="5" spans="1:29" ht="15">
      <c r="A5" s="404"/>
      <c r="B5" s="405"/>
      <c r="C5" s="3197" t="s">
        <v>3086</v>
      </c>
      <c r="D5" s="3198"/>
      <c r="E5" s="3208" t="s">
        <v>3087</v>
      </c>
      <c r="F5" s="3209"/>
      <c r="G5" s="3197" t="s">
        <v>3138</v>
      </c>
      <c r="H5" s="3198"/>
      <c r="I5" s="3197" t="s">
        <v>3087</v>
      </c>
      <c r="J5" s="3198"/>
      <c r="K5" s="610"/>
      <c r="L5" s="1133"/>
      <c r="M5" s="1134"/>
      <c r="N5" s="1134"/>
      <c r="O5" s="1134"/>
      <c r="P5" s="3183"/>
      <c r="Q5" s="3184"/>
      <c r="R5" s="3189"/>
      <c r="S5" s="3190"/>
      <c r="T5" s="3189"/>
      <c r="U5" s="3190"/>
      <c r="V5" s="3194"/>
      <c r="W5" s="3194"/>
      <c r="X5" s="1816"/>
      <c r="Y5" s="3189"/>
      <c r="Z5" s="3190"/>
      <c r="AA5" s="3206"/>
      <c r="AB5" s="3206"/>
      <c r="AC5" s="3175"/>
    </row>
    <row r="6" spans="1:29" ht="15.75" thickBot="1">
      <c r="A6" s="406"/>
      <c r="B6" s="407"/>
      <c r="C6" s="3195" t="s">
        <v>2551</v>
      </c>
      <c r="D6" s="3196"/>
      <c r="E6" s="3203" t="s">
        <v>2551</v>
      </c>
      <c r="F6" s="3204"/>
      <c r="G6" s="3195" t="s">
        <v>2551</v>
      </c>
      <c r="H6" s="3196"/>
      <c r="I6" s="3195" t="s">
        <v>2551</v>
      </c>
      <c r="J6" s="3196"/>
      <c r="K6" s="610" t="s">
        <v>2552</v>
      </c>
      <c r="L6" s="1133"/>
      <c r="M6" s="1134"/>
      <c r="N6" s="1134"/>
      <c r="O6" s="1134"/>
      <c r="P6" s="3185"/>
      <c r="Q6" s="3186"/>
      <c r="R6" s="3189"/>
      <c r="S6" s="3190"/>
      <c r="T6" s="3191"/>
      <c r="U6" s="3192"/>
      <c r="V6" s="3194"/>
      <c r="W6" s="3194"/>
      <c r="X6" s="1816"/>
      <c r="Y6" s="3191"/>
      <c r="Z6" s="3192"/>
      <c r="AA6" s="3207"/>
      <c r="AB6" s="3207"/>
      <c r="AC6" s="3176"/>
    </row>
    <row r="7" spans="1:29" s="117" customFormat="1" ht="15.75" thickBot="1">
      <c r="A7" s="408" t="s">
        <v>2553</v>
      </c>
      <c r="B7" s="409"/>
      <c r="C7" s="410">
        <f>'数据-取费表'!B2</f>
        <v>43276</v>
      </c>
      <c r="D7" s="411">
        <v>100</v>
      </c>
      <c r="E7" s="412">
        <f>C7</f>
        <v>43276</v>
      </c>
      <c r="F7" s="413">
        <f>SUMIF(59:59,YEAR(E7)&amp;"-"&amp;MONTH(E7),60:60)</f>
        <v>100</v>
      </c>
      <c r="G7" s="412">
        <f>C7</f>
        <v>43276</v>
      </c>
      <c r="H7" s="411">
        <f>SUMIF(59:59,YEAR(G7)&amp;"-"&amp;MONTH(G7),60:60)</f>
        <v>100</v>
      </c>
      <c r="I7" s="412">
        <f>C7</f>
        <v>43276</v>
      </c>
      <c r="J7" s="411">
        <f>SUMIF(59:59,YEAR(I7)&amp;"-"&amp;MONTH(I7),60:60)</f>
        <v>100</v>
      </c>
      <c r="K7" s="611"/>
      <c r="L7" s="1135"/>
      <c r="M7" s="1136"/>
      <c r="N7" s="1136"/>
      <c r="O7" s="1136"/>
      <c r="P7" s="3199" t="s">
        <v>2554</v>
      </c>
      <c r="Q7" s="3202"/>
      <c r="R7" s="770" t="s">
        <v>17</v>
      </c>
      <c r="S7" s="771">
        <f t="shared" ref="S7:S15" si="0">F7</f>
        <v>100</v>
      </c>
      <c r="T7" s="770" t="s">
        <v>17</v>
      </c>
      <c r="U7" s="771">
        <f t="shared" ref="U7:U15" si="1">H7</f>
        <v>100</v>
      </c>
      <c r="V7" s="770" t="s">
        <v>17</v>
      </c>
      <c r="W7" s="771">
        <f t="shared" ref="W7:W15" si="2">J7</f>
        <v>100</v>
      </c>
      <c r="X7" s="772"/>
      <c r="Y7" s="3201" t="s">
        <v>2554</v>
      </c>
      <c r="Z7" s="3200"/>
      <c r="AA7" s="773">
        <f>D7/F7</f>
        <v>1</v>
      </c>
      <c r="AB7" s="773">
        <f>D7/H7</f>
        <v>1</v>
      </c>
      <c r="AC7" s="2676">
        <f>D7/J7</f>
        <v>1</v>
      </c>
    </row>
    <row r="8" spans="1:29" s="117" customFormat="1" ht="15.75" thickBot="1">
      <c r="A8" s="408" t="s">
        <v>2555</v>
      </c>
      <c r="B8" s="409"/>
      <c r="C8" s="414" t="s">
        <v>2657</v>
      </c>
      <c r="D8" s="411">
        <v>100</v>
      </c>
      <c r="E8" s="414" t="s">
        <v>3063</v>
      </c>
      <c r="F8" s="413">
        <f>SUMIF(62:62,E8,63:63)-SUMIF(62:62,C8,63:63)+100</f>
        <v>100</v>
      </c>
      <c r="G8" s="414" t="s">
        <v>3063</v>
      </c>
      <c r="H8" s="411">
        <f>SUMIF(62:62,G8,63:63)-SUMIF(62:62,C8,63:63)+100</f>
        <v>100</v>
      </c>
      <c r="I8" s="414" t="s">
        <v>3063</v>
      </c>
      <c r="J8" s="411">
        <f>SUMIF(62:62,I8,63:63)-SUMIF(62:62,C8,63:63)+100</f>
        <v>100</v>
      </c>
      <c r="K8" s="611"/>
      <c r="L8" s="1135"/>
      <c r="M8" s="1136"/>
      <c r="N8" s="1136"/>
      <c r="O8" s="1136"/>
      <c r="P8" s="3199" t="s">
        <v>2557</v>
      </c>
      <c r="Q8" s="3200"/>
      <c r="R8" s="770" t="s">
        <v>17</v>
      </c>
      <c r="S8" s="771">
        <f t="shared" si="0"/>
        <v>100</v>
      </c>
      <c r="T8" s="770" t="s">
        <v>17</v>
      </c>
      <c r="U8" s="771">
        <f t="shared" si="1"/>
        <v>100</v>
      </c>
      <c r="V8" s="770" t="s">
        <v>17</v>
      </c>
      <c r="W8" s="771">
        <f t="shared" si="2"/>
        <v>100</v>
      </c>
      <c r="X8" s="772"/>
      <c r="Y8" s="3201" t="s">
        <v>2557</v>
      </c>
      <c r="Z8" s="3200"/>
      <c r="AA8" s="773">
        <f t="shared" ref="AA8:AA47" si="3">D8/F8</f>
        <v>1</v>
      </c>
      <c r="AB8" s="773">
        <f t="shared" ref="AB8:AB47" si="4">D8/H8</f>
        <v>1</v>
      </c>
      <c r="AC8" s="2676">
        <f t="shared" ref="AC8:AC47" si="5">D8/J8</f>
        <v>1</v>
      </c>
    </row>
    <row r="9" spans="1:29" s="117" customFormat="1">
      <c r="A9" s="415" t="s">
        <v>2558</v>
      </c>
      <c r="B9" s="71" t="s">
        <v>2559</v>
      </c>
      <c r="C9" s="2960" t="s">
        <v>3088</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59" t="s">
        <v>2560</v>
      </c>
      <c r="Q9" s="1798" t="str">
        <f t="shared" ref="Q9:Q15" si="6">B9</f>
        <v>用途</v>
      </c>
      <c r="R9" s="770" t="s">
        <v>17</v>
      </c>
      <c r="S9" s="771">
        <f t="shared" si="0"/>
        <v>100</v>
      </c>
      <c r="T9" s="770" t="s">
        <v>17</v>
      </c>
      <c r="U9" s="771">
        <f t="shared" si="1"/>
        <v>100</v>
      </c>
      <c r="V9" s="770" t="s">
        <v>17</v>
      </c>
      <c r="W9" s="771">
        <f t="shared" si="2"/>
        <v>100</v>
      </c>
      <c r="X9" s="772"/>
      <c r="Y9" s="3014" t="s">
        <v>2561</v>
      </c>
      <c r="Z9" s="55" t="str">
        <f t="shared" ref="Z9:Z15" si="7">Q9</f>
        <v>用途</v>
      </c>
      <c r="AA9" s="773">
        <f t="shared" si="3"/>
        <v>1</v>
      </c>
      <c r="AB9" s="773">
        <f t="shared" si="4"/>
        <v>1</v>
      </c>
      <c r="AC9" s="2676">
        <f t="shared" si="5"/>
        <v>1</v>
      </c>
    </row>
    <row r="10" spans="1:29" s="427" customFormat="1" ht="27">
      <c r="A10" s="421"/>
      <c r="B10" s="422" t="s">
        <v>2562</v>
      </c>
      <c r="C10" s="423" t="s">
        <v>3089</v>
      </c>
      <c r="D10" s="136">
        <v>100</v>
      </c>
      <c r="E10" s="423" t="s">
        <v>3089</v>
      </c>
      <c r="F10" s="136">
        <f>SUMIF(66:66,E10,67:67)-SUMIF(66:66,C10,67:67)+100</f>
        <v>100</v>
      </c>
      <c r="G10" s="424" t="s">
        <v>3089</v>
      </c>
      <c r="H10" s="136">
        <f>SUMIF(66:66,G10,67:67)-SUMIF(66:66,C10,67:67)+100</f>
        <v>100</v>
      </c>
      <c r="I10" s="423" t="s">
        <v>3089</v>
      </c>
      <c r="J10" s="136">
        <f>SUMIF(66:66,I10,67:67)-SUMIF(66:66,C10,67:67)+100</f>
        <v>100</v>
      </c>
      <c r="K10" s="612">
        <v>2</v>
      </c>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6">
        <f t="shared" si="5"/>
        <v>1</v>
      </c>
    </row>
    <row r="11" spans="1:29" ht="15">
      <c r="A11" s="428"/>
      <c r="B11" s="422" t="s">
        <v>2563</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41"/>
      <c r="M11" s="1134"/>
      <c r="N11" s="1134"/>
      <c r="O11" s="1134"/>
      <c r="P11" s="3159"/>
      <c r="Q11" s="1798"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2676">
        <f t="shared" si="5"/>
        <v>1</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5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5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59"/>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65" t="s">
        <v>2565</v>
      </c>
      <c r="Q15" s="1813" t="str">
        <f t="shared" si="6"/>
        <v>办公集聚程度</v>
      </c>
      <c r="R15" s="774" t="s">
        <v>17</v>
      </c>
      <c r="S15" s="775">
        <f t="shared" si="0"/>
        <v>100</v>
      </c>
      <c r="T15" s="774" t="s">
        <v>17</v>
      </c>
      <c r="U15" s="775">
        <f t="shared" si="1"/>
        <v>100</v>
      </c>
      <c r="V15" s="774" t="s">
        <v>17</v>
      </c>
      <c r="W15" s="775">
        <f t="shared" si="2"/>
        <v>100</v>
      </c>
      <c r="X15" s="1816"/>
      <c r="Y15" s="3167" t="s">
        <v>2565</v>
      </c>
      <c r="Z15" s="1817" t="str">
        <f t="shared" si="7"/>
        <v>办公集聚程度</v>
      </c>
      <c r="AA15" s="1814">
        <f t="shared" si="3"/>
        <v>1</v>
      </c>
      <c r="AB15" s="1814">
        <f t="shared" si="4"/>
        <v>1</v>
      </c>
      <c r="AC15" s="2679">
        <f t="shared" si="5"/>
        <v>1</v>
      </c>
    </row>
    <row r="16" spans="1:29" ht="15">
      <c r="A16" s="428"/>
      <c r="B16" s="630"/>
      <c r="C16" s="2616" t="s">
        <v>3090</v>
      </c>
      <c r="D16" s="448"/>
      <c r="E16" s="447" t="s">
        <v>3090</v>
      </c>
      <c r="F16" s="448"/>
      <c r="G16" s="2616" t="s">
        <v>3090</v>
      </c>
      <c r="H16" s="450"/>
      <c r="I16" s="447" t="s">
        <v>3090</v>
      </c>
      <c r="J16" s="448"/>
      <c r="K16" s="615"/>
      <c r="L16" s="1143"/>
      <c r="M16" s="1134"/>
      <c r="N16" s="1134"/>
      <c r="O16" s="1134"/>
      <c r="P16" s="3166"/>
      <c r="Q16" s="1813"/>
      <c r="R16" s="774"/>
      <c r="S16" s="775"/>
      <c r="T16" s="774"/>
      <c r="U16" s="775"/>
      <c r="V16" s="774"/>
      <c r="W16" s="775"/>
      <c r="X16" s="1816"/>
      <c r="Y16" s="3168"/>
      <c r="Z16" s="1817"/>
      <c r="AA16" s="1814">
        <v>1</v>
      </c>
      <c r="AB16" s="1814">
        <v>1</v>
      </c>
      <c r="AC16" s="2679">
        <v>1</v>
      </c>
    </row>
    <row r="17" spans="1:29" ht="71.25">
      <c r="A17" s="428"/>
      <c r="B17" s="631" t="s">
        <v>2102</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66"/>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2679">
        <f t="shared" si="5"/>
        <v>1</v>
      </c>
    </row>
    <row r="18" spans="1:29" ht="15">
      <c r="A18" s="428"/>
      <c r="B18" s="632"/>
      <c r="C18" s="2681" t="s">
        <v>3090</v>
      </c>
      <c r="D18" s="450"/>
      <c r="E18" s="2614" t="s">
        <v>3090</v>
      </c>
      <c r="F18" s="450"/>
      <c r="G18" s="2615" t="s">
        <v>3090</v>
      </c>
      <c r="H18" s="448"/>
      <c r="I18" s="2615" t="s">
        <v>3090</v>
      </c>
      <c r="J18" s="448"/>
      <c r="K18" s="615"/>
      <c r="L18" s="1143"/>
      <c r="M18" s="1134"/>
      <c r="N18" s="1134"/>
      <c r="O18" s="1134"/>
      <c r="P18" s="3166"/>
      <c r="Q18" s="1813"/>
      <c r="R18" s="774"/>
      <c r="S18" s="775"/>
      <c r="T18" s="774"/>
      <c r="U18" s="775"/>
      <c r="V18" s="774"/>
      <c r="W18" s="775"/>
      <c r="X18" s="1816"/>
      <c r="Y18" s="3168"/>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2679">
        <f t="shared" si="5"/>
        <v>1</v>
      </c>
    </row>
    <row r="20" spans="1:29" ht="15">
      <c r="A20" s="428"/>
      <c r="B20" s="632"/>
      <c r="C20" s="2616" t="s">
        <v>3090</v>
      </c>
      <c r="D20" s="448"/>
      <c r="E20" s="2609" t="s">
        <v>3090</v>
      </c>
      <c r="F20" s="448"/>
      <c r="G20" s="2610" t="s">
        <v>3090</v>
      </c>
      <c r="H20" s="448"/>
      <c r="I20" s="2610" t="s">
        <v>3090</v>
      </c>
      <c r="J20" s="448"/>
      <c r="K20" s="615"/>
      <c r="L20" s="1143"/>
      <c r="M20" s="1134"/>
      <c r="N20" s="1134"/>
      <c r="O20" s="1134"/>
      <c r="P20" s="3166"/>
      <c r="Q20" s="1813"/>
      <c r="R20" s="774"/>
      <c r="S20" s="775"/>
      <c r="T20" s="774"/>
      <c r="U20" s="775"/>
      <c r="V20" s="774"/>
      <c r="W20" s="775"/>
      <c r="X20" s="1816"/>
      <c r="Y20" s="3168"/>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2679">
        <f t="shared" ref="AC21" si="10">D21/J21</f>
        <v>1</v>
      </c>
    </row>
    <row r="22" spans="1:29" ht="15">
      <c r="A22" s="428"/>
      <c r="B22" s="633"/>
      <c r="C22" s="2681" t="s">
        <v>3092</v>
      </c>
      <c r="D22" s="448"/>
      <c r="E22" s="447" t="s">
        <v>3092</v>
      </c>
      <c r="F22" s="448"/>
      <c r="G22" s="2616" t="s">
        <v>3092</v>
      </c>
      <c r="H22" s="448"/>
      <c r="I22" s="2616" t="s">
        <v>3092</v>
      </c>
      <c r="J22" s="448"/>
      <c r="K22" s="1386"/>
      <c r="L22" s="1143"/>
      <c r="M22" s="1134"/>
      <c r="N22" s="1134"/>
      <c r="O22" s="1134"/>
      <c r="P22" s="3166"/>
      <c r="Q22" s="1813"/>
      <c r="R22" s="774"/>
      <c r="S22" s="775"/>
      <c r="T22" s="774"/>
      <c r="U22" s="775"/>
      <c r="V22" s="774"/>
      <c r="W22" s="775"/>
      <c r="X22" s="1816"/>
      <c r="Y22" s="3168"/>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66"/>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2679">
        <f t="shared" si="5"/>
        <v>1</v>
      </c>
    </row>
    <row r="24" spans="1:29" ht="15">
      <c r="A24" s="428"/>
      <c r="B24" s="633"/>
      <c r="C24" s="2616" t="s">
        <v>3090</v>
      </c>
      <c r="D24" s="448"/>
      <c r="E24" s="2609" t="s">
        <v>3090</v>
      </c>
      <c r="F24" s="448"/>
      <c r="G24" s="2610" t="s">
        <v>3090</v>
      </c>
      <c r="H24" s="448"/>
      <c r="I24" s="2610" t="s">
        <v>3090</v>
      </c>
      <c r="J24" s="448"/>
      <c r="K24" s="615"/>
      <c r="L24" s="1143"/>
      <c r="M24" s="1134"/>
      <c r="N24" s="1134"/>
      <c r="O24" s="1134"/>
      <c r="P24" s="3166"/>
      <c r="Q24" s="1813"/>
      <c r="R24" s="774"/>
      <c r="S24" s="775"/>
      <c r="T24" s="774"/>
      <c r="U24" s="775"/>
      <c r="V24" s="774"/>
      <c r="W24" s="775"/>
      <c r="X24" s="1816"/>
      <c r="Y24" s="3168"/>
      <c r="Z24" s="1817"/>
      <c r="AA24" s="1814">
        <v>1</v>
      </c>
      <c r="AB24" s="1814">
        <v>1</v>
      </c>
      <c r="AC24" s="2679">
        <v>1</v>
      </c>
    </row>
    <row r="25" spans="1:29" ht="28.5">
      <c r="A25" s="404"/>
      <c r="B25" s="631" t="s">
        <v>2696</v>
      </c>
      <c r="C25" s="2964" t="s">
        <v>3121</v>
      </c>
      <c r="D25" s="435">
        <v>100</v>
      </c>
      <c r="E25" s="2965" t="str">
        <f>C25</f>
        <v>城市支路-丰润东路</v>
      </c>
      <c r="F25" s="435">
        <f>SUMIF(87:87,E26,88:88)-SUMIF(87:87,C26,88:88)+100</f>
        <v>100</v>
      </c>
      <c r="G25" s="2620" t="s">
        <v>3122</v>
      </c>
      <c r="H25" s="435">
        <f>SUMIF(87:87,G26,88:88)-SUMIF(87:87,C26,88:88)+100</f>
        <v>100</v>
      </c>
      <c r="I25" s="434" t="str">
        <f>C25</f>
        <v>城市支路-丰润东路</v>
      </c>
      <c r="J25" s="435">
        <f>SUMIF(87:87,I26,88:88)-SUMIF(87:87,C26,88:88)+100</f>
        <v>100</v>
      </c>
      <c r="K25" s="614">
        <v>2</v>
      </c>
      <c r="L25" s="1143"/>
      <c r="M25" s="1134"/>
      <c r="N25" s="1134"/>
      <c r="O25" s="1134"/>
      <c r="P25" s="3166"/>
      <c r="Q25" s="1813" t="str">
        <f>B25</f>
        <v>毗邻道路的类型与等级</v>
      </c>
      <c r="R25" s="774" t="s">
        <v>17</v>
      </c>
      <c r="S25" s="775">
        <f>F25</f>
        <v>100</v>
      </c>
      <c r="T25" s="774" t="s">
        <v>17</v>
      </c>
      <c r="U25" s="775">
        <f>H25</f>
        <v>100</v>
      </c>
      <c r="V25" s="774" t="s">
        <v>17</v>
      </c>
      <c r="W25" s="775">
        <f>J25</f>
        <v>100</v>
      </c>
      <c r="X25" s="1816"/>
      <c r="Y25" s="3168"/>
      <c r="Z25" s="1817" t="str">
        <f>Q25</f>
        <v>毗邻道路的类型与等级</v>
      </c>
      <c r="AA25" s="1814">
        <f t="shared" si="3"/>
        <v>1</v>
      </c>
      <c r="AB25" s="1814">
        <f t="shared" si="4"/>
        <v>1</v>
      </c>
      <c r="AC25" s="2679">
        <f t="shared" si="5"/>
        <v>1</v>
      </c>
    </row>
    <row r="26" spans="1:29" ht="15">
      <c r="A26" s="404"/>
      <c r="B26" s="632"/>
      <c r="C26" s="634" t="s">
        <v>3127</v>
      </c>
      <c r="D26" s="435"/>
      <c r="E26" s="616" t="s">
        <v>3127</v>
      </c>
      <c r="F26" s="435"/>
      <c r="G26" s="634" t="s">
        <v>3127</v>
      </c>
      <c r="H26" s="435"/>
      <c r="I26" s="616" t="s">
        <v>3127</v>
      </c>
      <c r="J26" s="435"/>
      <c r="K26" s="615"/>
      <c r="L26" s="1143"/>
      <c r="M26" s="1134"/>
      <c r="N26" s="1134"/>
      <c r="O26" s="1134"/>
      <c r="P26" s="3166"/>
      <c r="Q26" s="1813"/>
      <c r="R26" s="774"/>
      <c r="S26" s="775"/>
      <c r="T26" s="774"/>
      <c r="U26" s="775"/>
      <c r="V26" s="774"/>
      <c r="W26" s="775"/>
      <c r="X26" s="1816"/>
      <c r="Y26" s="3168"/>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6"/>
      <c r="Q27" s="1813" t="str">
        <f t="shared" ref="Q27:Q47" si="11">B27</f>
        <v>楼层</v>
      </c>
      <c r="R27" s="774" t="s">
        <v>17</v>
      </c>
      <c r="S27" s="775">
        <f>F27</f>
        <v>100</v>
      </c>
      <c r="T27" s="774" t="s">
        <v>17</v>
      </c>
      <c r="U27" s="775">
        <f>H27</f>
        <v>100</v>
      </c>
      <c r="V27" s="774" t="s">
        <v>17</v>
      </c>
      <c r="W27" s="775">
        <f>J27</f>
        <v>100</v>
      </c>
      <c r="X27" s="1816"/>
      <c r="Y27" s="3168"/>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6"/>
      <c r="Q28" s="1798" t="str">
        <f t="shared" si="11"/>
        <v>朝向</v>
      </c>
      <c r="R28" s="770" t="s">
        <v>17</v>
      </c>
      <c r="S28" s="771">
        <f>F28</f>
        <v>100</v>
      </c>
      <c r="T28" s="770" t="s">
        <v>17</v>
      </c>
      <c r="U28" s="771">
        <f>H28</f>
        <v>100</v>
      </c>
      <c r="V28" s="770" t="s">
        <v>17</v>
      </c>
      <c r="W28" s="771">
        <f>J28</f>
        <v>100</v>
      </c>
      <c r="X28" s="772"/>
      <c r="Y28" s="3168"/>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6"/>
      <c r="Q29" s="1813">
        <f t="shared" si="11"/>
        <v>111</v>
      </c>
      <c r="R29" s="774" t="s">
        <v>17</v>
      </c>
      <c r="S29" s="775">
        <f t="shared" ref="S29:S47" si="12">F29</f>
        <v>100</v>
      </c>
      <c r="T29" s="774" t="s">
        <v>17</v>
      </c>
      <c r="U29" s="775">
        <f t="shared" ref="U29:U47" si="13">H29</f>
        <v>100</v>
      </c>
      <c r="V29" s="774" t="s">
        <v>17</v>
      </c>
      <c r="W29" s="775">
        <f t="shared" ref="W29:W47" si="14">J29</f>
        <v>100</v>
      </c>
      <c r="X29" s="1816"/>
      <c r="Y29" s="3168"/>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6"/>
      <c r="Q32" s="1813">
        <f t="shared" si="11"/>
        <v>111</v>
      </c>
      <c r="R32" s="774" t="s">
        <v>17</v>
      </c>
      <c r="S32" s="775">
        <f t="shared" si="12"/>
        <v>100</v>
      </c>
      <c r="T32" s="774" t="s">
        <v>17</v>
      </c>
      <c r="U32" s="775">
        <f t="shared" si="13"/>
        <v>100</v>
      </c>
      <c r="V32" s="774" t="s">
        <v>17</v>
      </c>
      <c r="W32" s="775">
        <f t="shared" si="14"/>
        <v>100</v>
      </c>
      <c r="X32" s="1816"/>
      <c r="Y32" s="3168"/>
      <c r="Z32" s="1817">
        <f t="shared" si="15"/>
        <v>111</v>
      </c>
      <c r="AA32" s="1814">
        <f t="shared" si="3"/>
        <v>1</v>
      </c>
      <c r="AB32" s="1814">
        <f t="shared" si="4"/>
        <v>1</v>
      </c>
      <c r="AC32" s="2679">
        <f t="shared" si="5"/>
        <v>1</v>
      </c>
    </row>
    <row r="33" spans="1:29" ht="15">
      <c r="A33" s="440" t="s">
        <v>2568</v>
      </c>
      <c r="B33" s="71" t="s">
        <v>2698</v>
      </c>
      <c r="C33" s="2684" t="s">
        <v>3119</v>
      </c>
      <c r="D33" s="467">
        <v>100</v>
      </c>
      <c r="E33" s="2684" t="s">
        <v>3119</v>
      </c>
      <c r="F33" s="461">
        <f>SUMIF(101:101,E33,102:102)-SUMIF(101:101,C33,102:102)+100</f>
        <v>100</v>
      </c>
      <c r="G33" s="2684" t="s">
        <v>3119</v>
      </c>
      <c r="H33" s="435">
        <f>SUMIF(101:101,G33,102:102)-SUMIF(101:101,C33,102:102)+100</f>
        <v>100</v>
      </c>
      <c r="I33" s="2684" t="s">
        <v>3119</v>
      </c>
      <c r="J33" s="467">
        <f>SUMIF(101:101,I33,102:102)-SUMIF(101:101,C33,102:102)+100</f>
        <v>100</v>
      </c>
      <c r="K33" s="612">
        <v>2</v>
      </c>
      <c r="L33" s="1143"/>
      <c r="M33" s="1134"/>
      <c r="N33" s="1134"/>
      <c r="O33" s="1134"/>
      <c r="P33" s="3169" t="s">
        <v>2570</v>
      </c>
      <c r="Q33" s="1813" t="str">
        <f t="shared" si="11"/>
        <v>建筑类型</v>
      </c>
      <c r="R33" s="774" t="s">
        <v>17</v>
      </c>
      <c r="S33" s="775">
        <f t="shared" si="12"/>
        <v>100</v>
      </c>
      <c r="T33" s="774" t="s">
        <v>17</v>
      </c>
      <c r="U33" s="775">
        <f t="shared" si="13"/>
        <v>100</v>
      </c>
      <c r="V33" s="774" t="s">
        <v>17</v>
      </c>
      <c r="W33" s="775">
        <f t="shared" si="14"/>
        <v>100</v>
      </c>
      <c r="X33" s="1816"/>
      <c r="Y33" s="3172" t="s">
        <v>2570</v>
      </c>
      <c r="Z33" s="1817" t="str">
        <f t="shared" si="15"/>
        <v>建筑类型</v>
      </c>
      <c r="AA33" s="1814">
        <f t="shared" si="3"/>
        <v>1</v>
      </c>
      <c r="AB33" s="1814">
        <f t="shared" si="4"/>
        <v>1</v>
      </c>
      <c r="AC33" s="2679">
        <f t="shared" si="5"/>
        <v>1</v>
      </c>
    </row>
    <row r="34" spans="1:29" s="471" customFormat="1" ht="15">
      <c r="A34" s="468"/>
      <c r="B34" s="422" t="s">
        <v>2571</v>
      </c>
      <c r="C34" s="469">
        <v>16443.89</v>
      </c>
      <c r="D34" s="136">
        <v>100</v>
      </c>
      <c r="E34" s="430">
        <v>265</v>
      </c>
      <c r="F34" s="425">
        <f>LOOKUP(E34,104:104,105:105)-LOOKUP(C34,104:104,105:105)+100</f>
        <v>108</v>
      </c>
      <c r="G34" s="429">
        <v>950</v>
      </c>
      <c r="H34" s="136">
        <f>LOOKUP(G34,104:104,105:105)-LOOKUP(C34,104:104,105:105)+100</f>
        <v>108</v>
      </c>
      <c r="I34" s="429">
        <v>300</v>
      </c>
      <c r="J34" s="136">
        <f>LOOKUP(I34,104:104,105:105)-LOOKUP(C34,104:104,105:105)+100</f>
        <v>108</v>
      </c>
      <c r="K34" s="613"/>
      <c r="L34" s="1141"/>
      <c r="M34" s="1144"/>
      <c r="N34" s="1144"/>
      <c r="O34" s="1144"/>
      <c r="P34" s="3170"/>
      <c r="Q34" s="776" t="str">
        <f t="shared" si="11"/>
        <v>项目建筑规模</v>
      </c>
      <c r="R34" s="777" t="s">
        <v>17</v>
      </c>
      <c r="S34" s="778">
        <f t="shared" si="12"/>
        <v>108</v>
      </c>
      <c r="T34" s="777" t="s">
        <v>17</v>
      </c>
      <c r="U34" s="778">
        <f t="shared" si="13"/>
        <v>108</v>
      </c>
      <c r="V34" s="777" t="s">
        <v>17</v>
      </c>
      <c r="W34" s="778">
        <f t="shared" si="14"/>
        <v>108</v>
      </c>
      <c r="X34" s="779"/>
      <c r="Y34" s="3172"/>
      <c r="Z34" s="780" t="str">
        <f t="shared" si="15"/>
        <v>项目建筑规模</v>
      </c>
      <c r="AA34" s="1814">
        <f t="shared" si="3"/>
        <v>0.92592592592592593</v>
      </c>
      <c r="AB34" s="1814">
        <f t="shared" si="4"/>
        <v>0.92592592592592593</v>
      </c>
      <c r="AC34" s="2679">
        <f t="shared" si="5"/>
        <v>0.92592592592592593</v>
      </c>
    </row>
    <row r="35" spans="1:29" ht="15">
      <c r="A35" s="472"/>
      <c r="B35" s="422" t="s">
        <v>2572</v>
      </c>
      <c r="C35" s="460" t="s">
        <v>3093</v>
      </c>
      <c r="D35" s="435">
        <v>100</v>
      </c>
      <c r="E35" s="460" t="s">
        <v>3093</v>
      </c>
      <c r="F35" s="461">
        <f>SUMIF(106:106,E35,107:107)-SUMIF(106:106,C35,107:107)+100</f>
        <v>100</v>
      </c>
      <c r="G35" s="460" t="s">
        <v>3093</v>
      </c>
      <c r="H35" s="435">
        <f>SUMIF(106:106,G35,107:107)-SUMIF(106:106,C35,107:107)+100</f>
        <v>100</v>
      </c>
      <c r="I35" s="460" t="s">
        <v>3093</v>
      </c>
      <c r="J35" s="435">
        <f>SUMIF(106:106,I35,107:107)-SUMIF(106:106,C35,107:107)+100</f>
        <v>100</v>
      </c>
      <c r="K35" s="612">
        <v>2</v>
      </c>
      <c r="L35" s="1143"/>
      <c r="M35" s="1134"/>
      <c r="N35" s="1134"/>
      <c r="O35" s="1134"/>
      <c r="P35" s="3170"/>
      <c r="Q35" s="1813" t="str">
        <f t="shared" si="11"/>
        <v>建筑结构</v>
      </c>
      <c r="R35" s="774" t="s">
        <v>17</v>
      </c>
      <c r="S35" s="775">
        <f t="shared" si="12"/>
        <v>100</v>
      </c>
      <c r="T35" s="774" t="s">
        <v>17</v>
      </c>
      <c r="U35" s="775">
        <f t="shared" si="13"/>
        <v>100</v>
      </c>
      <c r="V35" s="774" t="s">
        <v>17</v>
      </c>
      <c r="W35" s="775">
        <f t="shared" si="14"/>
        <v>100</v>
      </c>
      <c r="X35" s="1816"/>
      <c r="Y35" s="3172"/>
      <c r="Z35" s="1817" t="str">
        <f t="shared" si="15"/>
        <v>建筑结构</v>
      </c>
      <c r="AA35" s="1814">
        <f t="shared" si="3"/>
        <v>1</v>
      </c>
      <c r="AB35" s="1814">
        <f t="shared" si="4"/>
        <v>1</v>
      </c>
      <c r="AC35" s="2679">
        <f t="shared" si="5"/>
        <v>1</v>
      </c>
    </row>
    <row r="36" spans="1:29" ht="15">
      <c r="A36" s="472"/>
      <c r="B36" s="422" t="s">
        <v>2666</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v>2</v>
      </c>
      <c r="L36" s="1143"/>
      <c r="M36" s="1134"/>
      <c r="N36" s="1134"/>
      <c r="O36" s="1134"/>
      <c r="P36" s="3170"/>
      <c r="Q36" s="1813" t="str">
        <f t="shared" si="11"/>
        <v>公共部分装修</v>
      </c>
      <c r="R36" s="774" t="s">
        <v>17</v>
      </c>
      <c r="S36" s="775">
        <f t="shared" si="12"/>
        <v>100</v>
      </c>
      <c r="T36" s="774" t="s">
        <v>17</v>
      </c>
      <c r="U36" s="775">
        <f t="shared" si="13"/>
        <v>100</v>
      </c>
      <c r="V36" s="774" t="s">
        <v>17</v>
      </c>
      <c r="W36" s="775">
        <f t="shared" si="14"/>
        <v>100</v>
      </c>
      <c r="X36" s="1816"/>
      <c r="Y36" s="3172"/>
      <c r="Z36" s="1817" t="str">
        <f t="shared" si="15"/>
        <v>公共部分装修</v>
      </c>
      <c r="AA36" s="1814">
        <f t="shared" si="3"/>
        <v>1</v>
      </c>
      <c r="AB36" s="1814">
        <f t="shared" si="4"/>
        <v>1</v>
      </c>
      <c r="AC36" s="2679">
        <f t="shared" si="5"/>
        <v>1</v>
      </c>
    </row>
    <row r="37" spans="1:29" ht="15">
      <c r="A37" s="472"/>
      <c r="B37" s="422" t="s">
        <v>2667</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3"/>
      <c r="M37" s="1134"/>
      <c r="N37" s="1134"/>
      <c r="O37" s="1134"/>
      <c r="P37" s="3170"/>
      <c r="Q37" s="1813" t="str">
        <f t="shared" si="11"/>
        <v>成新度</v>
      </c>
      <c r="R37" s="774" t="s">
        <v>17</v>
      </c>
      <c r="S37" s="775">
        <f t="shared" si="12"/>
        <v>100</v>
      </c>
      <c r="T37" s="774" t="s">
        <v>17</v>
      </c>
      <c r="U37" s="775">
        <f t="shared" si="13"/>
        <v>100</v>
      </c>
      <c r="V37" s="774" t="s">
        <v>17</v>
      </c>
      <c r="W37" s="775">
        <f t="shared" si="14"/>
        <v>100</v>
      </c>
      <c r="X37" s="1816"/>
      <c r="Y37" s="3172"/>
      <c r="Z37" s="1817" t="str">
        <f t="shared" si="15"/>
        <v>成新度</v>
      </c>
      <c r="AA37" s="1814">
        <f t="shared" si="3"/>
        <v>1</v>
      </c>
      <c r="AB37" s="1814">
        <f t="shared" si="4"/>
        <v>1</v>
      </c>
      <c r="AC37" s="2679">
        <f t="shared" si="5"/>
        <v>1</v>
      </c>
    </row>
    <row r="38" spans="1:29" s="117" customFormat="1" ht="15">
      <c r="A38" s="473"/>
      <c r="B38" s="422" t="s">
        <v>2699</v>
      </c>
      <c r="C38" s="460" t="s">
        <v>3101</v>
      </c>
      <c r="D38" s="136">
        <v>100</v>
      </c>
      <c r="E38" s="460" t="s">
        <v>3101</v>
      </c>
      <c r="F38" s="461">
        <f>SUMIF(113:113,E38,114:114)-SUMIF(113:113,C38,114:114)+100</f>
        <v>100</v>
      </c>
      <c r="G38" s="460" t="s">
        <v>3101</v>
      </c>
      <c r="H38" s="435">
        <f>SUMIF(113:113,G38,114:114)-SUMIF(113:113,C38,114:114)+100</f>
        <v>100</v>
      </c>
      <c r="I38" s="460" t="s">
        <v>3101</v>
      </c>
      <c r="J38" s="435">
        <f>SUMIF(113:113,I38,114:114)-SUMIF(113:113,C38,114:114)+100</f>
        <v>100</v>
      </c>
      <c r="K38" s="612">
        <v>2</v>
      </c>
      <c r="L38" s="1135"/>
      <c r="M38" s="1136"/>
      <c r="N38" s="1136"/>
      <c r="O38" s="1136"/>
      <c r="P38" s="3170"/>
      <c r="Q38" s="1798"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76">
        <f t="shared" si="5"/>
        <v>1</v>
      </c>
    </row>
    <row r="39" spans="1:29" ht="15">
      <c r="A39" s="472"/>
      <c r="B39" s="422" t="s">
        <v>2700</v>
      </c>
      <c r="C39" s="460" t="s">
        <v>3104</v>
      </c>
      <c r="D39" s="435">
        <v>100</v>
      </c>
      <c r="E39" s="460" t="s">
        <v>3104</v>
      </c>
      <c r="F39" s="461">
        <f>SUMIF(115:115,E39,116:116)-SUMIF(115:115,C39,116:116)+100</f>
        <v>100</v>
      </c>
      <c r="G39" s="460" t="s">
        <v>3104</v>
      </c>
      <c r="H39" s="435">
        <f>SUMIF(115:115,G39,116:116)-SUMIF(115:115,C39,116:116)+100</f>
        <v>100</v>
      </c>
      <c r="I39" s="460" t="s">
        <v>3104</v>
      </c>
      <c r="J39" s="435">
        <f>SUMIF(115:115,I39,116:116)-SUMIF(115:115,C39,116:116)+100</f>
        <v>100</v>
      </c>
      <c r="K39" s="612">
        <v>2</v>
      </c>
      <c r="L39" s="1143"/>
      <c r="M39" s="1134"/>
      <c r="N39" s="1134"/>
      <c r="O39" s="1134"/>
      <c r="P39" s="3170" t="s">
        <v>2570</v>
      </c>
      <c r="Q39" s="1813" t="str">
        <f t="shared" si="11"/>
        <v>物业管理</v>
      </c>
      <c r="R39" s="774" t="s">
        <v>17</v>
      </c>
      <c r="S39" s="775">
        <f t="shared" si="12"/>
        <v>100</v>
      </c>
      <c r="T39" s="774" t="s">
        <v>17</v>
      </c>
      <c r="U39" s="775">
        <f t="shared" si="13"/>
        <v>100</v>
      </c>
      <c r="V39" s="774" t="s">
        <v>17</v>
      </c>
      <c r="W39" s="775">
        <f t="shared" si="14"/>
        <v>100</v>
      </c>
      <c r="X39" s="1816"/>
      <c r="Y39" s="3172" t="s">
        <v>2570</v>
      </c>
      <c r="Z39" s="1817" t="str">
        <f t="shared" si="15"/>
        <v>物业管理</v>
      </c>
      <c r="AA39" s="1814">
        <f t="shared" si="3"/>
        <v>1</v>
      </c>
      <c r="AB39" s="1814">
        <f t="shared" si="4"/>
        <v>1</v>
      </c>
      <c r="AC39" s="2679">
        <f t="shared" si="5"/>
        <v>1</v>
      </c>
    </row>
    <row r="40" spans="1:29" ht="15">
      <c r="A40" s="472"/>
      <c r="B40" s="422" t="s">
        <v>2668</v>
      </c>
      <c r="C40" s="460" t="s">
        <v>3092</v>
      </c>
      <c r="D40" s="435">
        <v>100</v>
      </c>
      <c r="E40" s="460" t="s">
        <v>3092</v>
      </c>
      <c r="F40" s="461">
        <f>SUMIF(117:117,E40,118:118)-SUMIF(117:117,C40,118:118)+100</f>
        <v>100</v>
      </c>
      <c r="G40" s="460" t="s">
        <v>3092</v>
      </c>
      <c r="H40" s="435">
        <f>SUMIF(117:117,G40,118:118)-SUMIF(117:117,C40,118:118)+100</f>
        <v>100</v>
      </c>
      <c r="I40" s="460" t="s">
        <v>3092</v>
      </c>
      <c r="J40" s="435">
        <f>SUMIF(117:117,I40,118:118)-SUMIF(117:117,C40,118:118)+100</f>
        <v>100</v>
      </c>
      <c r="K40" s="612">
        <v>2</v>
      </c>
      <c r="L40" s="1143"/>
      <c r="M40" s="1134"/>
      <c r="N40" s="1134"/>
      <c r="O40" s="1134"/>
      <c r="P40" s="3170"/>
      <c r="Q40" s="1813" t="str">
        <f t="shared" si="11"/>
        <v>市政基础设施</v>
      </c>
      <c r="R40" s="774" t="s">
        <v>17</v>
      </c>
      <c r="S40" s="775">
        <f t="shared" si="12"/>
        <v>100</v>
      </c>
      <c r="T40" s="774" t="s">
        <v>17</v>
      </c>
      <c r="U40" s="775">
        <f t="shared" si="13"/>
        <v>100</v>
      </c>
      <c r="V40" s="774" t="s">
        <v>17</v>
      </c>
      <c r="W40" s="775">
        <f t="shared" si="14"/>
        <v>100</v>
      </c>
      <c r="X40" s="1816"/>
      <c r="Y40" s="3172"/>
      <c r="Z40" s="1817" t="str">
        <f t="shared" si="15"/>
        <v>市政基础设施</v>
      </c>
      <c r="AA40" s="1814">
        <f t="shared" si="3"/>
        <v>1</v>
      </c>
      <c r="AB40" s="1814">
        <f t="shared" si="4"/>
        <v>1</v>
      </c>
      <c r="AC40" s="2679">
        <f t="shared" si="5"/>
        <v>1</v>
      </c>
    </row>
    <row r="41" spans="1:29" ht="15">
      <c r="A41" s="472"/>
      <c r="B41" s="422" t="s">
        <v>2670</v>
      </c>
      <c r="C41" s="616" t="s">
        <v>3113</v>
      </c>
      <c r="D41" s="435">
        <v>100</v>
      </c>
      <c r="E41" s="616" t="s">
        <v>3113</v>
      </c>
      <c r="F41" s="461">
        <f>SUMIF(119:119,E41,120:120)-SUMIF(119:119,C41,120:120)+100</f>
        <v>100</v>
      </c>
      <c r="G41" s="616" t="s">
        <v>3113</v>
      </c>
      <c r="H41" s="435">
        <f>SUMIF(119:119,G41,120:120)-SUMIF(119:119,C41,120:120)+100</f>
        <v>100</v>
      </c>
      <c r="I41" s="616" t="s">
        <v>3113</v>
      </c>
      <c r="J41" s="435">
        <f>SUMIF(119:119,I41,120:120)-SUMIF(119:119,C41,120:120)+100</f>
        <v>100</v>
      </c>
      <c r="K41" s="612">
        <v>2</v>
      </c>
      <c r="L41" s="1143"/>
      <c r="M41" s="1134"/>
      <c r="N41" s="1134"/>
      <c r="O41" s="1134"/>
      <c r="P41" s="3170"/>
      <c r="Q41" s="1813" t="str">
        <f t="shared" si="11"/>
        <v>层高</v>
      </c>
      <c r="R41" s="774" t="s">
        <v>17</v>
      </c>
      <c r="S41" s="775">
        <f t="shared" si="12"/>
        <v>100</v>
      </c>
      <c r="T41" s="774" t="s">
        <v>17</v>
      </c>
      <c r="U41" s="775">
        <f t="shared" si="13"/>
        <v>100</v>
      </c>
      <c r="V41" s="774" t="s">
        <v>17</v>
      </c>
      <c r="W41" s="775">
        <f t="shared" si="14"/>
        <v>100</v>
      </c>
      <c r="X41" s="1816"/>
      <c r="Y41" s="3172"/>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0"/>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4">
        <f t="shared" si="3"/>
        <v>1</v>
      </c>
      <c r="AB42" s="1814">
        <f t="shared" si="4"/>
        <v>1</v>
      </c>
      <c r="AC42" s="2679">
        <f t="shared" si="5"/>
        <v>1</v>
      </c>
    </row>
    <row r="43" spans="1:29" ht="15">
      <c r="A43" s="472"/>
      <c r="B43" s="422" t="s">
        <v>2673</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v>2</v>
      </c>
      <c r="L43" s="1143"/>
      <c r="M43" s="1134"/>
      <c r="N43" s="1134"/>
      <c r="O43" s="1134"/>
      <c r="P43" s="3170"/>
      <c r="Q43" s="1813" t="str">
        <f t="shared" si="11"/>
        <v>内部装修</v>
      </c>
      <c r="R43" s="774" t="s">
        <v>17</v>
      </c>
      <c r="S43" s="775">
        <f t="shared" si="12"/>
        <v>100</v>
      </c>
      <c r="T43" s="774" t="s">
        <v>17</v>
      </c>
      <c r="U43" s="775">
        <f t="shared" si="13"/>
        <v>100</v>
      </c>
      <c r="V43" s="774" t="s">
        <v>17</v>
      </c>
      <c r="W43" s="775">
        <f t="shared" si="14"/>
        <v>100</v>
      </c>
      <c r="X43" s="1816"/>
      <c r="Y43" s="3172"/>
      <c r="Z43" s="1817" t="str">
        <f t="shared" si="15"/>
        <v>内部装修</v>
      </c>
      <c r="AA43" s="1814">
        <f t="shared" si="3"/>
        <v>1</v>
      </c>
      <c r="AB43" s="1814">
        <f t="shared" si="4"/>
        <v>1</v>
      </c>
      <c r="AC43" s="2679">
        <f t="shared" si="5"/>
        <v>1</v>
      </c>
    </row>
    <row r="44" spans="1:29" ht="15">
      <c r="A44" s="472"/>
      <c r="B44" s="422" t="s">
        <v>2581</v>
      </c>
      <c r="C44" s="460" t="s">
        <v>3091</v>
      </c>
      <c r="D44" s="435">
        <v>100</v>
      </c>
      <c r="E44" s="2618" t="s">
        <v>3091</v>
      </c>
      <c r="F44" s="461">
        <f>SUMIF(125:125,E44,126:126)-SUMIF(125:125,C44,126:126)+100</f>
        <v>100</v>
      </c>
      <c r="G44" s="2618" t="s">
        <v>3118</v>
      </c>
      <c r="H44" s="435">
        <f>SUMIF(125:125,G44,126:126)-SUMIF(125:125,C44,126:126)+100</f>
        <v>102</v>
      </c>
      <c r="I44" s="2618" t="s">
        <v>3091</v>
      </c>
      <c r="J44" s="435">
        <f>SUMIF(125:125,I44,126:126)-SUMIF(125:125,C44,126:126)+100</f>
        <v>100</v>
      </c>
      <c r="K44" s="612">
        <v>2</v>
      </c>
      <c r="L44" s="1143"/>
      <c r="M44" s="1134"/>
      <c r="N44" s="1134"/>
      <c r="O44" s="1134"/>
      <c r="P44" s="3170"/>
      <c r="Q44" s="1813" t="str">
        <f t="shared" si="11"/>
        <v>内部装修维护情况</v>
      </c>
      <c r="R44" s="774" t="s">
        <v>17</v>
      </c>
      <c r="S44" s="775">
        <f t="shared" si="12"/>
        <v>100</v>
      </c>
      <c r="T44" s="774" t="s">
        <v>17</v>
      </c>
      <c r="U44" s="775">
        <f t="shared" si="13"/>
        <v>102</v>
      </c>
      <c r="V44" s="774" t="s">
        <v>17</v>
      </c>
      <c r="W44" s="775">
        <f t="shared" si="14"/>
        <v>100</v>
      </c>
      <c r="X44" s="1816"/>
      <c r="Y44" s="3172"/>
      <c r="Z44" s="1817" t="str">
        <f t="shared" si="15"/>
        <v>内部装修维护情况</v>
      </c>
      <c r="AA44" s="1814">
        <f t="shared" si="3"/>
        <v>1</v>
      </c>
      <c r="AB44" s="1814">
        <f t="shared" si="4"/>
        <v>0.98039215686274506</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0"/>
      <c r="Q45" s="1798">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0"/>
      <c r="Q46" s="1813">
        <f t="shared" si="11"/>
        <v>111</v>
      </c>
      <c r="R46" s="774" t="s">
        <v>17</v>
      </c>
      <c r="S46" s="775">
        <f t="shared" si="12"/>
        <v>100</v>
      </c>
      <c r="T46" s="774" t="s">
        <v>17</v>
      </c>
      <c r="U46" s="775">
        <f t="shared" si="13"/>
        <v>100</v>
      </c>
      <c r="V46" s="774" t="s">
        <v>17</v>
      </c>
      <c r="W46" s="775">
        <f t="shared" si="14"/>
        <v>100</v>
      </c>
      <c r="X46" s="1816"/>
      <c r="Y46" s="3172"/>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1"/>
      <c r="Q47" s="1813">
        <f t="shared" si="11"/>
        <v>111</v>
      </c>
      <c r="R47" s="774" t="s">
        <v>17</v>
      </c>
      <c r="S47" s="775">
        <f t="shared" si="12"/>
        <v>100</v>
      </c>
      <c r="T47" s="774" t="s">
        <v>17</v>
      </c>
      <c r="U47" s="775">
        <f t="shared" si="13"/>
        <v>100</v>
      </c>
      <c r="V47" s="774" t="s">
        <v>17</v>
      </c>
      <c r="W47" s="775">
        <f t="shared" si="14"/>
        <v>100</v>
      </c>
      <c r="X47" s="1816"/>
      <c r="Y47" s="3173"/>
      <c r="Z47" s="1817">
        <f t="shared" si="15"/>
        <v>111</v>
      </c>
      <c r="AA47" s="1814">
        <f t="shared" si="3"/>
        <v>1</v>
      </c>
      <c r="AB47" s="1814">
        <f t="shared" si="4"/>
        <v>1</v>
      </c>
      <c r="AC47" s="2679">
        <f t="shared" si="5"/>
        <v>1</v>
      </c>
    </row>
    <row r="48" spans="1:29" ht="15">
      <c r="A48" s="479" t="s">
        <v>2582</v>
      </c>
      <c r="B48" s="480"/>
      <c r="C48" s="1410" t="s">
        <v>1</v>
      </c>
      <c r="D48" s="1411"/>
      <c r="E48" s="1412">
        <v>3.85</v>
      </c>
      <c r="F48" s="1413"/>
      <c r="G48" s="1414">
        <v>3.5</v>
      </c>
      <c r="H48" s="1415"/>
      <c r="I48" s="1412">
        <v>3.6</v>
      </c>
      <c r="J48" s="485"/>
      <c r="K48" s="783"/>
      <c r="L48" s="1146"/>
      <c r="M48" s="1134"/>
      <c r="N48" s="1134"/>
      <c r="O48" s="1134"/>
      <c r="P48" s="3159" t="str">
        <f>A48</f>
        <v>成交单价（元/平方米）</v>
      </c>
      <c r="Q48" s="3160"/>
      <c r="R48" s="3161">
        <f>E48</f>
        <v>3.85</v>
      </c>
      <c r="S48" s="3161"/>
      <c r="T48" s="3161">
        <f>G48</f>
        <v>3.5</v>
      </c>
      <c r="U48" s="3161"/>
      <c r="V48" s="3161">
        <f>I48</f>
        <v>3.6</v>
      </c>
      <c r="W48" s="3161"/>
      <c r="X48" s="446"/>
      <c r="Y48" s="781"/>
      <c r="Z48" s="446"/>
      <c r="AA48" s="446"/>
      <c r="AB48" s="446"/>
      <c r="AC48" s="630"/>
    </row>
    <row r="49" spans="1:29" ht="15.75" thickBot="1">
      <c r="A49" s="486" t="s">
        <v>2674</v>
      </c>
      <c r="B49" s="487"/>
      <c r="C49" s="1416">
        <f>R50</f>
        <v>3.4</v>
      </c>
      <c r="D49" s="1417"/>
      <c r="E49" s="1418">
        <f>R49</f>
        <v>3.6</v>
      </c>
      <c r="F49" s="1418"/>
      <c r="G49" s="1416">
        <f>T49</f>
        <v>3.2</v>
      </c>
      <c r="H49" s="1417"/>
      <c r="I49" s="1418">
        <f>V49</f>
        <v>3.3</v>
      </c>
      <c r="J49" s="489"/>
      <c r="K49" s="784"/>
      <c r="L49" s="1146"/>
      <c r="M49" s="1134"/>
      <c r="N49" s="1134"/>
      <c r="O49" s="1134"/>
      <c r="P49" s="3159" t="str">
        <f>A49</f>
        <v>比较价值（元/平方米）</v>
      </c>
      <c r="Q49" s="3160"/>
      <c r="R49" s="3161">
        <f>IF(F1="售价",ROUND(PRODUCT(R48,AA7:AA47),0),ROUND(PRODUCT(R48,AA7:AA47),1))</f>
        <v>3.6</v>
      </c>
      <c r="S49" s="3161"/>
      <c r="T49" s="3161">
        <f>IF(F1="售价",ROUND(PRODUCT(T48,AB7:AB47),0),ROUND(PRODUCT(T48,AB7:AB47),1))</f>
        <v>3.2</v>
      </c>
      <c r="U49" s="3161"/>
      <c r="V49" s="3161">
        <f>IF(F1="售价",ROUND(PRODUCT(V48,AC7:AC47),0),ROUND(PRODUCT(V48,AC7:AC47),1))</f>
        <v>3.3</v>
      </c>
      <c r="W49" s="3161"/>
      <c r="X49" s="446"/>
      <c r="Y49" s="446"/>
      <c r="Z49" s="446"/>
      <c r="AA49" s="446"/>
      <c r="AB49" s="446"/>
      <c r="AC49" s="630"/>
    </row>
    <row r="50" spans="1:29" ht="15.75" thickBot="1">
      <c r="A50" s="492" t="s">
        <v>2675</v>
      </c>
      <c r="B50" s="493"/>
      <c r="C50" s="1420">
        <f>R50</f>
        <v>3.4</v>
      </c>
      <c r="D50" s="1420"/>
      <c r="E50" s="1420"/>
      <c r="F50" s="1420"/>
      <c r="G50" s="1420"/>
      <c r="H50" s="1420"/>
      <c r="I50" s="1420"/>
      <c r="J50" s="494"/>
      <c r="K50" s="785"/>
      <c r="L50" s="1146"/>
      <c r="M50" s="1134"/>
      <c r="N50" s="1134"/>
      <c r="O50" s="1134"/>
      <c r="P50" s="3162" t="str">
        <f>A50</f>
        <v>估价对象XX用房的比较价值（楼面单价，元/平方米）</v>
      </c>
      <c r="Q50" s="3163"/>
      <c r="R50" s="3164">
        <f>IF(F1="售价",ROUND(AVERAGE(R49:V49),0),ROUND(AVERAGE(R49:V49),1))</f>
        <v>3.4</v>
      </c>
      <c r="S50" s="3164"/>
      <c r="T50" s="3164"/>
      <c r="U50" s="3164"/>
      <c r="V50" s="3164"/>
      <c r="W50" s="3164"/>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f>IF(E48&lt;E49,E49/E48-1,E48/E49-1)</f>
        <v>6.944444444444442E-2</v>
      </c>
      <c r="F53" s="500" t="str">
        <f>IF(OR(E53&gt;=0.3,E53&lt;=-0.3),"超过30%","")</f>
        <v/>
      </c>
      <c r="G53" s="499">
        <f>IF(G48&lt;G49,G49/G48-1,G48/G49-1)</f>
        <v>9.375E-2</v>
      </c>
      <c r="H53" s="500" t="str">
        <f>IF(OR(G53&gt;=0.3,G53&lt;=-0.3),"超过30%","")</f>
        <v/>
      </c>
      <c r="I53" s="499">
        <f>IF(I48&lt;I49,I49/I48-1,I48/I49-1)</f>
        <v>9.090909090909105E-2</v>
      </c>
      <c r="J53" s="500" t="str">
        <f>IF(OR(I53&gt;=0.3,I53&lt;=-0.3),"超过30%","")</f>
        <v/>
      </c>
      <c r="K53" s="1108"/>
      <c r="L53" s="1109"/>
      <c r="M53" s="1147"/>
      <c r="N53" s="1147"/>
      <c r="O53" s="1147"/>
    </row>
    <row r="54" spans="1:29" ht="13.5" customHeight="1">
      <c r="A54" s="1147"/>
      <c r="B54" s="1147"/>
      <c r="C54" s="497" t="s">
        <v>2677</v>
      </c>
      <c r="D54" s="501"/>
      <c r="E54" s="499">
        <f>IF(E49&lt;G49,G49/E49-1,E49/G49-1)</f>
        <v>0.125</v>
      </c>
      <c r="F54" s="500" t="str">
        <f>IF(OR(E54&gt;=0.2,E54&lt;=-0.2),"超过20%","")</f>
        <v/>
      </c>
      <c r="G54" s="499">
        <f>IF(G49&lt;I49,I49/G49-1,G49/I49-1)</f>
        <v>3.1249999999999778E-2</v>
      </c>
      <c r="H54" s="500" t="str">
        <f>IF(OR(G54&gt;=0.2,G54&lt;=-0.2),"超过20%","")</f>
        <v/>
      </c>
      <c r="I54" s="499">
        <f>IF(I49&lt;E49,E49/I49-1,I49/E49-1)</f>
        <v>9.090909090909105E-2</v>
      </c>
      <c r="J54" s="500" t="str">
        <f>IF(OR(I54&gt;=0.2,I54&lt;=-0.2),"超过20%","")</f>
        <v/>
      </c>
      <c r="K54" s="1108"/>
      <c r="L54" s="1109"/>
      <c r="M54" s="1147"/>
      <c r="N54" s="1147"/>
      <c r="O54" s="1147"/>
    </row>
    <row r="55" spans="1:29" s="502" customFormat="1" ht="13.5" customHeight="1">
      <c r="A55" s="1148"/>
      <c r="B55" s="1148"/>
      <c r="C55" s="497" t="s">
        <v>2678</v>
      </c>
      <c r="D55" s="501"/>
      <c r="E55" s="499">
        <f>IF(E48&lt;G48,G48/E48-1,E48/G48-1)</f>
        <v>0.10000000000000009</v>
      </c>
      <c r="F55" s="500" t="str">
        <f>IF(OR(E55&gt;=0.3,E55&lt;=-0.3),"超过30%","")</f>
        <v/>
      </c>
      <c r="G55" s="499">
        <f>IF(G48&lt;I48,I48/G48-1,G48/I48-1)</f>
        <v>2.8571428571428692E-2</v>
      </c>
      <c r="H55" s="500" t="str">
        <f>IF(OR(G55&gt;=0.3,G55&lt;=-0.3),"超过30%","")</f>
        <v/>
      </c>
      <c r="I55" s="499">
        <f>IF(I48&lt;E48,E48/I48-1,I48/E48-1)</f>
        <v>6.944444444444442E-2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t="str">
        <f>C9</f>
        <v>办公</v>
      </c>
      <c r="D64" s="2961" t="s">
        <v>3088</v>
      </c>
      <c r="E64" s="530"/>
      <c r="F64" s="530"/>
      <c r="G64" s="530"/>
      <c r="H64" s="530"/>
      <c r="I64" s="530"/>
      <c r="J64" s="530"/>
      <c r="K64" s="531"/>
      <c r="L64" s="532"/>
      <c r="M64" s="533"/>
      <c r="N64" s="1155"/>
      <c r="O64" s="1155"/>
      <c r="P64" s="2689"/>
      <c r="Q64" s="504"/>
    </row>
    <row r="65" spans="1:17" ht="15.75" thickBot="1">
      <c r="A65" s="534"/>
      <c r="B65" s="535"/>
      <c r="C65" s="536">
        <v>100</v>
      </c>
      <c r="D65" s="536">
        <v>98</v>
      </c>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75" thickTop="1">
      <c r="A68" s="534"/>
      <c r="B68" s="546" t="s">
        <v>2563</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1</v>
      </c>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9"/>
      <c r="Q86" s="504"/>
    </row>
    <row r="87" spans="1:17" s="117" customFormat="1" ht="27.75" thickTop="1">
      <c r="A87" s="579"/>
      <c r="B87" s="538" t="s">
        <v>2704</v>
      </c>
      <c r="C87" s="2962" t="s">
        <v>3129</v>
      </c>
      <c r="D87" s="2962" t="s">
        <v>3124</v>
      </c>
      <c r="E87" s="2962" t="s">
        <v>3125</v>
      </c>
      <c r="F87" s="2962" t="s">
        <v>3126</v>
      </c>
      <c r="G87" s="2962" t="s">
        <v>3128</v>
      </c>
      <c r="H87" s="554"/>
      <c r="I87" s="554"/>
      <c r="J87" s="554"/>
      <c r="K87" s="554"/>
      <c r="L87" s="580"/>
      <c r="M87" s="581"/>
      <c r="N87" s="1154"/>
      <c r="O87" s="1154"/>
      <c r="P87" s="2689"/>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2961" t="s">
        <v>3120</v>
      </c>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9"/>
      <c r="Q102" s="504"/>
    </row>
    <row r="103" spans="1:17" ht="29.25" thickTop="1">
      <c r="A103" s="534"/>
      <c r="B103" s="538" t="s">
        <v>2618</v>
      </c>
      <c r="C103" s="578" t="str">
        <f>C104&amp;"(含)"&amp;"-"&amp;D104</f>
        <v>0(含)-2000</v>
      </c>
      <c r="D103" s="578" t="str">
        <f t="shared" ref="D103:L103" si="23">D104&amp;"(含)"&amp;"-"&amp;E104</f>
        <v>2000(含)-5000</v>
      </c>
      <c r="E103" s="578" t="str">
        <f t="shared" si="23"/>
        <v>5000(含)-10000</v>
      </c>
      <c r="F103" s="578" t="str">
        <f t="shared" si="23"/>
        <v>10000(含)-15000</v>
      </c>
      <c r="G103" s="578" t="str">
        <f t="shared" si="23"/>
        <v>15000(含)-20000</v>
      </c>
      <c r="H103" s="578" t="str">
        <f t="shared" si="23"/>
        <v>20000(含)-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2000</v>
      </c>
      <c r="E104" s="595">
        <v>5000</v>
      </c>
      <c r="F104" s="595">
        <v>10000</v>
      </c>
      <c r="G104" s="595">
        <v>15000</v>
      </c>
      <c r="H104" s="595">
        <v>20000</v>
      </c>
      <c r="I104" s="595"/>
      <c r="J104" s="596"/>
      <c r="K104" s="596"/>
      <c r="L104" s="597"/>
      <c r="M104" s="598"/>
      <c r="N104" s="1157"/>
      <c r="O104" s="1157"/>
      <c r="P104" s="2690"/>
      <c r="Q104" s="559"/>
    </row>
    <row r="105" spans="1:17" s="471" customFormat="1" ht="15.75" thickBot="1">
      <c r="A105" s="553"/>
      <c r="B105" s="543"/>
      <c r="C105" s="560">
        <v>100</v>
      </c>
      <c r="D105" s="536">
        <v>98</v>
      </c>
      <c r="E105" s="536">
        <v>96</v>
      </c>
      <c r="F105" s="536">
        <v>94</v>
      </c>
      <c r="G105" s="536">
        <v>92</v>
      </c>
      <c r="H105" s="536">
        <v>90</v>
      </c>
      <c r="I105" s="536"/>
      <c r="J105" s="536"/>
      <c r="K105" s="536"/>
      <c r="L105" s="536"/>
      <c r="M105" s="537"/>
      <c r="N105" s="1156"/>
      <c r="O105" s="1156"/>
      <c r="P105" s="2690"/>
      <c r="Q105" s="559"/>
    </row>
    <row r="106" spans="1:17" ht="15" thickTop="1">
      <c r="A106" s="599"/>
      <c r="B106" s="538" t="s">
        <v>2619</v>
      </c>
      <c r="C106" s="2962" t="s">
        <v>3094</v>
      </c>
      <c r="D106" s="2962" t="s">
        <v>3095</v>
      </c>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9"/>
      <c r="Q107" s="504"/>
    </row>
    <row r="108" spans="1:17" ht="15" thickTop="1">
      <c r="A108" s="599"/>
      <c r="B108" s="538" t="s">
        <v>2621</v>
      </c>
      <c r="C108" s="2962" t="s">
        <v>3097</v>
      </c>
      <c r="D108" s="2962" t="s">
        <v>3098</v>
      </c>
      <c r="E108" s="2962" t="s">
        <v>3099</v>
      </c>
      <c r="F108" s="2963" t="s">
        <v>3100</v>
      </c>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9"/>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9"/>
      <c r="Q112" s="504"/>
    </row>
    <row r="113" spans="1:17" s="471" customFormat="1" ht="15" thickTop="1">
      <c r="A113" s="593"/>
      <c r="B113" s="538" t="s">
        <v>2705</v>
      </c>
      <c r="C113" s="2962" t="s">
        <v>3102</v>
      </c>
      <c r="D113" s="2962" t="s">
        <v>3103</v>
      </c>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0"/>
      <c r="Q114" s="559"/>
    </row>
    <row r="115" spans="1:17" ht="15" thickTop="1">
      <c r="A115" s="599"/>
      <c r="B115" s="538" t="s">
        <v>2622</v>
      </c>
      <c r="C115" s="2962" t="s">
        <v>3105</v>
      </c>
      <c r="D115" s="2962" t="s">
        <v>3106</v>
      </c>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9"/>
      <c r="Q116" s="504"/>
    </row>
    <row r="117" spans="1:17" ht="15" thickTop="1">
      <c r="A117" s="599"/>
      <c r="B117" s="538" t="s">
        <v>2623</v>
      </c>
      <c r="C117" s="2962" t="s">
        <v>3107</v>
      </c>
      <c r="D117" s="2962" t="s">
        <v>3108</v>
      </c>
      <c r="E117" s="2962" t="s">
        <v>3110</v>
      </c>
      <c r="F117" s="2962" t="s">
        <v>3111</v>
      </c>
      <c r="G117" s="554"/>
      <c r="H117" s="583"/>
      <c r="I117" s="583"/>
      <c r="J117" s="583"/>
      <c r="K117" s="584"/>
      <c r="L117" s="585"/>
      <c r="M117" s="586"/>
      <c r="N117" s="1155"/>
      <c r="O117" s="1155"/>
      <c r="P117" s="268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9"/>
      <c r="Q118" s="504"/>
    </row>
    <row r="119" spans="1:17" ht="15" thickTop="1">
      <c r="A119" s="599"/>
      <c r="B119" s="636" t="s">
        <v>2706</v>
      </c>
      <c r="C119" s="2963" t="s">
        <v>3112</v>
      </c>
      <c r="D119" s="2963" t="s">
        <v>3114</v>
      </c>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2962" t="s">
        <v>3115</v>
      </c>
      <c r="D123" s="2962" t="s">
        <v>3117</v>
      </c>
      <c r="E123" s="2962" t="s">
        <v>3116</v>
      </c>
      <c r="F123" s="2963" t="s">
        <v>3100</v>
      </c>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2" zoomScale="85" zoomScaleNormal="85"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3080</v>
      </c>
      <c r="D1" s="1823" t="s">
        <v>3134</v>
      </c>
      <c r="E1" s="1824" t="s">
        <v>1387</v>
      </c>
      <c r="F1" s="1286">
        <f ca="1">J53</f>
        <v>45.01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33728</v>
      </c>
      <c r="C2" s="1848" t="s">
        <v>1516</v>
      </c>
      <c r="D2" s="1848"/>
      <c r="E2" s="1849"/>
      <c r="F2" s="1850"/>
      <c r="G2" s="1851"/>
      <c r="H2" s="1843"/>
      <c r="I2" s="1843"/>
      <c r="J2" s="1843"/>
      <c r="K2" s="1844"/>
      <c r="L2" s="1843"/>
      <c r="M2" s="1843"/>
    </row>
    <row r="3" spans="1:37" ht="18" customHeight="1" thickBot="1">
      <c r="A3" s="1852" t="s">
        <v>1517</v>
      </c>
      <c r="B3" s="1853">
        <f ca="1">IF(ISERROR(B2*10000/F43),0,ROUND(B2*10000/F43,0))</f>
        <v>20511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1737</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1735</v>
      </c>
      <c r="D6" s="164" t="s">
        <v>3038</v>
      </c>
      <c r="E6" s="347" t="s">
        <v>1405</v>
      </c>
      <c r="F6" s="348">
        <f ca="1">INDIRECT("'数据-取费表'!u"&amp;$G$1)</f>
        <v>3.4</v>
      </c>
      <c r="G6" s="1854"/>
      <c r="H6" s="1294" t="s">
        <v>1035</v>
      </c>
      <c r="I6" s="3212" t="s">
        <v>1403</v>
      </c>
      <c r="J6" s="346">
        <f ca="1">ROUND(M6*M8*M7*(1-M9)/10000,0)</f>
        <v>0</v>
      </c>
      <c r="K6" s="164" t="s">
        <v>3037</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16443.89</v>
      </c>
      <c r="G7" s="1854"/>
      <c r="H7" s="349"/>
      <c r="I7" s="3213"/>
      <c r="J7" s="351"/>
      <c r="K7" s="352"/>
      <c r="L7" s="347" t="s">
        <v>1406</v>
      </c>
      <c r="M7" s="348">
        <f ca="1">F7</f>
        <v>16443.89</v>
      </c>
    </row>
    <row r="8" spans="1:37" ht="18" customHeight="1">
      <c r="A8" s="349"/>
      <c r="B8" s="3213"/>
      <c r="C8" s="351"/>
      <c r="D8" s="352"/>
      <c r="E8" s="347" t="s">
        <v>1407</v>
      </c>
      <c r="F8" s="348">
        <f ca="1">INDIRECT("'数据-取费表'!ai"&amp;$G$1)</f>
        <v>365</v>
      </c>
      <c r="G8" s="1854"/>
      <c r="H8" s="349"/>
      <c r="I8" s="3213"/>
      <c r="J8" s="351"/>
      <c r="K8" s="352"/>
      <c r="L8" s="347" t="s">
        <v>1407</v>
      </c>
      <c r="M8" s="348">
        <f ca="1">INDIRECT("'数据-取费表'!ai"&amp;$G$1)</f>
        <v>365</v>
      </c>
    </row>
    <row r="9" spans="1:37" ht="18" customHeight="1">
      <c r="A9" s="349"/>
      <c r="B9" s="3214"/>
      <c r="C9" s="351"/>
      <c r="D9" s="352"/>
      <c r="E9" s="347" t="s">
        <v>1408</v>
      </c>
      <c r="F9" s="357">
        <f ca="1">INDIRECT("'数据-取费表'!w"&amp;$G$1)</f>
        <v>0.15</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3047</v>
      </c>
      <c r="E10" s="358" t="s">
        <v>1410</v>
      </c>
      <c r="F10" s="1369" t="s">
        <v>3135</v>
      </c>
      <c r="G10" s="1854"/>
      <c r="H10" s="1294" t="s">
        <v>1039</v>
      </c>
      <c r="I10" s="1826" t="s">
        <v>1409</v>
      </c>
      <c r="J10" s="346">
        <f ca="1">ROUND(IF(M10="押一",J6/12*M11,IF(M10="押二",J6/12*2*M11,IF(M10="押三",J6/12*3*M11,J11*M11))),0)</f>
        <v>0</v>
      </c>
      <c r="K10" s="1827" t="s">
        <v>3046</v>
      </c>
      <c r="L10" s="358" t="s">
        <v>1410</v>
      </c>
      <c r="M10" s="1369" t="s">
        <v>3135</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7276</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4933</v>
      </c>
      <c r="D14" s="1803" t="s">
        <v>1418</v>
      </c>
      <c r="E14" s="1797"/>
      <c r="F14" s="364"/>
      <c r="G14" s="1854"/>
      <c r="H14" s="1204" t="s">
        <v>1035</v>
      </c>
      <c r="I14" s="347" t="s">
        <v>1419</v>
      </c>
      <c r="J14" s="24">
        <f ca="1">C29</f>
        <v>7276</v>
      </c>
      <c r="K14" s="15"/>
      <c r="L14" s="982"/>
      <c r="M14" s="983"/>
    </row>
    <row r="15" spans="1:37" s="1861" customFormat="1" ht="18" customHeight="1" thickBot="1">
      <c r="A15" s="1204" t="s">
        <v>1036</v>
      </c>
      <c r="B15" s="347" t="s">
        <v>1420</v>
      </c>
      <c r="C15" s="24">
        <f ca="1">ROUND(C14*F15,0)</f>
        <v>148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209</v>
      </c>
      <c r="K16" s="1340" t="s">
        <v>1425</v>
      </c>
      <c r="L16" s="1341"/>
      <c r="M16" s="1297"/>
    </row>
    <row r="17" spans="1:37" s="1861" customFormat="1" ht="18" customHeight="1">
      <c r="A17" s="1204" t="s">
        <v>1390</v>
      </c>
      <c r="B17" s="347" t="s">
        <v>1426</v>
      </c>
      <c r="C17" s="24">
        <f ca="1">ROUND(F17*(F43+INDIRECT("'数据-取费表'!S"&amp;$G$1))/10000,0)</f>
        <v>342</v>
      </c>
      <c r="D17" s="347" t="s">
        <v>1427</v>
      </c>
      <c r="E17" s="347" t="s">
        <v>1428</v>
      </c>
      <c r="F17" s="26">
        <f>'数据-取费表'!B35</f>
        <v>200</v>
      </c>
      <c r="G17" s="1857"/>
      <c r="H17" s="1204" t="s">
        <v>1035</v>
      </c>
      <c r="I17" s="347" t="s">
        <v>1429</v>
      </c>
      <c r="J17" s="24">
        <f ca="1">ROUND(IF(项目基本情况!B11="自然人",J5*M17,J18+J19+J20),1)</f>
        <v>63.1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74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5497</v>
      </c>
      <c r="D19" s="140" t="s">
        <v>1436</v>
      </c>
      <c r="E19" s="1821"/>
      <c r="F19" s="26"/>
      <c r="G19" s="1854"/>
      <c r="H19" s="1204" t="s">
        <v>1036</v>
      </c>
      <c r="I19" s="347" t="s">
        <v>1437</v>
      </c>
      <c r="J19" s="24">
        <f ca="1">IF(K19="按租金收入计税",ROUND(J5*M19,2),ROUND(C29*M19*0.7,2))</f>
        <v>61.12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110</v>
      </c>
      <c r="D20" s="369" t="s">
        <v>1440</v>
      </c>
      <c r="E20" s="347" t="s">
        <v>1422</v>
      </c>
      <c r="F20" s="367">
        <f>'数据-取费表'!B37</f>
        <v>0.02</v>
      </c>
      <c r="G20" s="1857"/>
      <c r="H20" s="1204" t="s">
        <v>1389</v>
      </c>
      <c r="I20" s="164" t="s">
        <v>1441</v>
      </c>
      <c r="J20" s="25">
        <f ca="1">ROUND(M20*M21/10000,2)</f>
        <v>2.0099999999999998</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6700.12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145.5</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266</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-209</v>
      </c>
      <c r="K25" s="1348" t="s">
        <v>1464</v>
      </c>
      <c r="L25" s="1349"/>
      <c r="M25" s="1350"/>
    </row>
    <row r="26" spans="1:37">
      <c r="A26" s="1204" t="s">
        <v>1034</v>
      </c>
      <c r="B26" s="347" t="s">
        <v>1465</v>
      </c>
      <c r="C26" s="24">
        <f ca="1">ROUND((C19+C20)*F26,0)</f>
        <v>841</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7276</v>
      </c>
      <c r="D29" s="1345"/>
      <c r="E29" s="1343"/>
      <c r="F29" s="1346"/>
      <c r="G29" s="1857"/>
      <c r="H29" s="380" t="s">
        <v>1033</v>
      </c>
      <c r="I29" s="381" t="s">
        <v>1479</v>
      </c>
      <c r="J29" s="382">
        <f ca="1">ROUND(J26/(1+F40)^F41,0)</f>
        <v>0</v>
      </c>
      <c r="K29" s="383" t="s">
        <v>1480</v>
      </c>
      <c r="L29" s="384"/>
      <c r="M29" s="385">
        <f ca="1">INDIRECT("'数据-取费表'!k"&amp;$G$1)</f>
        <v>16443.89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351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155.80000000000001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92.64</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61.12</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2.0099999999999998</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6700.12</v>
      </c>
      <c r="G35" s="1854"/>
      <c r="H35" s="745"/>
      <c r="I35" s="1863"/>
      <c r="J35" s="1864"/>
      <c r="K35" s="1865"/>
      <c r="L35" s="1862"/>
      <c r="M35" s="1862"/>
    </row>
    <row r="36" spans="1:18" ht="18" customHeight="1">
      <c r="A36" s="1355" t="s">
        <v>1039</v>
      </c>
      <c r="B36" s="347" t="s">
        <v>1449</v>
      </c>
      <c r="C36" s="24">
        <f ca="1">ROUND(C29*F36,1)</f>
        <v>145.5</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14.6</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34.700000000000003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1386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33668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45.01</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20474</v>
      </c>
      <c r="D43" s="383" t="s">
        <v>1488</v>
      </c>
      <c r="E43" s="384" t="s">
        <v>1489</v>
      </c>
      <c r="F43" s="385">
        <f ca="1">INDIRECT("'数据-取费表'!k"&amp;$G$1)</f>
        <v>16443.89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-37632</v>
      </c>
      <c r="D46" s="1875" t="str">
        <f>C2</f>
        <v>万元</v>
      </c>
      <c r="E46" s="1869"/>
      <c r="F46" s="1869"/>
      <c r="I46" s="1876" t="s">
        <v>1521</v>
      </c>
      <c r="J46" s="1877"/>
      <c r="K46" s="1878"/>
      <c r="L46" s="1879">
        <f ca="1">IF(M47="住宅",0,IF(L48&gt;J51,L60,J60))</f>
        <v>60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3093</v>
      </c>
      <c r="K47" s="1885" t="s">
        <v>1527</v>
      </c>
      <c r="L47" s="1886">
        <f ca="1">INDIRECT("'数据-取费表'!d"&amp;$G$1)</f>
        <v>50</v>
      </c>
      <c r="M47" s="1841" t="str">
        <f>IF(ISNUMBER(FIND("住宅",C1)),"住宅","非住宅")</f>
        <v>非住宅</v>
      </c>
      <c r="O47" s="1887" t="s">
        <v>1040</v>
      </c>
      <c r="P47" s="1888" t="s">
        <v>1528</v>
      </c>
      <c r="Q47" s="1889">
        <f ca="1">C40+J29</f>
        <v>33668</v>
      </c>
      <c r="R47" s="1889" t="s">
        <v>1529</v>
      </c>
    </row>
    <row r="48" spans="1:18" s="1845" customFormat="1" ht="28.5" thickBot="1">
      <c r="A48" s="1363" t="s">
        <v>1135</v>
      </c>
      <c r="B48" s="345" t="s">
        <v>1401</v>
      </c>
      <c r="C48" s="1820">
        <f ca="1">C49+C53+C55</f>
        <v>0</v>
      </c>
      <c r="D48" s="1365"/>
      <c r="E48" s="1366"/>
      <c r="F48" s="1184"/>
      <c r="G48" s="792"/>
      <c r="H48" s="793"/>
      <c r="I48" s="1890" t="s">
        <v>1530</v>
      </c>
      <c r="J48" s="1891" t="s">
        <v>3136</v>
      </c>
      <c r="K48" s="1892" t="s">
        <v>1531</v>
      </c>
      <c r="L48" s="1893">
        <f ca="1">INDIRECT("'数据-取费表'!f"&amp;$G$1)</f>
        <v>45.61</v>
      </c>
      <c r="O48" s="1887" t="s">
        <v>1041</v>
      </c>
      <c r="P48" s="1888" t="s">
        <v>1532</v>
      </c>
      <c r="Q48" s="1889">
        <f ca="1">J60</f>
        <v>60</v>
      </c>
      <c r="R48" s="1889" t="s">
        <v>1533</v>
      </c>
    </row>
    <row r="49" spans="1:18" s="1845" customFormat="1" ht="13.5" thickBot="1">
      <c r="A49" s="1197" t="s">
        <v>1136</v>
      </c>
      <c r="B49" s="1832" t="s">
        <v>1490</v>
      </c>
      <c r="C49" s="1367">
        <f ca="1">ROUND(F49*F51*F50*(1-F52)/10000,0)</f>
        <v>0</v>
      </c>
      <c r="D49" s="1279" t="s">
        <v>3039</v>
      </c>
      <c r="E49" s="1833" t="s">
        <v>1491</v>
      </c>
      <c r="F49" s="1284"/>
      <c r="G49" s="1894"/>
      <c r="H49" s="793"/>
      <c r="I49" s="1890" t="s">
        <v>1534</v>
      </c>
      <c r="J49" s="1895">
        <v>2019</v>
      </c>
      <c r="K49" s="1892" t="s">
        <v>1535</v>
      </c>
      <c r="L49" s="1896"/>
      <c r="O49" s="1897" t="s">
        <v>1042</v>
      </c>
      <c r="P49" s="1888" t="s">
        <v>1536</v>
      </c>
      <c r="Q49" s="1889">
        <f ca="1">C29</f>
        <v>7276</v>
      </c>
      <c r="R49" s="1889" t="s">
        <v>1529</v>
      </c>
    </row>
    <row r="50" spans="1:18" s="1845" customFormat="1" ht="13.5" thickBot="1">
      <c r="A50" s="1198"/>
      <c r="B50" s="1201"/>
      <c r="C50" s="1371"/>
      <c r="D50" s="1175"/>
      <c r="E50" s="1280" t="s">
        <v>1406</v>
      </c>
      <c r="F50" s="1281">
        <f ca="1">F7</f>
        <v>16443.89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61</v>
      </c>
      <c r="K51" s="1903" t="s">
        <v>1541</v>
      </c>
      <c r="L51" s="1904">
        <f ca="1">ROUND(-PV(INDIRECT("'数据-取费表'!h"&amp;$G$1),L48,(C39-C13*C76),0),0)</f>
        <v>14766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45.01</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45.01</v>
      </c>
      <c r="K53" s="3210" t="s">
        <v>1548</v>
      </c>
      <c r="L53" s="3211"/>
      <c r="O53" s="1887" t="s">
        <v>1046</v>
      </c>
      <c r="P53" s="1888" t="s">
        <v>1549</v>
      </c>
      <c r="Q53" s="1889">
        <f ca="1">Q47+Q48</f>
        <v>33728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0.25700000000000001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7276</v>
      </c>
      <c r="D56" s="1917"/>
      <c r="E56" s="1918"/>
      <c r="F56" s="1910"/>
      <c r="I56" s="1919" t="s">
        <v>1554</v>
      </c>
      <c r="J56" s="1920" t="s">
        <v>3137</v>
      </c>
      <c r="K56" s="1890" t="s">
        <v>1555</v>
      </c>
      <c r="L56" s="1893" t="str">
        <f ca="1">IF(L48&lt;J51,"——",L48-J53)</f>
        <v>——</v>
      </c>
      <c r="O56" s="1887" t="s">
        <v>1040</v>
      </c>
      <c r="P56" s="1888" t="s">
        <v>1528</v>
      </c>
      <c r="Q56" s="1889">
        <f ca="1">C40+J29</f>
        <v>33668</v>
      </c>
      <c r="R56" s="1889" t="s">
        <v>1529</v>
      </c>
    </row>
    <row r="57" spans="1:18" s="1845" customFormat="1" ht="24.75" thickBot="1">
      <c r="A57" s="1921"/>
      <c r="B57" s="1172" t="s">
        <v>1478</v>
      </c>
      <c r="C57" s="282">
        <f ca="1">C29</f>
        <v>7276</v>
      </c>
      <c r="D57" s="1922"/>
      <c r="E57" s="1923"/>
      <c r="F57" s="1924"/>
      <c r="I57" s="1925" t="s">
        <v>1556</v>
      </c>
      <c r="J57" s="1926">
        <f ca="1">IF(OR(M47="住宅",J51&lt;L48,J56="是"),"——",J51-L48)</f>
        <v>15.39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223</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63.1</v>
      </c>
      <c r="D59" s="1185" t="s">
        <v>1430</v>
      </c>
      <c r="E59" s="1186" t="s">
        <v>1431</v>
      </c>
      <c r="F59" s="368" t="str">
        <f ca="1">IF(项目基本情况!B11="企业","",IF(INDIRECT("'数据-取费表'!c"&amp;$G$1)="住宅",5%,IF(F49*F50*F51/12/(1+'数据-取费表'!C42)&gt;20000,12%,7%)))</f>
        <v/>
      </c>
      <c r="I59" s="1925" t="s">
        <v>1563</v>
      </c>
      <c r="J59" s="1926">
        <f ca="1">IF(OR(M47="住宅",J51&lt;L48,J56="是"),"——",ROUND(C29*J58,0))</f>
        <v>2910</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60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61.12</v>
      </c>
      <c r="D61" s="1831" t="s">
        <v>1438</v>
      </c>
      <c r="E61" s="1172" t="s">
        <v>1494</v>
      </c>
      <c r="F61" s="367">
        <f t="shared" si="0"/>
        <v>1.2E-2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2.0099999999999998</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33668</v>
      </c>
      <c r="R62" s="1889" t="s">
        <v>1047</v>
      </c>
    </row>
    <row r="63" spans="1:18" s="1845" customFormat="1" ht="13.5" thickBot="1">
      <c r="A63" s="372"/>
      <c r="B63" s="1178"/>
      <c r="C63" s="29"/>
      <c r="D63" s="1188"/>
      <c r="E63" s="1172" t="s">
        <v>1499</v>
      </c>
      <c r="F63" s="348">
        <f t="shared" ca="1" si="0"/>
        <v>6700.12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145.5</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14.6</v>
      </c>
      <c r="D65" s="1186" t="s">
        <v>1454</v>
      </c>
      <c r="E65" s="1172" t="s">
        <v>1455</v>
      </c>
      <c r="F65" s="376">
        <f t="shared" ca="1" si="0"/>
        <v>2E-3</v>
      </c>
      <c r="I65" s="1932" t="s">
        <v>1579</v>
      </c>
      <c r="J65" s="1933">
        <v>40</v>
      </c>
      <c r="K65" s="1933">
        <v>30</v>
      </c>
      <c r="L65" s="1933">
        <v>50</v>
      </c>
      <c r="M65" s="1935">
        <v>0.02</v>
      </c>
      <c r="O65" s="1887" t="s">
        <v>1040</v>
      </c>
      <c r="P65" s="1888" t="s">
        <v>1580</v>
      </c>
      <c r="Q65" s="1889">
        <f ca="1">C40+J29</f>
        <v>33668</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-223</v>
      </c>
      <c r="D67" s="1185" t="s">
        <v>1464</v>
      </c>
      <c r="E67" s="1190"/>
      <c r="F67" s="1191"/>
      <c r="O67" s="1897" t="s">
        <v>1042</v>
      </c>
      <c r="P67" s="1888" t="s">
        <v>1562</v>
      </c>
      <c r="Q67" s="1936">
        <f ca="1">L51</f>
        <v>14766</v>
      </c>
      <c r="R67" s="1889" t="s">
        <v>1582</v>
      </c>
    </row>
    <row r="68" spans="1:18" s="1845" customFormat="1" ht="16.5" thickBot="1">
      <c r="A68" s="1169" t="s">
        <v>1032</v>
      </c>
      <c r="B68" s="1170" t="s">
        <v>1485</v>
      </c>
      <c r="C68" s="346">
        <f ca="1">ROUND(C67*(1-((1+F70)/(1+F68))^F69)/(F68-F70),0)</f>
        <v>-3964</v>
      </c>
      <c r="D68" s="1187" t="s">
        <v>1469</v>
      </c>
      <c r="E68" s="1172" t="s">
        <v>1470</v>
      </c>
      <c r="F68" s="357">
        <f ca="1">F40</f>
        <v>0.05</v>
      </c>
      <c r="O68" s="1897" t="s">
        <v>1043</v>
      </c>
      <c r="P68" s="1937" t="s">
        <v>1583</v>
      </c>
      <c r="Q68" s="1889">
        <f ca="1">ROUND(Q69-Q70*Q71,0)</f>
        <v>768</v>
      </c>
      <c r="R68" s="1889" t="s">
        <v>1051</v>
      </c>
    </row>
    <row r="69" spans="1:18" s="1845" customFormat="1" ht="13.5" thickBot="1">
      <c r="A69" s="1173"/>
      <c r="B69" s="1174"/>
      <c r="C69" s="351"/>
      <c r="D69" s="1192" t="s">
        <v>1473</v>
      </c>
      <c r="E69" s="1172" t="s">
        <v>1474</v>
      </c>
      <c r="F69" s="379">
        <f ca="1">F41</f>
        <v>45.01</v>
      </c>
      <c r="O69" s="1897" t="s">
        <v>1048</v>
      </c>
      <c r="P69" s="1937" t="s">
        <v>1584</v>
      </c>
      <c r="Q69" s="1889">
        <f ca="1">C39</f>
        <v>1386</v>
      </c>
      <c r="R69" s="1889" t="s">
        <v>1529</v>
      </c>
    </row>
    <row r="70" spans="1:18" s="1845" customFormat="1" ht="13.5" thickBot="1">
      <c r="A70" s="1176"/>
      <c r="B70" s="1177"/>
      <c r="C70" s="355"/>
      <c r="D70" s="1188"/>
      <c r="E70" s="1172" t="s">
        <v>1477</v>
      </c>
      <c r="F70" s="1278"/>
      <c r="O70" s="1897" t="s">
        <v>1049</v>
      </c>
      <c r="P70" s="1937" t="s">
        <v>1585</v>
      </c>
      <c r="Q70" s="1889">
        <f ca="1">C13</f>
        <v>7276</v>
      </c>
      <c r="R70" s="1889" t="s">
        <v>1529</v>
      </c>
    </row>
    <row r="71" spans="1:18" s="1845" customFormat="1" ht="13.5" thickBot="1">
      <c r="A71" s="1193" t="s">
        <v>1033</v>
      </c>
      <c r="B71" s="1194" t="s">
        <v>1487</v>
      </c>
      <c r="C71" s="382">
        <f ca="1">ROUND(C68*10000/F71,0)</f>
        <v>-2411</v>
      </c>
      <c r="D71" s="1195" t="s">
        <v>1488</v>
      </c>
      <c r="E71" s="1196" t="s">
        <v>1489</v>
      </c>
      <c r="F71" s="385">
        <f ca="1">F43</f>
        <v>16443.89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618</v>
      </c>
      <c r="D75" s="1845"/>
      <c r="E75" s="1845"/>
      <c r="F75" s="1845"/>
      <c r="K75" s="1871"/>
      <c r="L75" s="1845"/>
      <c r="O75" s="1887" t="s">
        <v>1046</v>
      </c>
      <c r="P75" s="1888" t="s">
        <v>1549</v>
      </c>
      <c r="Q75" s="1889">
        <f ca="1">Q65+Q66</f>
        <v>33668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0.55400000000000005</v>
      </c>
    </row>
    <row r="80" spans="1:18">
      <c r="B80" s="386" t="s">
        <v>1511</v>
      </c>
      <c r="C80" s="318">
        <f ca="1">ROUND(C75/C39,3)</f>
        <v>0.44600000000000001</v>
      </c>
    </row>
    <row r="81" spans="2:3">
      <c r="B81" s="314" t="s">
        <v>1512</v>
      </c>
      <c r="C81" s="282"/>
    </row>
    <row r="82" spans="2:3">
      <c r="B82" s="317" t="s">
        <v>1513</v>
      </c>
      <c r="C82" s="319">
        <f ca="1">1-C83</f>
        <v>0.78400000000000003</v>
      </c>
    </row>
    <row r="83" spans="2:3">
      <c r="B83" s="317" t="s">
        <v>1514</v>
      </c>
      <c r="C83" s="318">
        <f ca="1">ROUND(C13/C40,3)</f>
        <v>0.216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2" t="s">
        <v>1403</v>
      </c>
      <c r="C6" s="1299">
        <f ca="1">ROUND(F6*F8*F7*(1-F9),0)</f>
        <v>0</v>
      </c>
      <c r="D6" s="164" t="s">
        <v>3035</v>
      </c>
      <c r="E6" s="347" t="s">
        <v>1405</v>
      </c>
      <c r="F6" s="348">
        <f ca="1">INDIRECT("'数据-取费表'!u"&amp;$G$1)</f>
        <v>0</v>
      </c>
      <c r="G6" s="1854"/>
      <c r="H6" s="1294" t="s">
        <v>1035</v>
      </c>
      <c r="I6" s="3212" t="s">
        <v>1403</v>
      </c>
      <c r="J6" s="346">
        <f ca="1">ROUND(M6*M8*M7*(1-M9),0)</f>
        <v>0</v>
      </c>
      <c r="K6" s="1837" t="s">
        <v>3036</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0</v>
      </c>
      <c r="G7" s="1854"/>
      <c r="H7" s="349"/>
      <c r="I7" s="3213"/>
      <c r="J7" s="351"/>
      <c r="K7" s="352"/>
      <c r="L7" s="347" t="s">
        <v>1406</v>
      </c>
      <c r="M7" s="348">
        <f ca="1">F7</f>
        <v>0</v>
      </c>
    </row>
    <row r="8" spans="1:37" ht="18" customHeight="1">
      <c r="A8" s="349"/>
      <c r="B8" s="3213"/>
      <c r="C8" s="351"/>
      <c r="D8" s="352"/>
      <c r="E8" s="347" t="s">
        <v>1407</v>
      </c>
      <c r="F8" s="348">
        <f ca="1">INDIRECT("'数据-取费表'!ai"&amp;$G$1)</f>
        <v>0</v>
      </c>
      <c r="G8" s="1854"/>
      <c r="H8" s="349"/>
      <c r="I8" s="3213"/>
      <c r="J8" s="351"/>
      <c r="K8" s="352"/>
      <c r="L8" s="347" t="s">
        <v>1407</v>
      </c>
      <c r="M8" s="348">
        <f ca="1">INDIRECT("'数据-取费表'!ai"&amp;$G$1)</f>
        <v>0</v>
      </c>
    </row>
    <row r="9" spans="1:37" ht="18" customHeight="1">
      <c r="A9" s="349"/>
      <c r="B9" s="3214"/>
      <c r="C9" s="351"/>
      <c r="D9" s="352"/>
      <c r="E9" s="347" t="s">
        <v>1408</v>
      </c>
      <c r="F9" s="357">
        <f ca="1">INDIRECT("'数据-取费表'!w"&amp;$G$1)</f>
        <v>0</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38" t="s">
        <v>3048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3049</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0" t="s">
        <v>1548</v>
      </c>
      <c r="L53" s="321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5" zoomScaleNormal="85" zoomScaleSheetLayoutView="90" workbookViewId="0">
      <selection activeCell="K44" sqref="K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3134</v>
      </c>
      <c r="E1" s="1824" t="s">
        <v>1387</v>
      </c>
      <c r="F1" s="1286">
        <f ca="1">J53</f>
        <v>45.01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2198</v>
      </c>
      <c r="C2" s="1848" t="s">
        <v>1516</v>
      </c>
      <c r="D2" s="1848"/>
      <c r="E2" s="1849"/>
      <c r="F2" s="1850"/>
      <c r="G2" s="1851"/>
      <c r="H2" s="1843"/>
      <c r="I2" s="1843"/>
      <c r="J2" s="1843"/>
      <c r="K2" s="1844"/>
      <c r="L2" s="1843"/>
      <c r="M2" s="1843"/>
    </row>
    <row r="3" spans="1:37" ht="18" customHeight="1" thickBot="1">
      <c r="A3" s="1852" t="s">
        <v>1517</v>
      </c>
      <c r="B3" s="1853">
        <f ca="1">IF(ISERROR(B2*10000/F43),0,ROUND(B2*10000/F43,0))</f>
        <v>2559</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266</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266</v>
      </c>
      <c r="D6" s="164" t="s">
        <v>3038</v>
      </c>
      <c r="E6" s="347" t="s">
        <v>1405</v>
      </c>
      <c r="F6" s="348">
        <f ca="1">INDIRECT("'数据-取费表'!u"&amp;$G$1)</f>
        <v>1</v>
      </c>
      <c r="G6" s="1854"/>
      <c r="H6" s="1294" t="s">
        <v>1035</v>
      </c>
      <c r="I6" s="3212" t="s">
        <v>1403</v>
      </c>
      <c r="J6" s="346">
        <f ca="1">ROUND(M6*M8*M7*(1-M9)/10000,0)</f>
        <v>0</v>
      </c>
      <c r="K6" s="164" t="s">
        <v>3037</v>
      </c>
      <c r="L6" s="347" t="s">
        <v>1405</v>
      </c>
      <c r="M6" s="348">
        <f ca="1">INDIRECT("'数据-取费表'!z"&amp;$G$1)</f>
        <v>0</v>
      </c>
    </row>
    <row r="7" spans="1:37" ht="18" customHeight="1">
      <c r="A7" s="1298"/>
      <c r="B7" s="3213"/>
      <c r="C7" s="1300"/>
      <c r="D7" s="352"/>
      <c r="E7" s="2955" t="s">
        <v>1406</v>
      </c>
      <c r="F7" s="348">
        <f ca="1">IF(INDIRECT("'数据-取费表'!ah"&amp;$G$1)="",INDIRECT("'数据-取费表'!k"&amp;$G$1),INDIRECT("'数据-取费表'!ah"&amp;$G$1))</f>
        <v>8588.09</v>
      </c>
      <c r="G7" s="1854"/>
      <c r="H7" s="349"/>
      <c r="I7" s="3213"/>
      <c r="J7" s="351"/>
      <c r="K7" s="352"/>
      <c r="L7" s="347" t="s">
        <v>1406</v>
      </c>
      <c r="M7" s="348">
        <f ca="1">F7</f>
        <v>8588.09</v>
      </c>
    </row>
    <row r="8" spans="1:37" ht="18" customHeight="1">
      <c r="A8" s="349"/>
      <c r="B8" s="3213"/>
      <c r="C8" s="351"/>
      <c r="D8" s="352"/>
      <c r="E8" s="347" t="s">
        <v>1407</v>
      </c>
      <c r="F8" s="348">
        <f ca="1">INDIRECT("'数据-取费表'!ai"&amp;$G$1)</f>
        <v>365</v>
      </c>
      <c r="G8" s="1854"/>
      <c r="H8" s="349"/>
      <c r="I8" s="3213"/>
      <c r="J8" s="351"/>
      <c r="K8" s="352"/>
      <c r="L8" s="347" t="s">
        <v>1407</v>
      </c>
      <c r="M8" s="348">
        <f ca="1">INDIRECT("'数据-取费表'!ai"&amp;$G$1)</f>
        <v>365</v>
      </c>
    </row>
    <row r="9" spans="1:37" ht="18" customHeight="1">
      <c r="A9" s="349"/>
      <c r="B9" s="3214"/>
      <c r="C9" s="351"/>
      <c r="D9" s="352"/>
      <c r="E9" s="347" t="s">
        <v>1408</v>
      </c>
      <c r="F9" s="357">
        <f ca="1">INDIRECT("'数据-取费表'!w"&amp;$G$1)</f>
        <v>0.15</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3068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2147</v>
      </c>
      <c r="D14" s="2949" t="s">
        <v>1418</v>
      </c>
      <c r="E14" s="2947"/>
      <c r="F14" s="364"/>
      <c r="G14" s="1854"/>
      <c r="H14" s="1204" t="s">
        <v>1035</v>
      </c>
      <c r="I14" s="347" t="s">
        <v>1419</v>
      </c>
      <c r="J14" s="24">
        <f ca="1">C29</f>
        <v>3068</v>
      </c>
      <c r="K14" s="2954"/>
      <c r="L14" s="982"/>
      <c r="M14" s="983"/>
    </row>
    <row r="15" spans="1:37" s="1861" customFormat="1" ht="18" customHeight="1" thickBot="1">
      <c r="A15" s="1204" t="s">
        <v>1036</v>
      </c>
      <c r="B15" s="347" t="s">
        <v>1420</v>
      </c>
      <c r="C15" s="24">
        <f ca="1">ROUND(C14*F15,0)</f>
        <v>64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88</v>
      </c>
      <c r="K16" s="1340" t="s">
        <v>1425</v>
      </c>
      <c r="L16" s="2950"/>
      <c r="M16" s="1297"/>
    </row>
    <row r="17" spans="1:37" s="1861" customFormat="1" ht="18" customHeight="1">
      <c r="A17" s="1204" t="s">
        <v>1390</v>
      </c>
      <c r="B17" s="347" t="s">
        <v>1426</v>
      </c>
      <c r="C17" s="24">
        <f ca="1">ROUND(F17*(F43+INDIRECT("'数据-取费表'!S"&amp;$G$1))/10000,0)</f>
        <v>179</v>
      </c>
      <c r="D17" s="347" t="s">
        <v>1427</v>
      </c>
      <c r="E17" s="347" t="s">
        <v>1428</v>
      </c>
      <c r="F17" s="26">
        <f>'数据-取费表'!B35</f>
        <v>200</v>
      </c>
      <c r="G17" s="1857"/>
      <c r="H17" s="1204" t="s">
        <v>1035</v>
      </c>
      <c r="I17" s="347" t="s">
        <v>1429</v>
      </c>
      <c r="J17" s="24">
        <f ca="1">ROUND(IF(项目基本情况!B11="自然人",J5*M17,J18+J19+J20),1)</f>
        <v>26.8</v>
      </c>
      <c r="K17" s="2949" t="s">
        <v>1430</v>
      </c>
      <c r="L17" s="2948"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32</v>
      </c>
      <c r="D18" s="347" t="s">
        <v>1421</v>
      </c>
      <c r="E18" s="347" t="s">
        <v>1422</v>
      </c>
      <c r="F18" s="367">
        <f>'数据-取费表'!B36</f>
        <v>1.4999999999999999E-2</v>
      </c>
      <c r="G18" s="1857"/>
      <c r="H18" s="1204" t="s">
        <v>1034</v>
      </c>
      <c r="I18" s="347" t="s">
        <v>1433</v>
      </c>
      <c r="J18" s="24">
        <f ca="1">ROUND(J5*M18/(1+'数据-取费表'!C42),2)</f>
        <v>0</v>
      </c>
      <c r="K18" s="2948"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2422</v>
      </c>
      <c r="D19" s="140" t="s">
        <v>1436</v>
      </c>
      <c r="E19" s="2953"/>
      <c r="F19" s="26"/>
      <c r="G19" s="1854"/>
      <c r="H19" s="1204" t="s">
        <v>1036</v>
      </c>
      <c r="I19" s="347" t="s">
        <v>1437</v>
      </c>
      <c r="J19" s="24">
        <f ca="1">IF(K19="按租金收入计税",ROUND(J5*M19,2),ROUND(C29*M19*0.7,2))</f>
        <v>25.77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48</v>
      </c>
      <c r="D20" s="369" t="s">
        <v>1440</v>
      </c>
      <c r="E20" s="347" t="s">
        <v>1422</v>
      </c>
      <c r="F20" s="367">
        <f>'数据-取费表'!B37</f>
        <v>0.02</v>
      </c>
      <c r="G20" s="1857"/>
      <c r="H20" s="1204" t="s">
        <v>1389</v>
      </c>
      <c r="I20" s="164" t="s">
        <v>1441</v>
      </c>
      <c r="J20" s="25">
        <f ca="1">ROUND(M20*M21/10000,2)</f>
        <v>1.05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3499.25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3"/>
      <c r="F22" s="26"/>
      <c r="G22" s="1854"/>
      <c r="H22" s="1204" t="s">
        <v>1039</v>
      </c>
      <c r="I22" s="347" t="s">
        <v>1449</v>
      </c>
      <c r="J22" s="24">
        <f ca="1">ROUND(J14*M22,1)</f>
        <v>61.4</v>
      </c>
      <c r="K22" s="2948"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48" t="s">
        <v>1454</v>
      </c>
      <c r="L23" s="347" t="s">
        <v>1422</v>
      </c>
      <c r="M23" s="376">
        <f ca="1">INDIRECT("'数据-取费表'!Al"&amp;$G$1)</f>
        <v>0.02</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3"/>
      <c r="F25" s="26"/>
      <c r="G25" s="1854"/>
      <c r="H25" s="1332" t="s">
        <v>1031</v>
      </c>
      <c r="I25" s="1347" t="s">
        <v>1463</v>
      </c>
      <c r="J25" s="355">
        <f ca="1">J5-J16</f>
        <v>-88</v>
      </c>
      <c r="K25" s="1348" t="s">
        <v>1464</v>
      </c>
      <c r="L25" s="1349"/>
      <c r="M25" s="1350"/>
    </row>
    <row r="26" spans="1:37">
      <c r="A26" s="1204" t="s">
        <v>1034</v>
      </c>
      <c r="B26" s="347" t="s">
        <v>1465</v>
      </c>
      <c r="C26" s="24">
        <f ca="1">ROUND((C19+C20)*F26,0)</f>
        <v>247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3068</v>
      </c>
      <c r="D29" s="1345"/>
      <c r="E29" s="1343"/>
      <c r="F29" s="1346"/>
      <c r="G29" s="1857"/>
      <c r="H29" s="380" t="s">
        <v>1033</v>
      </c>
      <c r="I29" s="381" t="s">
        <v>1479</v>
      </c>
      <c r="J29" s="382">
        <f ca="1">ROUND(J26/(1+F40)^F41,0)</f>
        <v>0</v>
      </c>
      <c r="K29" s="383" t="s">
        <v>1480</v>
      </c>
      <c r="L29" s="384"/>
      <c r="M29" s="385">
        <f ca="1">INDIRECT("'数据-取费表'!k"&amp;$G$1)</f>
        <v>8588.09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169</v>
      </c>
      <c r="D30" s="1340" t="s">
        <v>1425</v>
      </c>
      <c r="E30" s="2950"/>
      <c r="F30" s="1297"/>
      <c r="G30" s="1854"/>
      <c r="H30" s="745"/>
      <c r="I30" s="746"/>
      <c r="J30" s="747"/>
      <c r="K30" s="748"/>
      <c r="L30" s="749"/>
      <c r="M30" s="750"/>
    </row>
    <row r="31" spans="1:37" ht="18" customHeight="1">
      <c r="A31" s="1204" t="s">
        <v>1035</v>
      </c>
      <c r="B31" s="347" t="s">
        <v>1429</v>
      </c>
      <c r="C31" s="24">
        <f ca="1">ROUND(IF(项目基本情况!B11="自然人",C5*F31,C32+C33+C34),1)</f>
        <v>41</v>
      </c>
      <c r="D31" s="2949" t="s">
        <v>1430</v>
      </c>
      <c r="E31" s="2948"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14.19</v>
      </c>
      <c r="D32" s="2948"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25.77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1.05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3499.25</v>
      </c>
      <c r="G35" s="1854"/>
      <c r="H35" s="745"/>
      <c r="I35" s="1863"/>
      <c r="J35" s="1864"/>
      <c r="K35" s="1865"/>
      <c r="L35" s="1862"/>
      <c r="M35" s="1862"/>
    </row>
    <row r="36" spans="1:18" ht="18" customHeight="1">
      <c r="A36" s="1355" t="s">
        <v>1039</v>
      </c>
      <c r="B36" s="347" t="s">
        <v>1449</v>
      </c>
      <c r="C36" s="24">
        <f ca="1">ROUND(C29*F36,1)</f>
        <v>61.4</v>
      </c>
      <c r="D36" s="2948"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61.4</v>
      </c>
      <c r="D37" s="2948" t="s">
        <v>1454</v>
      </c>
      <c r="E37" s="347" t="s">
        <v>1422</v>
      </c>
      <c r="F37" s="376">
        <f ca="1">INDIRECT("'数据-取费表'!Al"&amp;$G$1)</f>
        <v>0.02</v>
      </c>
      <c r="G37" s="1854"/>
      <c r="H37" s="1862"/>
      <c r="I37" s="1863"/>
      <c r="J37" s="1864"/>
      <c r="K37" s="751"/>
      <c r="L37" s="1862"/>
      <c r="M37" s="1862"/>
    </row>
    <row r="38" spans="1:18" ht="18" customHeight="1" thickBot="1">
      <c r="A38" s="1342" t="s">
        <v>1392</v>
      </c>
      <c r="B38" s="1343" t="s">
        <v>1439</v>
      </c>
      <c r="C38" s="1344">
        <f ca="1">ROUND(C5*F38,1)</f>
        <v>5.3</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97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2173</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45.01</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ROUND(C40*10000/F43,0)</f>
        <v>2530</v>
      </c>
      <c r="D43" s="383" t="s">
        <v>1488</v>
      </c>
      <c r="E43" s="384" t="s">
        <v>1489</v>
      </c>
      <c r="F43" s="385">
        <f ca="1">INDIRECT("'数据-取费表'!k"&amp;$G$1)</f>
        <v>8588.09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-5047</v>
      </c>
      <c r="D46" s="1875" t="str">
        <f>C2</f>
        <v>万元</v>
      </c>
      <c r="E46" s="1869"/>
      <c r="F46" s="1869"/>
      <c r="I46" s="1876" t="s">
        <v>1521</v>
      </c>
      <c r="J46" s="1877"/>
      <c r="K46" s="1878"/>
      <c r="L46" s="1879">
        <f ca="1">IF(M47="住宅",0,IF(L48&gt;J51,L60,J60))</f>
        <v>25</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3093</v>
      </c>
      <c r="K47" s="1885" t="s">
        <v>1527</v>
      </c>
      <c r="L47" s="1886">
        <f ca="1">INDIRECT("'数据-取费表'!d"&amp;$G$1)</f>
        <v>50</v>
      </c>
      <c r="M47" s="1841" t="str">
        <f>IF(ISNUMBER(FIND("住宅",C1)),"住宅","非住宅")</f>
        <v>非住宅</v>
      </c>
      <c r="O47" s="1887" t="s">
        <v>1040</v>
      </c>
      <c r="P47" s="1888" t="s">
        <v>1528</v>
      </c>
      <c r="Q47" s="1889">
        <f ca="1">C40+J29</f>
        <v>2173</v>
      </c>
      <c r="R47" s="1889" t="s">
        <v>1529</v>
      </c>
    </row>
    <row r="48" spans="1:18" s="1845" customFormat="1" ht="28.5" thickBot="1">
      <c r="A48" s="1363" t="s">
        <v>1135</v>
      </c>
      <c r="B48" s="345" t="s">
        <v>1401</v>
      </c>
      <c r="C48" s="2952">
        <f ca="1">C49+C53+C55</f>
        <v>0</v>
      </c>
      <c r="D48" s="1365"/>
      <c r="E48" s="1366"/>
      <c r="F48" s="1184"/>
      <c r="G48" s="792"/>
      <c r="H48" s="793"/>
      <c r="I48" s="1890" t="s">
        <v>1530</v>
      </c>
      <c r="J48" s="1891" t="s">
        <v>3136</v>
      </c>
      <c r="K48" s="1892" t="s">
        <v>1531</v>
      </c>
      <c r="L48" s="1893">
        <f ca="1">INDIRECT("'数据-取费表'!f"&amp;$G$1)</f>
        <v>45.61</v>
      </c>
      <c r="O48" s="1887" t="s">
        <v>1041</v>
      </c>
      <c r="P48" s="1888" t="s">
        <v>1532</v>
      </c>
      <c r="Q48" s="1889">
        <f ca="1">J60</f>
        <v>25</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v>2019</v>
      </c>
      <c r="K49" s="1892" t="s">
        <v>1535</v>
      </c>
      <c r="L49" s="1896"/>
      <c r="O49" s="1897" t="s">
        <v>1042</v>
      </c>
      <c r="P49" s="1888" t="s">
        <v>1536</v>
      </c>
      <c r="Q49" s="1889">
        <f ca="1">C29</f>
        <v>3068</v>
      </c>
      <c r="R49" s="1889" t="s">
        <v>1529</v>
      </c>
    </row>
    <row r="50" spans="1:18" s="1845" customFormat="1" ht="13.5" thickBot="1">
      <c r="A50" s="1198"/>
      <c r="B50" s="1201"/>
      <c r="C50" s="1371"/>
      <c r="D50" s="1175"/>
      <c r="E50" s="1280" t="s">
        <v>1406</v>
      </c>
      <c r="F50" s="1281">
        <f ca="1">F7</f>
        <v>8588.09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61</v>
      </c>
      <c r="K51" s="1903" t="s">
        <v>1541</v>
      </c>
      <c r="L51" s="1904">
        <f ca="1">ROUND(-PV(INDIRECT("'数据-取费表'!h"&amp;$G$1),L48,(C39-C13*C76),0),0)</f>
        <v>-3410</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45.01</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45.01</v>
      </c>
      <c r="K53" s="3210" t="s">
        <v>1548</v>
      </c>
      <c r="L53" s="3211"/>
      <c r="O53" s="1887" t="s">
        <v>1046</v>
      </c>
      <c r="P53" s="1888" t="s">
        <v>1549</v>
      </c>
      <c r="Q53" s="1889">
        <f ca="1">Q47+Q48</f>
        <v>2198</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f ca="1">ROUND(IF(J47="钢混",J57/J50,1-(1-2%)*(J50-J57)/J50),3)</f>
        <v>0.25700000000000001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3068</v>
      </c>
      <c r="D56" s="1917"/>
      <c r="E56" s="1918"/>
      <c r="F56" s="1910"/>
      <c r="I56" s="1919" t="s">
        <v>1554</v>
      </c>
      <c r="J56" s="1920"/>
      <c r="K56" s="1890" t="s">
        <v>1555</v>
      </c>
      <c r="L56" s="1893" t="str">
        <f ca="1">IF(L48&lt;J51,"——",L48-J53)</f>
        <v>——</v>
      </c>
      <c r="O56" s="1887" t="s">
        <v>1040</v>
      </c>
      <c r="P56" s="1888" t="s">
        <v>1528</v>
      </c>
      <c r="Q56" s="1889">
        <f ca="1">C40+J29</f>
        <v>2173</v>
      </c>
      <c r="R56" s="1889" t="s">
        <v>1529</v>
      </c>
    </row>
    <row r="57" spans="1:18" s="1845" customFormat="1" ht="24.75" thickBot="1">
      <c r="A57" s="1921"/>
      <c r="B57" s="1172" t="s">
        <v>1478</v>
      </c>
      <c r="C57" s="282">
        <f ca="1">C29</f>
        <v>3068</v>
      </c>
      <c r="D57" s="1922"/>
      <c r="E57" s="1923"/>
      <c r="F57" s="1924"/>
      <c r="I57" s="1925" t="s">
        <v>1556</v>
      </c>
      <c r="J57" s="1926">
        <f ca="1">IF(OR(M47="住宅",J51&lt;L48,J56="是"),"——",J51-L48)</f>
        <v>15.39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150</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26.8</v>
      </c>
      <c r="D59" s="1185" t="s">
        <v>1430</v>
      </c>
      <c r="E59" s="1186" t="s">
        <v>1431</v>
      </c>
      <c r="F59" s="368" t="str">
        <f ca="1">IF(项目基本情况!B11="企业","",IF(INDIRECT("'数据-取费表'!c"&amp;$G$1)="住宅",5%,IF(F49*F50*F51/12/(1+'数据-取费表'!C42)&gt;20000,12%,7%)))</f>
        <v/>
      </c>
      <c r="I59" s="1925" t="s">
        <v>1563</v>
      </c>
      <c r="J59" s="1926">
        <f ca="1">IF(OR(M47="住宅",J51&lt;L48,J56="是"),"——",ROUND(C29*J58,0))</f>
        <v>1227</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25</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25.77</v>
      </c>
      <c r="D61" s="1831" t="s">
        <v>1438</v>
      </c>
      <c r="E61" s="1172" t="s">
        <v>1422</v>
      </c>
      <c r="F61" s="367">
        <f t="shared" si="0"/>
        <v>1.2E-2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1.05</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2173</v>
      </c>
      <c r="R62" s="1889" t="s">
        <v>1047</v>
      </c>
    </row>
    <row r="63" spans="1:18" s="1845" customFormat="1" ht="13.5" thickBot="1">
      <c r="A63" s="372"/>
      <c r="B63" s="1178"/>
      <c r="C63" s="29"/>
      <c r="D63" s="1188"/>
      <c r="E63" s="1172" t="s">
        <v>1447</v>
      </c>
      <c r="F63" s="348">
        <f t="shared" ca="1" si="0"/>
        <v>3499.25</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61.4</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61.4</v>
      </c>
      <c r="D65" s="1186" t="s">
        <v>1454</v>
      </c>
      <c r="E65" s="1172" t="s">
        <v>1422</v>
      </c>
      <c r="F65" s="376">
        <f t="shared" ca="1" si="0"/>
        <v>0.02</v>
      </c>
      <c r="I65" s="1932" t="s">
        <v>1579</v>
      </c>
      <c r="J65" s="1933">
        <v>40</v>
      </c>
      <c r="K65" s="1933">
        <v>30</v>
      </c>
      <c r="L65" s="1933">
        <v>50</v>
      </c>
      <c r="M65" s="1935">
        <v>0.02</v>
      </c>
      <c r="O65" s="1887" t="s">
        <v>1040</v>
      </c>
      <c r="P65" s="1888" t="s">
        <v>1528</v>
      </c>
      <c r="Q65" s="1889">
        <f ca="1">C40+J29</f>
        <v>2173</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-150</v>
      </c>
      <c r="D67" s="1185" t="s">
        <v>1464</v>
      </c>
      <c r="E67" s="1190"/>
      <c r="F67" s="1191"/>
      <c r="O67" s="1897" t="s">
        <v>1042</v>
      </c>
      <c r="P67" s="1888" t="s">
        <v>1562</v>
      </c>
      <c r="Q67" s="1936">
        <f ca="1">L51</f>
        <v>-3410</v>
      </c>
      <c r="R67" s="1889" t="s">
        <v>1582</v>
      </c>
    </row>
    <row r="68" spans="1:18" s="1845" customFormat="1" ht="16.5" thickBot="1">
      <c r="A68" s="1169" t="s">
        <v>1032</v>
      </c>
      <c r="B68" s="1170" t="s">
        <v>1485</v>
      </c>
      <c r="C68" s="346">
        <f ca="1">ROUND(C67*(1-((1+F70)/(1+F68))^F69)/(F68-F70),0)</f>
        <v>-2874</v>
      </c>
      <c r="D68" s="1187" t="s">
        <v>1469</v>
      </c>
      <c r="E68" s="1172" t="s">
        <v>1470</v>
      </c>
      <c r="F68" s="357">
        <f ca="1">F40</f>
        <v>4.4999999999999998E-2</v>
      </c>
      <c r="O68" s="1897" t="s">
        <v>1043</v>
      </c>
      <c r="P68" s="1937" t="s">
        <v>1583</v>
      </c>
      <c r="Q68" s="1889">
        <f ca="1">ROUND(Q69-Q70*Q71,0)</f>
        <v>-164</v>
      </c>
      <c r="R68" s="1889" t="s">
        <v>1051</v>
      </c>
    </row>
    <row r="69" spans="1:18" s="1845" customFormat="1" ht="13.5" thickBot="1">
      <c r="A69" s="1173"/>
      <c r="B69" s="1174"/>
      <c r="C69" s="351"/>
      <c r="D69" s="1192" t="s">
        <v>1473</v>
      </c>
      <c r="E69" s="1172" t="s">
        <v>1474</v>
      </c>
      <c r="F69" s="379">
        <f ca="1">F41</f>
        <v>45.01</v>
      </c>
      <c r="O69" s="1897" t="s">
        <v>1048</v>
      </c>
      <c r="P69" s="1937" t="s">
        <v>1584</v>
      </c>
      <c r="Q69" s="1889">
        <f ca="1">C39</f>
        <v>97</v>
      </c>
      <c r="R69" s="1889" t="s">
        <v>1529</v>
      </c>
    </row>
    <row r="70" spans="1:18" s="1845" customFormat="1" ht="13.5" thickBot="1">
      <c r="A70" s="1176"/>
      <c r="B70" s="1177"/>
      <c r="C70" s="355"/>
      <c r="D70" s="1188"/>
      <c r="E70" s="1172" t="s">
        <v>1477</v>
      </c>
      <c r="F70" s="1278"/>
      <c r="O70" s="1897" t="s">
        <v>1049</v>
      </c>
      <c r="P70" s="1937" t="s">
        <v>1585</v>
      </c>
      <c r="Q70" s="1889">
        <f ca="1">C13</f>
        <v>3068</v>
      </c>
      <c r="R70" s="1889" t="s">
        <v>1529</v>
      </c>
    </row>
    <row r="71" spans="1:18" s="1845" customFormat="1" ht="13.5" thickBot="1">
      <c r="A71" s="1193" t="s">
        <v>1033</v>
      </c>
      <c r="B71" s="1194" t="s">
        <v>1487</v>
      </c>
      <c r="C71" s="382">
        <f ca="1">ROUND(C68*10000/F71,0)</f>
        <v>-3346</v>
      </c>
      <c r="D71" s="1195" t="s">
        <v>1488</v>
      </c>
      <c r="E71" s="1196" t="s">
        <v>1489</v>
      </c>
      <c r="F71" s="385">
        <f ca="1">F43</f>
        <v>8588.09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261</v>
      </c>
      <c r="D75" s="1845"/>
      <c r="E75" s="1845"/>
      <c r="F75" s="1845"/>
      <c r="K75" s="1871"/>
      <c r="L75" s="1845"/>
      <c r="O75" s="1887" t="s">
        <v>1046</v>
      </c>
      <c r="P75" s="1888" t="s">
        <v>1549</v>
      </c>
      <c r="Q75" s="1889">
        <f ca="1">Q65+Q66</f>
        <v>2173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-1.6909999999999998</v>
      </c>
    </row>
    <row r="80" spans="1:18">
      <c r="B80" s="386" t="s">
        <v>1511</v>
      </c>
      <c r="C80" s="318">
        <f ca="1">ROUND(C75/C39,3)</f>
        <v>2.6909999999999998</v>
      </c>
    </row>
    <row r="81" spans="2:3">
      <c r="B81" s="314" t="s">
        <v>1512</v>
      </c>
      <c r="C81" s="282"/>
    </row>
    <row r="82" spans="2:3">
      <c r="B82" s="317" t="s">
        <v>1513</v>
      </c>
      <c r="C82" s="319">
        <f ca="1">1-C83</f>
        <v>-0.41199999999999992</v>
      </c>
    </row>
    <row r="83" spans="2:3">
      <c r="B83" s="317" t="s">
        <v>1514</v>
      </c>
      <c r="C83" s="318">
        <f ca="1">ROUND(C13/C40,3)</f>
        <v>1.4119999999999999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70" zoomScaleNormal="70" zoomScaleSheetLayoutView="90" workbookViewId="0">
      <selection activeCell="I67" sqref="I6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3083</v>
      </c>
      <c r="D1" s="1823" t="s">
        <v>3134</v>
      </c>
      <c r="E1" s="1824" t="s">
        <v>1387</v>
      </c>
      <c r="F1" s="1286">
        <f ca="1">J53</f>
        <v>45.01</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2528</v>
      </c>
      <c r="C2" s="1848" t="s">
        <v>1516</v>
      </c>
      <c r="D2" s="1848"/>
      <c r="E2" s="1849"/>
      <c r="F2" s="1850"/>
      <c r="G2" s="1851"/>
      <c r="H2" s="1843"/>
      <c r="I2" s="1843"/>
      <c r="J2" s="1843"/>
      <c r="K2" s="1844"/>
      <c r="L2" s="1843"/>
      <c r="M2" s="1843"/>
    </row>
    <row r="3" spans="1:37" ht="18" customHeight="1" thickBot="1">
      <c r="A3" s="1852" t="s">
        <v>1517</v>
      </c>
      <c r="B3" s="1853">
        <f ca="1">IF(ISERROR(B2*10000/F43),0,ROUND(B2*10000/F43,0))</f>
        <v>4032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195</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195</v>
      </c>
      <c r="D6" s="164" t="s">
        <v>3038</v>
      </c>
      <c r="E6" s="347" t="s">
        <v>1405</v>
      </c>
      <c r="F6" s="348">
        <f ca="1">INDIRECT("'数据-取费表'!u"&amp;$G$1)</f>
        <v>1</v>
      </c>
      <c r="G6" s="1854"/>
      <c r="H6" s="1294" t="s">
        <v>1035</v>
      </c>
      <c r="I6" s="3212" t="s">
        <v>1403</v>
      </c>
      <c r="J6" s="346">
        <f ca="1">ROUND(M6*M8*M7*(1-M9)/10000,0)</f>
        <v>0</v>
      </c>
      <c r="K6" s="164" t="s">
        <v>3037</v>
      </c>
      <c r="L6" s="347" t="s">
        <v>1405</v>
      </c>
      <c r="M6" s="348">
        <f ca="1">INDIRECT("'数据-取费表'!z"&amp;$G$1)</f>
        <v>0</v>
      </c>
    </row>
    <row r="7" spans="1:37" ht="18" customHeight="1">
      <c r="A7" s="1298"/>
      <c r="B7" s="3213"/>
      <c r="C7" s="1300"/>
      <c r="D7" s="352"/>
      <c r="E7" s="2955" t="s">
        <v>1406</v>
      </c>
      <c r="F7" s="348">
        <f ca="1">IF(INDIRECT("'数据-取费表'!ah"&amp;$G$1)="",INDIRECT("'数据-取费表'!k"&amp;$G$1),INDIRECT("'数据-取费表'!ah"&amp;$G$1))</f>
        <v>6269.49</v>
      </c>
      <c r="G7" s="1854"/>
      <c r="H7" s="349"/>
      <c r="I7" s="3213"/>
      <c r="J7" s="351"/>
      <c r="K7" s="352"/>
      <c r="L7" s="347" t="s">
        <v>1406</v>
      </c>
      <c r="M7" s="348">
        <f ca="1">F7</f>
        <v>6269.49</v>
      </c>
    </row>
    <row r="8" spans="1:37" ht="18" customHeight="1">
      <c r="A8" s="349"/>
      <c r="B8" s="3213"/>
      <c r="C8" s="351"/>
      <c r="D8" s="352"/>
      <c r="E8" s="347" t="s">
        <v>1407</v>
      </c>
      <c r="F8" s="348">
        <f ca="1">INDIRECT("'数据-取费表'!ai"&amp;$G$1)</f>
        <v>365</v>
      </c>
      <c r="G8" s="1854"/>
      <c r="H8" s="349"/>
      <c r="I8" s="3213"/>
      <c r="J8" s="351"/>
      <c r="K8" s="352"/>
      <c r="L8" s="347" t="s">
        <v>1407</v>
      </c>
      <c r="M8" s="348">
        <f ca="1">INDIRECT("'数据-取费表'!ai"&amp;$G$1)</f>
        <v>365</v>
      </c>
    </row>
    <row r="9" spans="1:37" ht="18" customHeight="1">
      <c r="A9" s="349"/>
      <c r="B9" s="3214"/>
      <c r="C9" s="351"/>
      <c r="D9" s="352"/>
      <c r="E9" s="347" t="s">
        <v>1408</v>
      </c>
      <c r="F9" s="357">
        <f ca="1">INDIRECT("'数据-取费表'!w"&amp;$G$1)</f>
        <v>0.15</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2240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1567</v>
      </c>
      <c r="D14" s="2949" t="s">
        <v>1418</v>
      </c>
      <c r="E14" s="2947"/>
      <c r="F14" s="364"/>
      <c r="G14" s="1854"/>
      <c r="H14" s="1204" t="s">
        <v>1035</v>
      </c>
      <c r="I14" s="347" t="s">
        <v>1419</v>
      </c>
      <c r="J14" s="24">
        <f ca="1">C29</f>
        <v>2240</v>
      </c>
      <c r="K14" s="2954"/>
      <c r="L14" s="982"/>
      <c r="M14" s="983"/>
    </row>
    <row r="15" spans="1:37" s="1861" customFormat="1" ht="18" customHeight="1" thickBot="1">
      <c r="A15" s="1204" t="s">
        <v>1036</v>
      </c>
      <c r="B15" s="347" t="s">
        <v>1420</v>
      </c>
      <c r="C15" s="24">
        <f ca="1">ROUND(C14*F15,0)</f>
        <v>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64</v>
      </c>
      <c r="K16" s="1340" t="s">
        <v>1425</v>
      </c>
      <c r="L16" s="2950"/>
      <c r="M16" s="1297"/>
    </row>
    <row r="17" spans="1:37" s="1861" customFormat="1" ht="18" customHeight="1">
      <c r="A17" s="1204" t="s">
        <v>1390</v>
      </c>
      <c r="B17" s="347" t="s">
        <v>1426</v>
      </c>
      <c r="C17" s="24">
        <f ca="1">ROUND(F17*(F43+INDIRECT("'数据-取费表'!S"&amp;$G$1))/10000,0)</f>
        <v>130</v>
      </c>
      <c r="D17" s="347" t="s">
        <v>1427</v>
      </c>
      <c r="E17" s="347" t="s">
        <v>1428</v>
      </c>
      <c r="F17" s="26">
        <f>'数据-取费表'!B35</f>
        <v>200</v>
      </c>
      <c r="G17" s="1857"/>
      <c r="H17" s="1204" t="s">
        <v>1035</v>
      </c>
      <c r="I17" s="347" t="s">
        <v>1429</v>
      </c>
      <c r="J17" s="24">
        <f ca="1">ROUND(IF(项目基本情况!B11="自然人",J5*M17,J18+J19+J20),1)</f>
        <v>19.600000000000001</v>
      </c>
      <c r="K17" s="2949" t="s">
        <v>1430</v>
      </c>
      <c r="L17" s="2948"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24</v>
      </c>
      <c r="D18" s="347" t="s">
        <v>1421</v>
      </c>
      <c r="E18" s="347" t="s">
        <v>1422</v>
      </c>
      <c r="F18" s="367">
        <f>'数据-取费表'!B36</f>
        <v>1.4999999999999999E-2</v>
      </c>
      <c r="G18" s="1857"/>
      <c r="H18" s="1204" t="s">
        <v>1034</v>
      </c>
      <c r="I18" s="347" t="s">
        <v>1433</v>
      </c>
      <c r="J18" s="24">
        <f ca="1">ROUND(J5*M18/(1+'数据-取费表'!C42),2)</f>
        <v>0</v>
      </c>
      <c r="K18" s="2948"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1768</v>
      </c>
      <c r="D19" s="140" t="s">
        <v>1436</v>
      </c>
      <c r="E19" s="2953"/>
      <c r="F19" s="26"/>
      <c r="G19" s="1854"/>
      <c r="H19" s="1204" t="s">
        <v>1036</v>
      </c>
      <c r="I19" s="347" t="s">
        <v>1437</v>
      </c>
      <c r="J19" s="24">
        <f ca="1">IF(K19="按租金收入计税",ROUND(J5*M19,2),ROUND(C29*M19*0.7,2))</f>
        <v>18.82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35</v>
      </c>
      <c r="D20" s="369" t="s">
        <v>1440</v>
      </c>
      <c r="E20" s="347" t="s">
        <v>1422</v>
      </c>
      <c r="F20" s="367">
        <f>'数据-取费表'!B37</f>
        <v>0.02</v>
      </c>
      <c r="G20" s="1857"/>
      <c r="H20" s="1204" t="s">
        <v>1389</v>
      </c>
      <c r="I20" s="164" t="s">
        <v>1441</v>
      </c>
      <c r="J20" s="25">
        <f ca="1">ROUND(M20*M21/10000,2)</f>
        <v>0.77</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2554.5300000000002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3"/>
      <c r="F22" s="26"/>
      <c r="G22" s="1854"/>
      <c r="H22" s="1204" t="s">
        <v>1039</v>
      </c>
      <c r="I22" s="347" t="s">
        <v>1449</v>
      </c>
      <c r="J22" s="24">
        <f ca="1">ROUND(J14*M22,1)</f>
        <v>44.8</v>
      </c>
      <c r="K22" s="2948"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48"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3"/>
      <c r="F25" s="26"/>
      <c r="G25" s="1854"/>
      <c r="H25" s="1332" t="s">
        <v>1031</v>
      </c>
      <c r="I25" s="1347" t="s">
        <v>1463</v>
      </c>
      <c r="J25" s="355">
        <f ca="1">J5-J16</f>
        <v>-64</v>
      </c>
      <c r="K25" s="1348" t="s">
        <v>1464</v>
      </c>
      <c r="L25" s="1349"/>
      <c r="M25" s="1350"/>
    </row>
    <row r="26" spans="1:37">
      <c r="A26" s="1204" t="s">
        <v>1034</v>
      </c>
      <c r="B26" s="347" t="s">
        <v>1465</v>
      </c>
      <c r="C26" s="24">
        <f ca="1">ROUND((C19+C20)*F26,0)</f>
        <v>180</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2240</v>
      </c>
      <c r="D29" s="1345"/>
      <c r="E29" s="1343"/>
      <c r="F29" s="1346"/>
      <c r="G29" s="1857"/>
      <c r="H29" s="380" t="s">
        <v>1033</v>
      </c>
      <c r="I29" s="381" t="s">
        <v>1479</v>
      </c>
      <c r="J29" s="382">
        <f ca="1">ROUND(J26/(1+F40)^F41,0)</f>
        <v>0</v>
      </c>
      <c r="K29" s="383" t="s">
        <v>1480</v>
      </c>
      <c r="L29" s="384"/>
      <c r="M29" s="385">
        <f ca="1">INDIRECT("'数据-取费表'!k"&amp;$G$1)</f>
        <v>6269.49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83</v>
      </c>
      <c r="D30" s="1340" t="s">
        <v>1425</v>
      </c>
      <c r="E30" s="2950"/>
      <c r="F30" s="1297"/>
      <c r="G30" s="1854"/>
      <c r="H30" s="745"/>
      <c r="I30" s="746"/>
      <c r="J30" s="747"/>
      <c r="K30" s="748"/>
      <c r="L30" s="749"/>
      <c r="M30" s="750"/>
    </row>
    <row r="31" spans="1:37" ht="18" customHeight="1">
      <c r="A31" s="1204" t="s">
        <v>1035</v>
      </c>
      <c r="B31" s="347" t="s">
        <v>1429</v>
      </c>
      <c r="C31" s="24">
        <f ca="1">ROUND(IF(项目基本情况!B11="自然人",C5*F31,C32+C33+C34),1)</f>
        <v>30</v>
      </c>
      <c r="D31" s="2949" t="s">
        <v>1430</v>
      </c>
      <c r="E31" s="2948"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10.4</v>
      </c>
      <c r="D32" s="2948"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18.82</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0.77</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2554.5300000000002</v>
      </c>
      <c r="G35" s="1854"/>
      <c r="H35" s="745"/>
      <c r="I35" s="1863"/>
      <c r="J35" s="1864"/>
      <c r="K35" s="1865"/>
      <c r="L35" s="1862"/>
      <c r="M35" s="1862"/>
    </row>
    <row r="36" spans="1:18" ht="18" customHeight="1">
      <c r="A36" s="1355" t="s">
        <v>1039</v>
      </c>
      <c r="B36" s="347" t="s">
        <v>1449</v>
      </c>
      <c r="C36" s="24">
        <f ca="1">ROUND(C29*F36,1)</f>
        <v>44.8</v>
      </c>
      <c r="D36" s="2948"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4.5</v>
      </c>
      <c r="D37" s="2948"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3.9</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112</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2509</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45.01</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ROUND(C40*10000/F43,0)</f>
        <v>4002</v>
      </c>
      <c r="D43" s="383" t="s">
        <v>1488</v>
      </c>
      <c r="E43" s="384" t="s">
        <v>1489</v>
      </c>
      <c r="F43" s="385">
        <f ca="1">INDIRECT("'数据-取费表'!k"&amp;$G$1)</f>
        <v>6269.49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-3831</v>
      </c>
      <c r="D46" s="1875" t="str">
        <f>C2</f>
        <v>万元</v>
      </c>
      <c r="E46" s="1869"/>
      <c r="F46" s="1869"/>
      <c r="I46" s="1876" t="s">
        <v>1521</v>
      </c>
      <c r="J46" s="1877"/>
      <c r="K46" s="1878"/>
      <c r="L46" s="1879">
        <f ca="1">IF(M47="住宅",0,IF(L48&gt;J51,L60,J60))</f>
        <v>19</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3093</v>
      </c>
      <c r="K47" s="1885" t="s">
        <v>1527</v>
      </c>
      <c r="L47" s="1886">
        <f ca="1">INDIRECT("'数据-取费表'!d"&amp;$G$1)</f>
        <v>50</v>
      </c>
      <c r="M47" s="1841" t="str">
        <f>IF(ISNUMBER(FIND("住宅",C1)),"住宅","非住宅")</f>
        <v>非住宅</v>
      </c>
      <c r="O47" s="1887" t="s">
        <v>1040</v>
      </c>
      <c r="P47" s="1888" t="s">
        <v>1528</v>
      </c>
      <c r="Q47" s="1889">
        <f ca="1">C40+J29</f>
        <v>2509</v>
      </c>
      <c r="R47" s="1889" t="s">
        <v>1529</v>
      </c>
    </row>
    <row r="48" spans="1:18" s="1845" customFormat="1" ht="28.5" thickBot="1">
      <c r="A48" s="1363" t="s">
        <v>1135</v>
      </c>
      <c r="B48" s="345" t="s">
        <v>1401</v>
      </c>
      <c r="C48" s="2952">
        <f ca="1">C49+C53+C55</f>
        <v>0</v>
      </c>
      <c r="D48" s="1365"/>
      <c r="E48" s="1366"/>
      <c r="F48" s="1184"/>
      <c r="G48" s="792"/>
      <c r="H48" s="793"/>
      <c r="I48" s="1890" t="s">
        <v>1530</v>
      </c>
      <c r="J48" s="1891" t="s">
        <v>3136</v>
      </c>
      <c r="K48" s="1892" t="s">
        <v>1531</v>
      </c>
      <c r="L48" s="1893">
        <f ca="1">INDIRECT("'数据-取费表'!f"&amp;$G$1)</f>
        <v>45.61</v>
      </c>
      <c r="O48" s="1887" t="s">
        <v>1041</v>
      </c>
      <c r="P48" s="1888" t="s">
        <v>1532</v>
      </c>
      <c r="Q48" s="1889">
        <f ca="1">J60</f>
        <v>19</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v>2019</v>
      </c>
      <c r="K49" s="1892" t="s">
        <v>1535</v>
      </c>
      <c r="L49" s="1896"/>
      <c r="O49" s="1897" t="s">
        <v>1042</v>
      </c>
      <c r="P49" s="1888" t="s">
        <v>1536</v>
      </c>
      <c r="Q49" s="1889">
        <f ca="1">C29</f>
        <v>2240</v>
      </c>
      <c r="R49" s="1889" t="s">
        <v>1529</v>
      </c>
    </row>
    <row r="50" spans="1:18" s="1845" customFormat="1" ht="13.5" thickBot="1">
      <c r="A50" s="1198"/>
      <c r="B50" s="1201"/>
      <c r="C50" s="1371"/>
      <c r="D50" s="1175"/>
      <c r="E50" s="1280" t="s">
        <v>1406</v>
      </c>
      <c r="F50" s="1281">
        <f ca="1">F7</f>
        <v>6269.49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61</v>
      </c>
      <c r="K51" s="1903" t="s">
        <v>1541</v>
      </c>
      <c r="L51" s="1904">
        <f ca="1">ROUND(-PV(INDIRECT("'数据-取费表'!h"&amp;$G$1),L48,(C39-C13*C76),0),0)</f>
        <v>-1632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45.01</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45.01</v>
      </c>
      <c r="K53" s="3210" t="s">
        <v>1548</v>
      </c>
      <c r="L53" s="3211"/>
      <c r="O53" s="1887" t="s">
        <v>1046</v>
      </c>
      <c r="P53" s="1888" t="s">
        <v>1549</v>
      </c>
      <c r="Q53" s="1889">
        <f ca="1">Q47+Q48</f>
        <v>2528</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f ca="1">ROUND(IF(J47="钢混",J57/J50,1-(1-2%)*(J50-J57)/J50),3)</f>
        <v>0.25700000000000001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2240</v>
      </c>
      <c r="D56" s="1917"/>
      <c r="E56" s="1918"/>
      <c r="F56" s="1910"/>
      <c r="I56" s="1919" t="s">
        <v>1554</v>
      </c>
      <c r="J56" s="1920" t="s">
        <v>3137</v>
      </c>
      <c r="K56" s="1890" t="s">
        <v>1555</v>
      </c>
      <c r="L56" s="1893" t="str">
        <f ca="1">IF(L48&lt;J51,"——",L48-J53)</f>
        <v>——</v>
      </c>
      <c r="O56" s="1887" t="s">
        <v>1040</v>
      </c>
      <c r="P56" s="1888" t="s">
        <v>1528</v>
      </c>
      <c r="Q56" s="1889">
        <f ca="1">C40+J29</f>
        <v>2509</v>
      </c>
      <c r="R56" s="1889" t="s">
        <v>1529</v>
      </c>
    </row>
    <row r="57" spans="1:18" s="1845" customFormat="1" ht="24.75" thickBot="1">
      <c r="A57" s="1921"/>
      <c r="B57" s="1172" t="s">
        <v>1478</v>
      </c>
      <c r="C57" s="282">
        <f ca="1">C29</f>
        <v>2240</v>
      </c>
      <c r="D57" s="1922"/>
      <c r="E57" s="1923"/>
      <c r="F57" s="1924"/>
      <c r="I57" s="1925" t="s">
        <v>1556</v>
      </c>
      <c r="J57" s="1926">
        <f ca="1">IF(OR(M47="住宅",J51&lt;L48,J56="是"),"——",J51-L48)</f>
        <v>15.39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19.600000000000001</v>
      </c>
      <c r="D59" s="1185" t="s">
        <v>1430</v>
      </c>
      <c r="E59" s="1186" t="s">
        <v>1431</v>
      </c>
      <c r="F59" s="368" t="str">
        <f ca="1">IF(项目基本情况!B11="企业","",IF(INDIRECT("'数据-取费表'!c"&amp;$G$1)="住宅",5%,IF(F49*F50*F51/12/(1+'数据-取费表'!C42)&gt;20000,12%,7%)))</f>
        <v/>
      </c>
      <c r="I59" s="1925" t="s">
        <v>1563</v>
      </c>
      <c r="J59" s="1926">
        <f ca="1">IF(OR(M47="住宅",J51&lt;L48,J56="是"),"——",ROUND(C29*J58,0))</f>
        <v>896</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18.82</v>
      </c>
      <c r="D61" s="1831" t="s">
        <v>1438</v>
      </c>
      <c r="E61" s="1172" t="s">
        <v>1422</v>
      </c>
      <c r="F61" s="367">
        <f t="shared" si="0"/>
        <v>1.2E-2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0.77</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2509</v>
      </c>
      <c r="R62" s="1889" t="s">
        <v>1047</v>
      </c>
    </row>
    <row r="63" spans="1:18" s="1845" customFormat="1" ht="13.5" thickBot="1">
      <c r="A63" s="372"/>
      <c r="B63" s="1178"/>
      <c r="C63" s="29"/>
      <c r="D63" s="1188"/>
      <c r="E63" s="1172" t="s">
        <v>1447</v>
      </c>
      <c r="F63" s="348">
        <f t="shared" ca="1" si="0"/>
        <v>2554.5300000000002</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44.8</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4.5</v>
      </c>
      <c r="D65" s="1186" t="s">
        <v>1454</v>
      </c>
      <c r="E65" s="1172" t="s">
        <v>1422</v>
      </c>
      <c r="F65" s="376">
        <f t="shared" ca="1" si="0"/>
        <v>2E-3</v>
      </c>
      <c r="I65" s="1932" t="s">
        <v>1579</v>
      </c>
      <c r="J65" s="1933">
        <v>40</v>
      </c>
      <c r="K65" s="1933">
        <v>30</v>
      </c>
      <c r="L65" s="1933">
        <v>50</v>
      </c>
      <c r="M65" s="1935">
        <v>0.02</v>
      </c>
      <c r="O65" s="1887" t="s">
        <v>1040</v>
      </c>
      <c r="P65" s="1888" t="s">
        <v>1528</v>
      </c>
      <c r="Q65" s="1889">
        <f ca="1">C40+J29</f>
        <v>2509</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-69</v>
      </c>
      <c r="D67" s="1185" t="s">
        <v>1464</v>
      </c>
      <c r="E67" s="1190"/>
      <c r="F67" s="1191"/>
      <c r="O67" s="1897" t="s">
        <v>1042</v>
      </c>
      <c r="P67" s="1888" t="s">
        <v>1562</v>
      </c>
      <c r="Q67" s="1936">
        <f ca="1">L51</f>
        <v>-1632</v>
      </c>
      <c r="R67" s="1889" t="s">
        <v>1582</v>
      </c>
    </row>
    <row r="68" spans="1:18" s="1845" customFormat="1" ht="16.5" thickBot="1">
      <c r="A68" s="1169" t="s">
        <v>1032</v>
      </c>
      <c r="B68" s="1170" t="s">
        <v>1485</v>
      </c>
      <c r="C68" s="346">
        <f ca="1">ROUND(C67*(1-((1+F70)/(1+F68))^F69)/(F68-F70),0)</f>
        <v>-1322</v>
      </c>
      <c r="D68" s="1187" t="s">
        <v>1469</v>
      </c>
      <c r="E68" s="1172" t="s">
        <v>1470</v>
      </c>
      <c r="F68" s="357">
        <f ca="1">F40</f>
        <v>4.4999999999999998E-2</v>
      </c>
      <c r="O68" s="1897" t="s">
        <v>1043</v>
      </c>
      <c r="P68" s="1937" t="s">
        <v>1583</v>
      </c>
      <c r="Q68" s="1889">
        <f ca="1">ROUND(Q69-Q70*Q71,0)</f>
        <v>-78</v>
      </c>
      <c r="R68" s="1889" t="s">
        <v>1051</v>
      </c>
    </row>
    <row r="69" spans="1:18" s="1845" customFormat="1" ht="13.5" thickBot="1">
      <c r="A69" s="1173"/>
      <c r="B69" s="1174"/>
      <c r="C69" s="351"/>
      <c r="D69" s="1192" t="s">
        <v>1473</v>
      </c>
      <c r="E69" s="1172" t="s">
        <v>1474</v>
      </c>
      <c r="F69" s="379">
        <f ca="1">F41</f>
        <v>45.01</v>
      </c>
      <c r="O69" s="1897" t="s">
        <v>1048</v>
      </c>
      <c r="P69" s="1937" t="s">
        <v>1584</v>
      </c>
      <c r="Q69" s="1889">
        <f ca="1">C39</f>
        <v>112</v>
      </c>
      <c r="R69" s="1889" t="s">
        <v>1529</v>
      </c>
    </row>
    <row r="70" spans="1:18" s="1845" customFormat="1" ht="13.5" thickBot="1">
      <c r="A70" s="1176"/>
      <c r="B70" s="1177"/>
      <c r="C70" s="355"/>
      <c r="D70" s="1188"/>
      <c r="E70" s="1172" t="s">
        <v>1477</v>
      </c>
      <c r="F70" s="1278"/>
      <c r="O70" s="1897" t="s">
        <v>1049</v>
      </c>
      <c r="P70" s="1937" t="s">
        <v>1585</v>
      </c>
      <c r="Q70" s="1889">
        <f ca="1">C13</f>
        <v>2240</v>
      </c>
      <c r="R70" s="1889" t="s">
        <v>1529</v>
      </c>
    </row>
    <row r="71" spans="1:18" s="1845" customFormat="1" ht="13.5" thickBot="1">
      <c r="A71" s="1193" t="s">
        <v>1033</v>
      </c>
      <c r="B71" s="1194" t="s">
        <v>1487</v>
      </c>
      <c r="C71" s="382">
        <f ca="1">ROUND(C68*10000/F71,0)</f>
        <v>-2109</v>
      </c>
      <c r="D71" s="1195" t="s">
        <v>1488</v>
      </c>
      <c r="E71" s="1196" t="s">
        <v>1489</v>
      </c>
      <c r="F71" s="385">
        <f ca="1">F43</f>
        <v>6269.49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190</v>
      </c>
      <c r="D75" s="1845"/>
      <c r="E75" s="1845"/>
      <c r="F75" s="1845"/>
      <c r="K75" s="1871"/>
      <c r="L75" s="1845"/>
      <c r="O75" s="1887" t="s">
        <v>1046</v>
      </c>
      <c r="P75" s="1888" t="s">
        <v>1549</v>
      </c>
      <c r="Q75" s="1889">
        <f ca="1">Q65+Q66</f>
        <v>2509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-0.69599999999999995</v>
      </c>
    </row>
    <row r="80" spans="1:18">
      <c r="B80" s="386" t="s">
        <v>1511</v>
      </c>
      <c r="C80" s="318">
        <f ca="1">ROUND(C75/C39,3)</f>
        <v>1.696</v>
      </c>
    </row>
    <row r="81" spans="2:3">
      <c r="B81" s="314" t="s">
        <v>1512</v>
      </c>
      <c r="C81" s="282"/>
    </row>
    <row r="82" spans="2:3">
      <c r="B82" s="317" t="s">
        <v>1513</v>
      </c>
      <c r="C82" s="319">
        <f ca="1">1-C83</f>
        <v>0.10699999999999998</v>
      </c>
    </row>
    <row r="83" spans="2:3">
      <c r="B83" s="317" t="s">
        <v>1514</v>
      </c>
      <c r="C83" s="318">
        <f ca="1">ROUND(C13/C40,3)</f>
        <v>0.89300000000000002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7" sqref="J27"/>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2531</v>
      </c>
      <c r="B1" s="2567"/>
      <c r="C1" s="2567"/>
      <c r="D1" s="2567"/>
      <c r="E1" s="2568"/>
    </row>
    <row r="2" spans="1:6" ht="15.75">
      <c r="A2" s="2569" t="s">
        <v>2334</v>
      </c>
      <c r="B2" s="2570">
        <f ca="1">SUMIF(B6:B13,"&lt;&gt;#ref!",B6:B13)</f>
        <v>38454</v>
      </c>
      <c r="C2" s="2571" t="s">
        <v>2524</v>
      </c>
      <c r="D2" s="2572" t="s">
        <v>2525</v>
      </c>
      <c r="E2" s="2573">
        <f>SUM(E6:E13)</f>
        <v>32573.119999999999</v>
      </c>
    </row>
    <row r="3" spans="1:6" ht="15.75">
      <c r="A3" s="2569" t="s">
        <v>1395</v>
      </c>
      <c r="B3" s="2570">
        <f ca="1">ROUND(B2*10000/E2,0)</f>
        <v>11805</v>
      </c>
      <c r="C3" s="2571" t="s">
        <v>2532</v>
      </c>
      <c r="D3" s="2574"/>
      <c r="E3" s="2575"/>
    </row>
    <row r="4" spans="1:6" ht="15.75">
      <c r="A4" s="2576"/>
      <c r="B4" s="2574"/>
      <c r="C4" s="2574"/>
      <c r="D4" s="2574"/>
      <c r="E4" s="2575"/>
    </row>
    <row r="5" spans="1:6" ht="15">
      <c r="A5" s="2577" t="s">
        <v>2526</v>
      </c>
      <c r="B5" s="3215" t="s">
        <v>2527</v>
      </c>
      <c r="C5" s="3215"/>
      <c r="D5" s="2578"/>
      <c r="E5" s="2579" t="s">
        <v>2528</v>
      </c>
      <c r="F5" s="2580" t="s">
        <v>2529</v>
      </c>
    </row>
    <row r="6" spans="1:6">
      <c r="A6" s="2581" t="str">
        <f>'数据-取费表'!AN6</f>
        <v>收益法（办公）</v>
      </c>
      <c r="B6" s="2580">
        <f ca="1">IF(F6="是",'数据-取费表'!AO6,0)</f>
        <v>33728</v>
      </c>
      <c r="C6" s="2571" t="s">
        <v>2524</v>
      </c>
      <c r="D6" s="2574"/>
      <c r="E6" s="2582">
        <f>IF(OR(A6=0,F6="否"),0,'数据-取费表'!K6+'数据-取费表'!S6)</f>
        <v>17111.939999999999</v>
      </c>
      <c r="F6" s="2583" t="s">
        <v>2530</v>
      </c>
    </row>
    <row r="7" spans="1:6">
      <c r="A7" s="2581" t="str">
        <f>'数据-取费表'!AN7</f>
        <v>收益法 (车库)</v>
      </c>
      <c r="B7" s="2580">
        <f ca="1">IF(F7="是",'数据-取费表'!AO7,0)</f>
        <v>2198</v>
      </c>
      <c r="C7" s="2571" t="s">
        <v>2524</v>
      </c>
      <c r="D7" s="2574"/>
      <c r="E7" s="2582">
        <f>IF(OR(A7=0,F7="否"),0,'数据-取费表'!K7+'数据-取费表'!S7)</f>
        <v>8936.99</v>
      </c>
      <c r="F7" s="2583" t="s">
        <v>2530</v>
      </c>
    </row>
    <row r="8" spans="1:6">
      <c r="A8" s="2581" t="str">
        <f>'数据-取费表'!AN8</f>
        <v>收益法（仓储）</v>
      </c>
      <c r="B8" s="2580">
        <f ca="1">IF(F8="是",'数据-取费表'!AO8,0)</f>
        <v>2528</v>
      </c>
      <c r="C8" s="2571" t="s">
        <v>2524</v>
      </c>
      <c r="D8" s="2574"/>
      <c r="E8" s="2582">
        <f>IF(OR(A8=0,F8="否"),0,'数据-取费表'!K8+'数据-取费表'!S8)</f>
        <v>6524.19</v>
      </c>
      <c r="F8" s="2583" t="s">
        <v>2530</v>
      </c>
    </row>
    <row r="9" spans="1:6">
      <c r="A9" s="2581">
        <f>'数据-取费表'!AN9</f>
        <v>0</v>
      </c>
      <c r="B9" s="2580" t="e">
        <f ca="1">IF(F9="是",'数据-取费表'!AO9,0)</f>
        <v>#REF!</v>
      </c>
      <c r="C9" s="2571" t="s">
        <v>2524</v>
      </c>
      <c r="D9" s="2574"/>
      <c r="E9" s="2582">
        <f>IF(OR(A9=0,F9="否"),0,'数据-取费表'!K9+'数据-取费表'!S9)</f>
        <v>0</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22" t="s">
        <v>1077</v>
      </c>
      <c r="B2" s="3223" t="s">
        <v>1078</v>
      </c>
      <c r="C2" s="3223"/>
      <c r="D2" s="1304" t="s">
        <v>1079</v>
      </c>
      <c r="E2" s="1304" t="s">
        <v>1080</v>
      </c>
      <c r="F2" s="1304" t="s">
        <v>1081</v>
      </c>
      <c r="G2" s="1304" t="s">
        <v>1082</v>
      </c>
      <c r="H2" s="1304" t="s">
        <v>1083</v>
      </c>
      <c r="I2" s="1305" t="s">
        <v>1084</v>
      </c>
    </row>
    <row r="3" spans="1:9">
      <c r="A3" s="3222"/>
      <c r="B3" s="3223" t="s">
        <v>1085</v>
      </c>
      <c r="C3" s="3223"/>
      <c r="D3" s="1306"/>
      <c r="E3" s="1304"/>
      <c r="F3" s="1307"/>
      <c r="G3" s="1307"/>
      <c r="H3" s="1308"/>
      <c r="I3" s="1309">
        <f>ROUND(D3*E3*F3*G3*H3/10000,0)</f>
        <v>0</v>
      </c>
    </row>
    <row r="4" spans="1:9">
      <c r="A4" s="3222"/>
      <c r="B4" s="3223" t="s">
        <v>1086</v>
      </c>
      <c r="C4" s="3223"/>
      <c r="D4" s="1306"/>
      <c r="E4" s="1304"/>
      <c r="F4" s="1307"/>
      <c r="G4" s="1307"/>
      <c r="H4" s="1308"/>
      <c r="I4" s="1309">
        <f t="shared" ref="I4:I9" si="0">ROUND(D4*E4*F4*G4*H4/10000,0)</f>
        <v>0</v>
      </c>
    </row>
    <row r="5" spans="1:9">
      <c r="A5" s="3222"/>
      <c r="B5" s="3223" t="s">
        <v>1087</v>
      </c>
      <c r="C5" s="3223"/>
      <c r="D5" s="1306"/>
      <c r="E5" s="1304"/>
      <c r="F5" s="1307"/>
      <c r="G5" s="1307"/>
      <c r="H5" s="1308"/>
      <c r="I5" s="1309">
        <f t="shared" si="0"/>
        <v>0</v>
      </c>
    </row>
    <row r="6" spans="1:9">
      <c r="A6" s="3222"/>
      <c r="B6" s="3223" t="s">
        <v>1088</v>
      </c>
      <c r="C6" s="3223"/>
      <c r="D6" s="1306"/>
      <c r="E6" s="1304"/>
      <c r="F6" s="1307"/>
      <c r="G6" s="1307"/>
      <c r="H6" s="1308"/>
      <c r="I6" s="1309">
        <f t="shared" si="0"/>
        <v>0</v>
      </c>
    </row>
    <row r="7" spans="1:9">
      <c r="A7" s="3222"/>
      <c r="B7" s="3223" t="s">
        <v>1089</v>
      </c>
      <c r="C7" s="3223"/>
      <c r="D7" s="1306"/>
      <c r="E7" s="1304"/>
      <c r="F7" s="1307"/>
      <c r="G7" s="1307"/>
      <c r="H7" s="1308"/>
      <c r="I7" s="1309">
        <f t="shared" si="0"/>
        <v>0</v>
      </c>
    </row>
    <row r="8" spans="1:9">
      <c r="A8" s="3222"/>
      <c r="B8" s="3223" t="s">
        <v>1090</v>
      </c>
      <c r="C8" s="3223"/>
      <c r="D8" s="1306"/>
      <c r="E8" s="1304"/>
      <c r="F8" s="1307"/>
      <c r="G8" s="1307"/>
      <c r="H8" s="1308"/>
      <c r="I8" s="1309">
        <f t="shared" si="0"/>
        <v>0</v>
      </c>
    </row>
    <row r="9" spans="1:9">
      <c r="A9" s="3222"/>
      <c r="B9" s="3223" t="s">
        <v>1091</v>
      </c>
      <c r="C9" s="3223"/>
      <c r="D9" s="1306"/>
      <c r="E9" s="1304"/>
      <c r="F9" s="1307"/>
      <c r="G9" s="1307"/>
      <c r="H9" s="1308"/>
      <c r="I9" s="1309">
        <f t="shared" si="0"/>
        <v>0</v>
      </c>
    </row>
    <row r="10" spans="1:9">
      <c r="A10" s="3222"/>
      <c r="B10" s="3224" t="s">
        <v>1092</v>
      </c>
      <c r="C10" s="3224"/>
      <c r="D10" s="1310"/>
      <c r="E10" s="1310" t="e">
        <f>ROUND(D1*10000/D10/H9,0)</f>
        <v>#DIV/0!</v>
      </c>
      <c r="F10" s="1311"/>
      <c r="G10" s="1311"/>
      <c r="H10" s="1312"/>
      <c r="I10" s="1313">
        <f>SUM(I3:I9)</f>
        <v>0</v>
      </c>
    </row>
    <row r="11" spans="1:9" ht="14.25">
      <c r="A11" s="3222" t="s">
        <v>1093</v>
      </c>
      <c r="B11" s="3223" t="s">
        <v>1094</v>
      </c>
      <c r="C11" s="3223"/>
      <c r="D11" s="1306" t="s">
        <v>1095</v>
      </c>
      <c r="E11" s="1306" t="s">
        <v>1096</v>
      </c>
      <c r="F11" s="1307" t="s">
        <v>1097</v>
      </c>
      <c r="G11" s="1307" t="s">
        <v>1083</v>
      </c>
      <c r="H11" s="1314" t="s">
        <v>1098</v>
      </c>
      <c r="I11" s="1305" t="s">
        <v>1084</v>
      </c>
    </row>
    <row r="12" spans="1:9">
      <c r="A12" s="3222"/>
      <c r="B12" s="3223" t="s">
        <v>1099</v>
      </c>
      <c r="C12" s="3223"/>
      <c r="D12" s="1306"/>
      <c r="E12" s="1306"/>
      <c r="F12" s="1307"/>
      <c r="G12" s="1308"/>
      <c r="H12" s="1315"/>
      <c r="I12" s="1305">
        <f>ROUND(D12*E12*F12*G12/10000,0)</f>
        <v>0</v>
      </c>
    </row>
    <row r="13" spans="1:9">
      <c r="A13" s="3222"/>
      <c r="B13" s="3223" t="s">
        <v>1100</v>
      </c>
      <c r="C13" s="3223"/>
      <c r="D13" s="1306"/>
      <c r="E13" s="1306"/>
      <c r="F13" s="1307"/>
      <c r="G13" s="1308"/>
      <c r="H13" s="1315"/>
      <c r="I13" s="1305">
        <f>ROUND(D13*E13*F13*G13/10000,0)</f>
        <v>0</v>
      </c>
    </row>
    <row r="14" spans="1:9">
      <c r="A14" s="3222"/>
      <c r="B14" s="3223" t="s">
        <v>1101</v>
      </c>
      <c r="C14" s="3223"/>
      <c r="D14" s="1306"/>
      <c r="E14" s="1306"/>
      <c r="F14" s="1307"/>
      <c r="G14" s="1308"/>
      <c r="H14" s="1315"/>
      <c r="I14" s="1305">
        <f>ROUND(D14*E14*F14*G14/10000,0)</f>
        <v>0</v>
      </c>
    </row>
    <row r="15" spans="1:9">
      <c r="A15" s="3222"/>
      <c r="B15" s="3224" t="s">
        <v>1092</v>
      </c>
      <c r="C15" s="3224"/>
      <c r="D15" s="1310"/>
      <c r="E15" s="1310">
        <f>SUM(E12:E14)</f>
        <v>0</v>
      </c>
      <c r="F15" s="1311"/>
      <c r="G15" s="1308"/>
      <c r="H15" s="1315"/>
      <c r="I15" s="1316">
        <f>SUM(I12:I14)</f>
        <v>0</v>
      </c>
    </row>
    <row r="16" spans="1:9" ht="24">
      <c r="A16" s="3222" t="s">
        <v>1102</v>
      </c>
      <c r="B16" s="3223" t="s">
        <v>1103</v>
      </c>
      <c r="C16" s="3223"/>
      <c r="D16" s="1306" t="s">
        <v>1079</v>
      </c>
      <c r="E16" s="1317" t="s">
        <v>1104</v>
      </c>
      <c r="F16" s="1307" t="s">
        <v>1105</v>
      </c>
      <c r="G16" s="1308" t="s">
        <v>1083</v>
      </c>
      <c r="H16" s="1314" t="s">
        <v>1098</v>
      </c>
      <c r="I16" s="1305" t="s">
        <v>1084</v>
      </c>
    </row>
    <row r="17" spans="1:9" ht="14.25">
      <c r="A17" s="3222"/>
      <c r="B17" s="3223" t="s">
        <v>1106</v>
      </c>
      <c r="C17" s="3223"/>
      <c r="D17" s="1306"/>
      <c r="E17" s="1306"/>
      <c r="F17" s="1307"/>
      <c r="G17" s="1308"/>
      <c r="H17" s="1318"/>
      <c r="I17" s="1319">
        <f>ROUND(D17*E17*F17*G17/10000,0)</f>
        <v>0</v>
      </c>
    </row>
    <row r="18" spans="1:9" ht="14.25">
      <c r="A18" s="3222"/>
      <c r="B18" s="3223" t="s">
        <v>1107</v>
      </c>
      <c r="C18" s="3223"/>
      <c r="D18" s="1306"/>
      <c r="E18" s="1306"/>
      <c r="F18" s="1307"/>
      <c r="G18" s="1308"/>
      <c r="H18" s="1318"/>
      <c r="I18" s="1319">
        <f>ROUND(D18*E18*F18*G18/10000,0)</f>
        <v>0</v>
      </c>
    </row>
    <row r="19" spans="1:9" ht="14.25">
      <c r="A19" s="3222"/>
      <c r="B19" s="3223" t="s">
        <v>1108</v>
      </c>
      <c r="C19" s="3223"/>
      <c r="D19" s="1306"/>
      <c r="E19" s="1306"/>
      <c r="F19" s="1307"/>
      <c r="G19" s="1308"/>
      <c r="H19" s="1318"/>
      <c r="I19" s="1319">
        <f>ROUND(D19*E19*F19*G19/10000,0)</f>
        <v>0</v>
      </c>
    </row>
    <row r="20" spans="1:9">
      <c r="A20" s="3222"/>
      <c r="B20" s="3224" t="s">
        <v>1092</v>
      </c>
      <c r="C20" s="3224"/>
      <c r="D20" s="1310">
        <f>SUM(D17:D19)</f>
        <v>0</v>
      </c>
      <c r="E20" s="1310"/>
      <c r="F20" s="1311"/>
      <c r="G20" s="1308"/>
      <c r="H20" s="1315"/>
      <c r="I20" s="1316">
        <f>SUM(I17:I19)</f>
        <v>0</v>
      </c>
    </row>
    <row r="21" spans="1:9">
      <c r="A21" s="3222" t="s">
        <v>1109</v>
      </c>
      <c r="B21" s="3225"/>
      <c r="C21" s="3225"/>
      <c r="D21" s="3225"/>
      <c r="E21" s="3225"/>
      <c r="F21" s="3225"/>
      <c r="G21" s="3225"/>
      <c r="H21" s="1768">
        <v>0.1</v>
      </c>
      <c r="I21" s="1313">
        <f>ROUND(I10*H21,0)</f>
        <v>0</v>
      </c>
    </row>
    <row r="22" spans="1:9" ht="14.25">
      <c r="A22" s="3226" t="s">
        <v>1110</v>
      </c>
      <c r="B22" s="3227"/>
      <c r="C22" s="3228"/>
      <c r="D22" s="1320" t="s">
        <v>1111</v>
      </c>
      <c r="E22" s="1320" t="s">
        <v>1112</v>
      </c>
      <c r="F22" s="1321" t="s">
        <v>1113</v>
      </c>
      <c r="G22" s="1321" t="s">
        <v>1114</v>
      </c>
      <c r="H22" s="1314" t="s">
        <v>1115</v>
      </c>
      <c r="I22" s="1305" t="s">
        <v>1116</v>
      </c>
    </row>
    <row r="23" spans="1:9" ht="14.25" thickBot="1">
      <c r="A23" s="3229"/>
      <c r="B23" s="3230"/>
      <c r="C23" s="3231"/>
      <c r="D23" s="1322"/>
      <c r="E23" s="1322"/>
      <c r="F23" s="1322"/>
      <c r="G23" s="1323"/>
      <c r="H23" s="1324"/>
      <c r="I23" s="1325">
        <f>ROUND(E23*D23*F23*(1-G23)/10000,0)</f>
        <v>0</v>
      </c>
    </row>
    <row r="26" spans="1:9">
      <c r="A26" s="1326" t="s">
        <v>1117</v>
      </c>
      <c r="B26" s="1326"/>
      <c r="C26" s="1326"/>
      <c r="D26" s="1326"/>
      <c r="E26" s="3219">
        <f>C27-C30-C31-C32</f>
        <v>0</v>
      </c>
      <c r="F26" s="3219"/>
      <c r="G26" s="3219"/>
      <c r="H26" s="1740" t="s">
        <v>1340</v>
      </c>
    </row>
    <row r="27" spans="1:9">
      <c r="A27" s="1327">
        <v>1</v>
      </c>
      <c r="B27" s="1328" t="s">
        <v>1118</v>
      </c>
      <c r="C27" s="1328">
        <f>C28+C29</f>
        <v>0</v>
      </c>
      <c r="D27" s="1328"/>
      <c r="E27" s="3220"/>
      <c r="F27" s="3220"/>
      <c r="G27" s="3220"/>
    </row>
    <row r="28" spans="1:9">
      <c r="A28" s="1329" t="s">
        <v>1119</v>
      </c>
      <c r="B28" s="1328" t="s">
        <v>1120</v>
      </c>
      <c r="C28" s="1328"/>
      <c r="D28" s="1328"/>
      <c r="E28" s="3220"/>
      <c r="F28" s="3220"/>
      <c r="G28" s="322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1"/>
      <c r="F32" s="3221"/>
      <c r="G32" s="3221"/>
    </row>
    <row r="33" spans="1:7" hidden="1">
      <c r="A33" s="3216" t="s">
        <v>1129</v>
      </c>
      <c r="B33" s="3217"/>
      <c r="C33" s="3217"/>
      <c r="D33" s="3218"/>
      <c r="E33" s="3219"/>
      <c r="F33" s="3219"/>
      <c r="G33" s="3219"/>
    </row>
    <row r="34" spans="1:7" hidden="1">
      <c r="A34" s="1331">
        <v>1</v>
      </c>
      <c r="B34" s="1328" t="s">
        <v>1130</v>
      </c>
      <c r="C34" s="1328"/>
      <c r="D34" s="1328"/>
      <c r="E34" s="3220"/>
      <c r="F34" s="3220"/>
      <c r="G34" s="3220"/>
    </row>
    <row r="35" spans="1:7" hidden="1">
      <c r="A35" s="1331">
        <v>2</v>
      </c>
      <c r="B35" s="1328" t="s">
        <v>1131</v>
      </c>
      <c r="C35" s="1328"/>
      <c r="D35" s="1328"/>
      <c r="E35" s="3220"/>
      <c r="F35" s="3220"/>
      <c r="G35" s="3220"/>
    </row>
    <row r="36" spans="1:7" hidden="1">
      <c r="A36" s="1331">
        <v>3</v>
      </c>
      <c r="B36" s="1328" t="s">
        <v>1132</v>
      </c>
      <c r="C36" s="1328"/>
      <c r="D36" s="1328"/>
      <c r="E36" s="3220"/>
      <c r="F36" s="3220"/>
      <c r="G36" s="3220"/>
    </row>
    <row r="37" spans="1:7" hidden="1">
      <c r="A37" s="1331">
        <v>4</v>
      </c>
      <c r="B37" s="1328" t="s">
        <v>1133</v>
      </c>
      <c r="C37" s="1328"/>
      <c r="D37" s="1328"/>
      <c r="E37" s="3220"/>
      <c r="F37" s="3220"/>
      <c r="G37" s="3220"/>
    </row>
    <row r="38" spans="1:7" hidden="1">
      <c r="A38" s="3216" t="s">
        <v>1134</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2534</v>
      </c>
      <c r="C1" s="1637" t="s">
        <v>2535</v>
      </c>
      <c r="D1" s="1624"/>
      <c r="E1" s="2588"/>
      <c r="F1" s="2589" t="s">
        <v>2536</v>
      </c>
      <c r="G1" s="1634" t="s">
        <v>2537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2539</v>
      </c>
      <c r="D3" s="399">
        <f>IF(D1="",'数据-汇总表'!E3,SUMIF('数据-汇总表'!$C19:$C33,D1,'数据-汇总表'!$E19:$E33))</f>
        <v>32573.120000000003</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2540</v>
      </c>
      <c r="B4" s="402"/>
      <c r="C4" s="3177" t="s">
        <v>2541</v>
      </c>
      <c r="D4" s="3178"/>
      <c r="E4" s="3179" t="s">
        <v>2542</v>
      </c>
      <c r="F4" s="3180"/>
      <c r="G4" s="3177" t="s">
        <v>2543</v>
      </c>
      <c r="H4" s="3178"/>
      <c r="I4" s="3177" t="s">
        <v>2544</v>
      </c>
      <c r="J4" s="3178"/>
      <c r="K4" s="2601" t="s">
        <v>2545</v>
      </c>
      <c r="L4" s="1133"/>
      <c r="M4" s="1134"/>
      <c r="N4" s="1134"/>
      <c r="O4" s="1134"/>
      <c r="P4" s="3241" t="s">
        <v>2546</v>
      </c>
      <c r="Q4" s="3242"/>
      <c r="R4" s="3245" t="s">
        <v>2542</v>
      </c>
      <c r="S4" s="3246"/>
      <c r="T4" s="3245" t="s">
        <v>2543</v>
      </c>
      <c r="U4" s="3246"/>
      <c r="V4" s="3194" t="s">
        <v>2544</v>
      </c>
      <c r="W4" s="3194"/>
      <c r="X4" s="1816"/>
      <c r="Y4" s="3245" t="s">
        <v>2546</v>
      </c>
      <c r="Z4" s="3246"/>
      <c r="AA4" s="3240" t="s">
        <v>2542</v>
      </c>
      <c r="AB4" s="3240" t="s">
        <v>2543</v>
      </c>
      <c r="AC4" s="3240" t="s">
        <v>2544</v>
      </c>
    </row>
    <row r="5" spans="1:29" ht="15">
      <c r="A5" s="404"/>
      <c r="B5" s="405"/>
      <c r="C5" s="3247" t="s">
        <v>2547</v>
      </c>
      <c r="D5" s="3198"/>
      <c r="E5" s="3248" t="s">
        <v>2548</v>
      </c>
      <c r="F5" s="3209"/>
      <c r="G5" s="3247" t="s">
        <v>2549</v>
      </c>
      <c r="H5" s="3198"/>
      <c r="I5" s="3247" t="s">
        <v>2550</v>
      </c>
      <c r="J5" s="3198"/>
      <c r="K5" s="2602"/>
      <c r="L5" s="1133"/>
      <c r="M5" s="1134"/>
      <c r="N5" s="1134"/>
      <c r="O5" s="1134"/>
      <c r="P5" s="3243"/>
      <c r="Q5" s="3184"/>
      <c r="R5" s="3189"/>
      <c r="S5" s="3190"/>
      <c r="T5" s="3189"/>
      <c r="U5" s="3190"/>
      <c r="V5" s="3194"/>
      <c r="W5" s="3194"/>
      <c r="X5" s="1816"/>
      <c r="Y5" s="3189"/>
      <c r="Z5" s="3190"/>
      <c r="AA5" s="3206"/>
      <c r="AB5" s="3206"/>
      <c r="AC5" s="3206"/>
    </row>
    <row r="6" spans="1:29" ht="15.75" thickBot="1">
      <c r="A6" s="406"/>
      <c r="B6" s="407"/>
      <c r="C6" s="3195" t="s">
        <v>2551</v>
      </c>
      <c r="D6" s="3196"/>
      <c r="E6" s="3203" t="s">
        <v>2551</v>
      </c>
      <c r="F6" s="3204"/>
      <c r="G6" s="3195" t="s">
        <v>2551</v>
      </c>
      <c r="H6" s="3196"/>
      <c r="I6" s="3195" t="s">
        <v>2551</v>
      </c>
      <c r="J6" s="3196"/>
      <c r="K6" s="2602" t="s">
        <v>2552</v>
      </c>
      <c r="L6" s="1133"/>
      <c r="M6" s="1134"/>
      <c r="N6" s="1134"/>
      <c r="O6" s="1134"/>
      <c r="P6" s="3244"/>
      <c r="Q6" s="3186"/>
      <c r="R6" s="3189"/>
      <c r="S6" s="3190"/>
      <c r="T6" s="3191"/>
      <c r="U6" s="3192"/>
      <c r="V6" s="3194"/>
      <c r="W6" s="3194"/>
      <c r="X6" s="1816"/>
      <c r="Y6" s="3191"/>
      <c r="Z6" s="3192"/>
      <c r="AA6" s="3207"/>
      <c r="AB6" s="3207"/>
      <c r="AC6" s="3207"/>
    </row>
    <row r="7" spans="1:29" s="117" customFormat="1" ht="15.75" thickBot="1">
      <c r="A7" s="408" t="s">
        <v>2553</v>
      </c>
      <c r="B7" s="409"/>
      <c r="C7" s="410">
        <f>'数据-取费表'!B2</f>
        <v>43276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1" t="s">
        <v>2554</v>
      </c>
      <c r="Q7" s="3202"/>
      <c r="R7" s="770" t="s">
        <v>23</v>
      </c>
      <c r="S7" s="771">
        <f t="shared" ref="S7:S15" si="0">F7</f>
        <v>0</v>
      </c>
      <c r="T7" s="770" t="s">
        <v>23</v>
      </c>
      <c r="U7" s="771">
        <f t="shared" ref="U7:U15" si="1">H7</f>
        <v>0</v>
      </c>
      <c r="V7" s="770" t="s">
        <v>23</v>
      </c>
      <c r="W7" s="771">
        <f t="shared" ref="W7:W15" si="2">J7</f>
        <v>0</v>
      </c>
      <c r="X7" s="772"/>
      <c r="Y7" s="3201" t="s">
        <v>2554</v>
      </c>
      <c r="Z7" s="3200"/>
      <c r="AA7" s="773" t="e">
        <f>D7/F7</f>
        <v>#DIV/0!</v>
      </c>
      <c r="AB7" s="773" t="e">
        <f>D7/H7</f>
        <v>#DIV/0!</v>
      </c>
      <c r="AC7" s="773" t="e">
        <f>D7/J7</f>
        <v>#DIV/0!</v>
      </c>
    </row>
    <row r="8" spans="1:29" s="117" customFormat="1" ht="15.75" thickBot="1">
      <c r="A8" s="408" t="s">
        <v>2555</v>
      </c>
      <c r="B8" s="409"/>
      <c r="C8" s="414" t="s">
        <v>2556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1" t="s">
        <v>2557</v>
      </c>
      <c r="Q8" s="3200"/>
      <c r="R8" s="770" t="s">
        <v>23</v>
      </c>
      <c r="S8" s="771">
        <f t="shared" si="0"/>
        <v>0</v>
      </c>
      <c r="T8" s="770" t="s">
        <v>23</v>
      </c>
      <c r="U8" s="771">
        <f t="shared" si="1"/>
        <v>0</v>
      </c>
      <c r="V8" s="770" t="s">
        <v>23</v>
      </c>
      <c r="W8" s="771">
        <f t="shared" si="2"/>
        <v>0</v>
      </c>
      <c r="X8" s="772"/>
      <c r="Y8" s="3201" t="s">
        <v>2557</v>
      </c>
      <c r="Z8" s="3200"/>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59" t="s">
        <v>2560</v>
      </c>
      <c r="Q9" s="1798" t="str">
        <f t="shared" ref="Q9:Q15" si="6">B9</f>
        <v>用途</v>
      </c>
      <c r="R9" s="770" t="s">
        <v>17</v>
      </c>
      <c r="S9" s="771">
        <f t="shared" si="0"/>
        <v>100</v>
      </c>
      <c r="T9" s="770" t="s">
        <v>17</v>
      </c>
      <c r="U9" s="771">
        <f t="shared" si="1"/>
        <v>100</v>
      </c>
      <c r="V9" s="770" t="s">
        <v>17</v>
      </c>
      <c r="W9" s="771">
        <f t="shared" si="2"/>
        <v>100</v>
      </c>
      <c r="X9" s="772"/>
      <c r="Y9" s="301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9"/>
      <c r="Q11" s="1798"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59"/>
      <c r="Q12" s="1798">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59"/>
      <c r="Q13" s="1798">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59"/>
      <c r="Q14" s="1798">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2564</v>
      </c>
      <c r="B15" s="69" t="s">
        <v>2090</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5" t="s">
        <v>2565</v>
      </c>
      <c r="Q15" s="1813" t="str">
        <f t="shared" si="6"/>
        <v>居住社区成熟度</v>
      </c>
      <c r="R15" s="774" t="s">
        <v>21</v>
      </c>
      <c r="S15" s="775">
        <f t="shared" si="0"/>
        <v>100</v>
      </c>
      <c r="T15" s="774" t="s">
        <v>21</v>
      </c>
      <c r="U15" s="775">
        <f t="shared" si="1"/>
        <v>100</v>
      </c>
      <c r="V15" s="774" t="s">
        <v>21</v>
      </c>
      <c r="W15" s="775">
        <f t="shared" si="2"/>
        <v>100</v>
      </c>
      <c r="X15" s="1816"/>
      <c r="Y15" s="3167" t="s">
        <v>2565</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166"/>
      <c r="Q16" s="1813"/>
      <c r="R16" s="774"/>
      <c r="S16" s="775"/>
      <c r="T16" s="774"/>
      <c r="U16" s="775"/>
      <c r="V16" s="774"/>
      <c r="W16" s="775"/>
      <c r="X16" s="1816"/>
      <c r="Y16" s="3168"/>
      <c r="Z16" s="1817"/>
      <c r="AA16" s="1814">
        <v>1</v>
      </c>
      <c r="AB16" s="1814">
        <v>1</v>
      </c>
      <c r="AC16" s="1814">
        <v>1</v>
      </c>
    </row>
    <row r="17" spans="1:29" ht="85.5">
      <c r="A17" s="428"/>
      <c r="B17" s="451" t="s">
        <v>2102</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6"/>
      <c r="Q17" s="1813" t="str">
        <f>B17</f>
        <v>交通便捷度</v>
      </c>
      <c r="R17" s="774" t="s">
        <v>21</v>
      </c>
      <c r="S17" s="775">
        <f>F17</f>
        <v>100</v>
      </c>
      <c r="T17" s="774" t="s">
        <v>21</v>
      </c>
      <c r="U17" s="775">
        <f>H17</f>
        <v>100</v>
      </c>
      <c r="V17" s="774" t="s">
        <v>21</v>
      </c>
      <c r="W17" s="775">
        <f>J17</f>
        <v>100</v>
      </c>
      <c r="X17" s="1816"/>
      <c r="Y17" s="3168"/>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166"/>
      <c r="Q18" s="1813"/>
      <c r="R18" s="774"/>
      <c r="S18" s="775"/>
      <c r="T18" s="774"/>
      <c r="U18" s="775"/>
      <c r="V18" s="774"/>
      <c r="W18" s="775"/>
      <c r="X18" s="1816"/>
      <c r="Y18" s="3168"/>
      <c r="Z18" s="1817"/>
      <c r="AA18" s="1814">
        <v>1</v>
      </c>
      <c r="AB18" s="1814">
        <v>1</v>
      </c>
      <c r="AC18" s="1814">
        <v>1</v>
      </c>
    </row>
    <row r="19" spans="1:29" ht="42.75">
      <c r="A19" s="428"/>
      <c r="B19" s="451" t="s">
        <v>2100</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6"/>
      <c r="Q19" s="1813" t="str">
        <f>B19</f>
        <v>公共配套设施</v>
      </c>
      <c r="R19" s="774" t="s">
        <v>21</v>
      </c>
      <c r="S19" s="775">
        <f>F19</f>
        <v>100</v>
      </c>
      <c r="T19" s="774" t="s">
        <v>21</v>
      </c>
      <c r="U19" s="775">
        <f>H19</f>
        <v>100</v>
      </c>
      <c r="V19" s="774" t="s">
        <v>21</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166"/>
      <c r="Q20" s="1813"/>
      <c r="R20" s="774"/>
      <c r="S20" s="775"/>
      <c r="T20" s="774"/>
      <c r="U20" s="775"/>
      <c r="V20" s="774"/>
      <c r="W20" s="775"/>
      <c r="X20" s="1816"/>
      <c r="Y20" s="3168"/>
      <c r="Z20" s="1817"/>
      <c r="AA20" s="1814">
        <v>1</v>
      </c>
      <c r="AB20" s="1814">
        <v>1</v>
      </c>
      <c r="AC20" s="1814">
        <v>1</v>
      </c>
    </row>
    <row r="21" spans="1:29" ht="28.5">
      <c r="A21" s="428"/>
      <c r="B21" s="1387" t="s">
        <v>2103</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166"/>
      <c r="Q22" s="1813"/>
      <c r="R22" s="774"/>
      <c r="S22" s="775"/>
      <c r="T22" s="774"/>
      <c r="U22" s="775"/>
      <c r="V22" s="774"/>
      <c r="W22" s="775"/>
      <c r="X22" s="1816"/>
      <c r="Y22" s="3168"/>
      <c r="Z22" s="1817"/>
      <c r="AA22" s="1814">
        <v>1</v>
      </c>
      <c r="AB22" s="1814">
        <v>1</v>
      </c>
      <c r="AC22" s="1814">
        <v>1</v>
      </c>
    </row>
    <row r="23" spans="1:29" ht="57">
      <c r="A23" s="428"/>
      <c r="B23" s="451" t="s">
        <v>2107</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6"/>
      <c r="Q23" s="1813" t="str">
        <f>B23</f>
        <v>自然及人文环境</v>
      </c>
      <c r="R23" s="774" t="s">
        <v>21</v>
      </c>
      <c r="S23" s="775">
        <f>F23</f>
        <v>100</v>
      </c>
      <c r="T23" s="774" t="s">
        <v>21</v>
      </c>
      <c r="U23" s="775">
        <f>H23</f>
        <v>100</v>
      </c>
      <c r="V23" s="774" t="s">
        <v>21</v>
      </c>
      <c r="W23" s="775">
        <f>J23</f>
        <v>100</v>
      </c>
      <c r="X23" s="1816"/>
      <c r="Y23" s="3168"/>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166"/>
      <c r="Q24" s="1813"/>
      <c r="R24" s="774"/>
      <c r="S24" s="775"/>
      <c r="T24" s="774"/>
      <c r="U24" s="775"/>
      <c r="V24" s="774"/>
      <c r="W24" s="775"/>
      <c r="X24" s="1816"/>
      <c r="Y24" s="3168"/>
      <c r="Z24" s="1817"/>
      <c r="AA24" s="1814">
        <v>1</v>
      </c>
      <c r="AB24" s="1814">
        <v>1</v>
      </c>
      <c r="AC24" s="1814">
        <v>1</v>
      </c>
    </row>
    <row r="25" spans="1:29" ht="15">
      <c r="A25" s="428"/>
      <c r="B25" s="422" t="s">
        <v>2566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6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8"/>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66"/>
      <c r="Q26" s="1813" t="str">
        <f t="shared" si="11"/>
        <v>朝向</v>
      </c>
      <c r="R26" s="774" t="s">
        <v>21</v>
      </c>
      <c r="S26" s="775">
        <f t="shared" si="12"/>
        <v>100</v>
      </c>
      <c r="T26" s="774" t="s">
        <v>21</v>
      </c>
      <c r="U26" s="775">
        <f t="shared" si="13"/>
        <v>100</v>
      </c>
      <c r="V26" s="774" t="s">
        <v>21</v>
      </c>
      <c r="W26" s="775">
        <f t="shared" si="14"/>
        <v>100</v>
      </c>
      <c r="X26" s="1816"/>
      <c r="Y26" s="316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66"/>
      <c r="Q27" s="1798">
        <f t="shared" si="11"/>
        <v>111</v>
      </c>
      <c r="R27" s="770" t="s">
        <v>21</v>
      </c>
      <c r="S27" s="771">
        <f t="shared" si="12"/>
        <v>100</v>
      </c>
      <c r="T27" s="770" t="s">
        <v>21</v>
      </c>
      <c r="U27" s="771">
        <f t="shared" si="13"/>
        <v>100</v>
      </c>
      <c r="V27" s="770" t="s">
        <v>21</v>
      </c>
      <c r="W27" s="771">
        <f t="shared" si="14"/>
        <v>100</v>
      </c>
      <c r="X27" s="772"/>
      <c r="Y27" s="316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66"/>
      <c r="Q28" s="1813">
        <f t="shared" si="11"/>
        <v>111</v>
      </c>
      <c r="R28" s="774" t="s">
        <v>21</v>
      </c>
      <c r="S28" s="775">
        <f t="shared" si="12"/>
        <v>100</v>
      </c>
      <c r="T28" s="774" t="s">
        <v>21</v>
      </c>
      <c r="U28" s="775">
        <f t="shared" si="13"/>
        <v>100</v>
      </c>
      <c r="V28" s="774" t="s">
        <v>21</v>
      </c>
      <c r="W28" s="775">
        <f t="shared" si="14"/>
        <v>100</v>
      </c>
      <c r="X28" s="1816"/>
      <c r="Y28" s="316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66"/>
      <c r="Q29" s="1813">
        <f t="shared" si="11"/>
        <v>111</v>
      </c>
      <c r="R29" s="774" t="s">
        <v>21</v>
      </c>
      <c r="S29" s="775">
        <f t="shared" si="12"/>
        <v>100</v>
      </c>
      <c r="T29" s="774" t="s">
        <v>21</v>
      </c>
      <c r="U29" s="775">
        <f t="shared" si="13"/>
        <v>100</v>
      </c>
      <c r="V29" s="774" t="s">
        <v>21</v>
      </c>
      <c r="W29" s="775">
        <f t="shared" si="14"/>
        <v>100</v>
      </c>
      <c r="X29" s="1816"/>
      <c r="Y29" s="316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66"/>
      <c r="Q30" s="1813">
        <f t="shared" si="11"/>
        <v>111</v>
      </c>
      <c r="R30" s="774" t="s">
        <v>21</v>
      </c>
      <c r="S30" s="775">
        <f t="shared" si="12"/>
        <v>100</v>
      </c>
      <c r="T30" s="774" t="s">
        <v>21</v>
      </c>
      <c r="U30" s="775">
        <f t="shared" si="13"/>
        <v>100</v>
      </c>
      <c r="V30" s="774" t="s">
        <v>21</v>
      </c>
      <c r="W30" s="775">
        <f t="shared" si="14"/>
        <v>100</v>
      </c>
      <c r="X30" s="1816"/>
      <c r="Y30" s="316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66"/>
      <c r="Q31" s="1813">
        <f t="shared" si="11"/>
        <v>111</v>
      </c>
      <c r="R31" s="774" t="s">
        <v>21</v>
      </c>
      <c r="S31" s="775">
        <f t="shared" si="12"/>
        <v>100</v>
      </c>
      <c r="T31" s="774" t="s">
        <v>21</v>
      </c>
      <c r="U31" s="775">
        <f t="shared" si="13"/>
        <v>100</v>
      </c>
      <c r="V31" s="774" t="s">
        <v>21</v>
      </c>
      <c r="W31" s="775">
        <f t="shared" si="14"/>
        <v>100</v>
      </c>
      <c r="X31" s="1816"/>
      <c r="Y31" s="3168"/>
      <c r="Z31" s="1817">
        <f t="shared" si="18"/>
        <v>111</v>
      </c>
      <c r="AA31" s="1814">
        <f t="shared" si="15"/>
        <v>1</v>
      </c>
      <c r="AB31" s="1814">
        <f t="shared" si="16"/>
        <v>1</v>
      </c>
      <c r="AC31" s="1814">
        <f t="shared" si="17"/>
        <v>1</v>
      </c>
    </row>
    <row r="32" spans="1:29" ht="15">
      <c r="A32" s="440" t="s">
        <v>2568</v>
      </c>
      <c r="B32" s="71" t="s">
        <v>2569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69" t="s">
        <v>2570</v>
      </c>
      <c r="Q32" s="1813" t="str">
        <f t="shared" si="11"/>
        <v>建筑类型</v>
      </c>
      <c r="R32" s="774" t="s">
        <v>21</v>
      </c>
      <c r="S32" s="775">
        <f t="shared" si="12"/>
        <v>100</v>
      </c>
      <c r="T32" s="774" t="s">
        <v>21</v>
      </c>
      <c r="U32" s="775">
        <f t="shared" si="13"/>
        <v>100</v>
      </c>
      <c r="V32" s="774" t="s">
        <v>21</v>
      </c>
      <c r="W32" s="775">
        <f t="shared" si="14"/>
        <v>100</v>
      </c>
      <c r="X32" s="1816"/>
      <c r="Y32" s="3172"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70"/>
      <c r="Q33" s="776" t="str">
        <f t="shared" si="11"/>
        <v>项目建筑规模</v>
      </c>
      <c r="R33" s="777" t="s">
        <v>21</v>
      </c>
      <c r="S33" s="778" t="e">
        <f t="shared" si="12"/>
        <v>#N/A</v>
      </c>
      <c r="T33" s="777" t="s">
        <v>21</v>
      </c>
      <c r="U33" s="778" t="e">
        <f t="shared" si="13"/>
        <v>#N/A</v>
      </c>
      <c r="V33" s="777" t="s">
        <v>21</v>
      </c>
      <c r="W33" s="778" t="e">
        <f t="shared" si="14"/>
        <v>#N/A</v>
      </c>
      <c r="X33" s="779"/>
      <c r="Y33" s="3172"/>
      <c r="Z33" s="780" t="str">
        <f t="shared" si="18"/>
        <v>项目建筑规模</v>
      </c>
      <c r="AA33" s="1814" t="e">
        <f t="shared" si="15"/>
        <v>#N/A</v>
      </c>
      <c r="AB33" s="1814" t="e">
        <f t="shared" si="16"/>
        <v>#N/A</v>
      </c>
      <c r="AC33" s="1814" t="e">
        <f t="shared" si="17"/>
        <v>#N/A</v>
      </c>
    </row>
    <row r="34" spans="1:29" ht="15">
      <c r="A34" s="472"/>
      <c r="B34" s="422" t="s">
        <v>2572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70"/>
      <c r="Q34" s="1813" t="str">
        <f t="shared" si="11"/>
        <v>建筑结构</v>
      </c>
      <c r="R34" s="774" t="s">
        <v>21</v>
      </c>
      <c r="S34" s="775">
        <f t="shared" si="12"/>
        <v>100</v>
      </c>
      <c r="T34" s="774" t="s">
        <v>21</v>
      </c>
      <c r="U34" s="775">
        <f t="shared" si="13"/>
        <v>100</v>
      </c>
      <c r="V34" s="774" t="s">
        <v>21</v>
      </c>
      <c r="W34" s="775">
        <f t="shared" si="14"/>
        <v>100</v>
      </c>
      <c r="X34" s="1816"/>
      <c r="Y34" s="3172"/>
      <c r="Z34" s="1817" t="str">
        <f t="shared" si="18"/>
        <v>建筑结构</v>
      </c>
      <c r="AA34" s="1814">
        <f t="shared" si="15"/>
        <v>1</v>
      </c>
      <c r="AB34" s="1814">
        <f t="shared" si="16"/>
        <v>1</v>
      </c>
      <c r="AC34" s="1814">
        <f t="shared" si="17"/>
        <v>1</v>
      </c>
    </row>
    <row r="35" spans="1:29" ht="15">
      <c r="A35" s="472"/>
      <c r="B35" s="422" t="s">
        <v>2573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70"/>
      <c r="Q35" s="1813" t="str">
        <f t="shared" si="11"/>
        <v>建筑品质</v>
      </c>
      <c r="R35" s="774" t="s">
        <v>21</v>
      </c>
      <c r="S35" s="775">
        <f t="shared" si="12"/>
        <v>100</v>
      </c>
      <c r="T35" s="774" t="s">
        <v>21</v>
      </c>
      <c r="U35" s="775">
        <f t="shared" si="13"/>
        <v>100</v>
      </c>
      <c r="V35" s="774" t="s">
        <v>21</v>
      </c>
      <c r="W35" s="775">
        <f t="shared" si="14"/>
        <v>100</v>
      </c>
      <c r="X35" s="1816"/>
      <c r="Y35" s="3172"/>
      <c r="Z35" s="1817" t="str">
        <f t="shared" si="18"/>
        <v>建筑品质</v>
      </c>
      <c r="AA35" s="1814">
        <f t="shared" si="15"/>
        <v>1</v>
      </c>
      <c r="AB35" s="1814">
        <f t="shared" si="16"/>
        <v>1</v>
      </c>
      <c r="AC35" s="1814">
        <f t="shared" si="17"/>
        <v>1</v>
      </c>
    </row>
    <row r="36" spans="1:29" ht="15">
      <c r="A36" s="472"/>
      <c r="B36" s="422" t="s">
        <v>2574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70"/>
      <c r="Q36" s="1813" t="str">
        <f t="shared" si="11"/>
        <v>公共部分装修</v>
      </c>
      <c r="R36" s="774" t="s">
        <v>21</v>
      </c>
      <c r="S36" s="775">
        <f t="shared" si="12"/>
        <v>100</v>
      </c>
      <c r="T36" s="774" t="s">
        <v>21</v>
      </c>
      <c r="U36" s="775">
        <f t="shared" si="13"/>
        <v>100</v>
      </c>
      <c r="V36" s="774" t="s">
        <v>21</v>
      </c>
      <c r="W36" s="775">
        <f t="shared" si="14"/>
        <v>100</v>
      </c>
      <c r="X36" s="1816"/>
      <c r="Y36" s="3172"/>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0"/>
      <c r="Q37" s="1798" t="str">
        <f t="shared" si="11"/>
        <v>成新度</v>
      </c>
      <c r="R37" s="770" t="s">
        <v>21</v>
      </c>
      <c r="S37" s="771" t="e">
        <f t="shared" si="12"/>
        <v>#N/A</v>
      </c>
      <c r="T37" s="770" t="s">
        <v>21</v>
      </c>
      <c r="U37" s="771" t="e">
        <f t="shared" si="13"/>
        <v>#N/A</v>
      </c>
      <c r="V37" s="770" t="s">
        <v>21</v>
      </c>
      <c r="W37" s="771" t="e">
        <f t="shared" si="14"/>
        <v>#N/A</v>
      </c>
      <c r="X37" s="772"/>
      <c r="Y37" s="3172"/>
      <c r="Z37" s="55" t="str">
        <f t="shared" si="18"/>
        <v>成新度</v>
      </c>
      <c r="AA37" s="773" t="e">
        <f t="shared" si="15"/>
        <v>#N/A</v>
      </c>
      <c r="AB37" s="773" t="e">
        <f t="shared" si="16"/>
        <v>#N/A</v>
      </c>
      <c r="AC37" s="773" t="e">
        <f t="shared" si="17"/>
        <v>#N/A</v>
      </c>
    </row>
    <row r="38" spans="1:29" ht="15">
      <c r="A38" s="472"/>
      <c r="B38" s="422" t="s">
        <v>2576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70" t="s">
        <v>2570</v>
      </c>
      <c r="Q38" s="1813" t="str">
        <f t="shared" si="11"/>
        <v>物业管理</v>
      </c>
      <c r="R38" s="774" t="s">
        <v>21</v>
      </c>
      <c r="S38" s="775">
        <f t="shared" si="12"/>
        <v>100</v>
      </c>
      <c r="T38" s="774" t="s">
        <v>21</v>
      </c>
      <c r="U38" s="775">
        <f t="shared" si="13"/>
        <v>100</v>
      </c>
      <c r="V38" s="774" t="s">
        <v>21</v>
      </c>
      <c r="W38" s="775">
        <f t="shared" si="14"/>
        <v>100</v>
      </c>
      <c r="X38" s="1816"/>
      <c r="Y38" s="3172" t="s">
        <v>2570</v>
      </c>
      <c r="Z38" s="1817" t="str">
        <f t="shared" si="18"/>
        <v>物业管理</v>
      </c>
      <c r="AA38" s="1814">
        <f t="shared" si="15"/>
        <v>1</v>
      </c>
      <c r="AB38" s="1814">
        <f t="shared" si="16"/>
        <v>1</v>
      </c>
      <c r="AC38" s="1814">
        <f t="shared" si="17"/>
        <v>1</v>
      </c>
    </row>
    <row r="39" spans="1:29" ht="15">
      <c r="A39" s="472"/>
      <c r="B39" s="422" t="s">
        <v>2577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70"/>
      <c r="Q39" s="1813" t="str">
        <f t="shared" si="11"/>
        <v>市政基础设施</v>
      </c>
      <c r="R39" s="774" t="s">
        <v>21</v>
      </c>
      <c r="S39" s="775">
        <f t="shared" si="12"/>
        <v>100</v>
      </c>
      <c r="T39" s="774" t="s">
        <v>21</v>
      </c>
      <c r="U39" s="775">
        <f t="shared" si="13"/>
        <v>100</v>
      </c>
      <c r="V39" s="774" t="s">
        <v>21</v>
      </c>
      <c r="W39" s="775">
        <f t="shared" si="14"/>
        <v>100</v>
      </c>
      <c r="X39" s="1816"/>
      <c r="Y39" s="3172"/>
      <c r="Z39" s="1817" t="str">
        <f t="shared" si="18"/>
        <v>市政基础设施</v>
      </c>
      <c r="AA39" s="1814">
        <f t="shared" si="15"/>
        <v>1</v>
      </c>
      <c r="AB39" s="1814">
        <f t="shared" si="16"/>
        <v>1</v>
      </c>
      <c r="AC39" s="1814">
        <f t="shared" si="17"/>
        <v>1</v>
      </c>
    </row>
    <row r="40" spans="1:29" ht="15">
      <c r="A40" s="472"/>
      <c r="B40" s="422" t="s">
        <v>2578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70"/>
      <c r="Q40" s="1813" t="str">
        <f t="shared" si="11"/>
        <v>房型</v>
      </c>
      <c r="R40" s="774" t="s">
        <v>21</v>
      </c>
      <c r="S40" s="775">
        <f t="shared" si="12"/>
        <v>100</v>
      </c>
      <c r="T40" s="774" t="s">
        <v>21</v>
      </c>
      <c r="U40" s="775">
        <f t="shared" si="13"/>
        <v>100</v>
      </c>
      <c r="V40" s="774" t="s">
        <v>21</v>
      </c>
      <c r="W40" s="775">
        <f t="shared" si="14"/>
        <v>100</v>
      </c>
      <c r="X40" s="1816"/>
      <c r="Y40" s="3172"/>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70"/>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4">
        <f t="shared" si="15"/>
        <v>1</v>
      </c>
      <c r="AB41" s="1814">
        <f t="shared" si="16"/>
        <v>1</v>
      </c>
      <c r="AC41" s="1814">
        <f t="shared" si="17"/>
        <v>1</v>
      </c>
    </row>
    <row r="42" spans="1:29" ht="15">
      <c r="A42" s="472"/>
      <c r="B42" s="422" t="s">
        <v>2580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70"/>
      <c r="Q42" s="1813" t="str">
        <f t="shared" si="11"/>
        <v>内部装修</v>
      </c>
      <c r="R42" s="774" t="s">
        <v>21</v>
      </c>
      <c r="S42" s="775">
        <f t="shared" si="12"/>
        <v>100</v>
      </c>
      <c r="T42" s="774" t="s">
        <v>21</v>
      </c>
      <c r="U42" s="775">
        <f t="shared" si="13"/>
        <v>100</v>
      </c>
      <c r="V42" s="774" t="s">
        <v>21</v>
      </c>
      <c r="W42" s="775">
        <f t="shared" si="14"/>
        <v>100</v>
      </c>
      <c r="X42" s="1816"/>
      <c r="Y42" s="3172"/>
      <c r="Z42" s="1817" t="str">
        <f t="shared" si="18"/>
        <v>内部装修</v>
      </c>
      <c r="AA42" s="1814">
        <f t="shared" si="15"/>
        <v>1</v>
      </c>
      <c r="AB42" s="1814">
        <f t="shared" si="16"/>
        <v>1</v>
      </c>
      <c r="AC42" s="1814">
        <f t="shared" si="17"/>
        <v>1</v>
      </c>
    </row>
    <row r="43" spans="1:29" ht="15">
      <c r="A43" s="472"/>
      <c r="B43" s="422" t="s">
        <v>2581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70"/>
      <c r="Q43" s="1813" t="str">
        <f t="shared" si="11"/>
        <v>内部装修维护情况</v>
      </c>
      <c r="R43" s="774" t="s">
        <v>21</v>
      </c>
      <c r="S43" s="775">
        <f t="shared" si="12"/>
        <v>100</v>
      </c>
      <c r="T43" s="774" t="s">
        <v>21</v>
      </c>
      <c r="U43" s="775">
        <f t="shared" si="13"/>
        <v>100</v>
      </c>
      <c r="V43" s="774" t="s">
        <v>21</v>
      </c>
      <c r="W43" s="775">
        <f t="shared" si="14"/>
        <v>100</v>
      </c>
      <c r="X43" s="1816"/>
      <c r="Y43" s="317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70"/>
      <c r="Q44" s="1798">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70"/>
      <c r="Q45" s="1813">
        <f t="shared" si="11"/>
        <v>111</v>
      </c>
      <c r="R45" s="774" t="s">
        <v>21</v>
      </c>
      <c r="S45" s="775">
        <f t="shared" si="12"/>
        <v>100</v>
      </c>
      <c r="T45" s="774" t="s">
        <v>21</v>
      </c>
      <c r="U45" s="775">
        <f t="shared" si="13"/>
        <v>100</v>
      </c>
      <c r="V45" s="774" t="s">
        <v>21</v>
      </c>
      <c r="W45" s="775">
        <f t="shared" si="14"/>
        <v>100</v>
      </c>
      <c r="X45" s="1816"/>
      <c r="Y45" s="3172"/>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71"/>
      <c r="Q46" s="1813">
        <f t="shared" si="11"/>
        <v>111</v>
      </c>
      <c r="R46" s="774" t="s">
        <v>20</v>
      </c>
      <c r="S46" s="775">
        <f t="shared" si="12"/>
        <v>100</v>
      </c>
      <c r="T46" s="774" t="s">
        <v>20</v>
      </c>
      <c r="U46" s="775">
        <f t="shared" si="13"/>
        <v>100</v>
      </c>
      <c r="V46" s="774" t="s">
        <v>20</v>
      </c>
      <c r="W46" s="775">
        <f t="shared" si="14"/>
        <v>100</v>
      </c>
      <c r="X46" s="1816"/>
      <c r="Y46" s="3173"/>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6"/>
      <c r="L47" s="1146"/>
      <c r="M47" s="1147"/>
      <c r="N47" s="1134"/>
      <c r="O47" s="1147"/>
      <c r="P47" s="3160" t="str">
        <f>A47</f>
        <v>成交单价（元/平方米）</v>
      </c>
      <c r="Q47" s="3160"/>
      <c r="R47" s="3161">
        <f>E47</f>
        <v>0</v>
      </c>
      <c r="S47" s="3161"/>
      <c r="T47" s="3161">
        <f>G47</f>
        <v>0</v>
      </c>
      <c r="U47" s="3161"/>
      <c r="V47" s="3161">
        <f>I47</f>
        <v>0</v>
      </c>
      <c r="W47" s="3161"/>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7"/>
      <c r="L48" s="1146"/>
      <c r="M48" s="1147"/>
      <c r="N48" s="1147"/>
      <c r="O48" s="1147"/>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8"/>
      <c r="L49" s="1146"/>
      <c r="M49" s="1147"/>
      <c r="N49" s="1147"/>
      <c r="O49" s="1147"/>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2103</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2620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2621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受贵公司委托，我公司对北京市北京市海淀区永丰产业基地Ⅱ-4-C地段出让国有建设用地使用权及在建建筑物房地产抵押价值进行了预评估。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永丰产业基地Ⅱ-4-C地段出让国有建设用地使用权及在建建筑物房地产，为所有。根据《国有土地使用证》[]，估价对象（分摊）出让国有建设用地使用权面积为12753.9平方米，建筑面积为32573.12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永丰产业基地Ⅱ-4-C地段出让国有建设用地使用权及在建建筑物房地产,属开发建设的，该项目尚在开发建设中。根据《国有土地使用证》[]，估价对象（分摊）出让国有建设用地使用权面积为12753.9平方米，规划建筑面积为32573.12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2018年6月25日（评估专业人员实地查勘之日）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2647</v>
      </c>
      <c r="C1" s="1637" t="s">
        <v>2535</v>
      </c>
      <c r="D1" s="1624"/>
      <c r="E1" s="2662"/>
      <c r="F1" s="2589"/>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2334</v>
      </c>
      <c r="B2" s="1421" t="e">
        <f ca="1">IF(C2="——",ROUND(C49*D3/10000,0),ROUND(C49*D3/10000,0)-D2)</f>
        <v>#DIV/0!</v>
      </c>
      <c r="C2" s="2591"/>
      <c r="D2" s="1368" t="e">
        <f ca="1">SUMIF(INDIRECT("'"&amp;F2&amp;"'"&amp;"!A:A"),"承租人权益价值",INDIRECT("'"&amp;F2&amp;"'"&amp;"!c:c"))</f>
        <v>#REF!</v>
      </c>
      <c r="E2" s="2592" t="s">
        <v>2335</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2336</v>
      </c>
      <c r="B3" s="609" t="e">
        <f ca="1">IF(C2="——",C49,ROUND(B2*10000/D3,0))</f>
        <v>#DIV/0!</v>
      </c>
      <c r="C3" s="400" t="s">
        <v>2649</v>
      </c>
      <c r="D3" s="399">
        <f>IF(D1="",'数据-汇总表'!E3,SUMIF('数据-汇总表'!$C19:$C33,D1,'数据-汇总表'!$E19:$E33))</f>
        <v>32573.120000000003</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177" t="s">
        <v>2651</v>
      </c>
      <c r="D4" s="3178"/>
      <c r="E4" s="3179" t="s">
        <v>2652</v>
      </c>
      <c r="F4" s="3180"/>
      <c r="G4" s="3177" t="s">
        <v>2653</v>
      </c>
      <c r="H4" s="3178"/>
      <c r="I4" s="3177" t="s">
        <v>2654</v>
      </c>
      <c r="J4" s="3178"/>
      <c r="K4" s="610" t="s">
        <v>2655</v>
      </c>
      <c r="L4" s="1133"/>
      <c r="M4" s="1134"/>
      <c r="N4" s="1134"/>
      <c r="O4" s="1134"/>
      <c r="P4" s="3241" t="s">
        <v>2656</v>
      </c>
      <c r="Q4" s="3242"/>
      <c r="R4" s="3245" t="s">
        <v>2652</v>
      </c>
      <c r="S4" s="3246"/>
      <c r="T4" s="3245" t="s">
        <v>2653</v>
      </c>
      <c r="U4" s="3246"/>
      <c r="V4" s="3194" t="s">
        <v>2654</v>
      </c>
      <c r="W4" s="3194"/>
      <c r="X4" s="1816"/>
      <c r="Y4" s="3245" t="s">
        <v>2656</v>
      </c>
      <c r="Z4" s="3246"/>
      <c r="AA4" s="3240" t="s">
        <v>2652</v>
      </c>
      <c r="AB4" s="3194" t="s">
        <v>2653</v>
      </c>
      <c r="AC4" s="3240" t="s">
        <v>2654</v>
      </c>
    </row>
    <row r="5" spans="1:29" ht="15">
      <c r="A5" s="404"/>
      <c r="B5" s="405"/>
      <c r="C5" s="3247" t="s">
        <v>2547</v>
      </c>
      <c r="D5" s="3198"/>
      <c r="E5" s="3248" t="s">
        <v>2548</v>
      </c>
      <c r="F5" s="3209"/>
      <c r="G5" s="3247" t="s">
        <v>2549</v>
      </c>
      <c r="H5" s="3198"/>
      <c r="I5" s="3247" t="s">
        <v>2550</v>
      </c>
      <c r="J5" s="3198"/>
      <c r="K5" s="610"/>
      <c r="L5" s="1133"/>
      <c r="M5" s="1134"/>
      <c r="N5" s="1134"/>
      <c r="O5" s="1134"/>
      <c r="P5" s="3243"/>
      <c r="Q5" s="3184"/>
      <c r="R5" s="3189"/>
      <c r="S5" s="3190"/>
      <c r="T5" s="3189"/>
      <c r="U5" s="3190"/>
      <c r="V5" s="3194"/>
      <c r="W5" s="3194"/>
      <c r="X5" s="1816"/>
      <c r="Y5" s="3189"/>
      <c r="Z5" s="3190"/>
      <c r="AA5" s="3206"/>
      <c r="AB5" s="3194"/>
      <c r="AC5" s="3206"/>
    </row>
    <row r="6" spans="1:29" ht="15.75" thickBot="1">
      <c r="A6" s="406"/>
      <c r="B6" s="407"/>
      <c r="C6" s="3195" t="s">
        <v>2551</v>
      </c>
      <c r="D6" s="3196"/>
      <c r="E6" s="3203" t="s">
        <v>2551</v>
      </c>
      <c r="F6" s="3204"/>
      <c r="G6" s="3195" t="s">
        <v>2551</v>
      </c>
      <c r="H6" s="3196"/>
      <c r="I6" s="3195" t="s">
        <v>2551</v>
      </c>
      <c r="J6" s="3196"/>
      <c r="K6" s="610" t="s">
        <v>2552</v>
      </c>
      <c r="L6" s="1133"/>
      <c r="M6" s="1134"/>
      <c r="N6" s="1134"/>
      <c r="O6" s="1134"/>
      <c r="P6" s="3244"/>
      <c r="Q6" s="3186"/>
      <c r="R6" s="3189"/>
      <c r="S6" s="3190"/>
      <c r="T6" s="3191"/>
      <c r="U6" s="3192"/>
      <c r="V6" s="3194"/>
      <c r="W6" s="3194"/>
      <c r="X6" s="1816"/>
      <c r="Y6" s="3191"/>
      <c r="Z6" s="3192"/>
      <c r="AA6" s="3207"/>
      <c r="AB6" s="3194"/>
      <c r="AC6" s="3207"/>
    </row>
    <row r="7" spans="1:29" s="117" customFormat="1" ht="15.75" thickBot="1">
      <c r="A7" s="408" t="s">
        <v>2553</v>
      </c>
      <c r="B7" s="409"/>
      <c r="C7" s="410">
        <f>'数据-取费表'!B2</f>
        <v>43276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1" t="s">
        <v>2554</v>
      </c>
      <c r="Q7" s="3202"/>
      <c r="R7" s="770" t="s">
        <v>17</v>
      </c>
      <c r="S7" s="771">
        <f t="shared" ref="S7:S15" si="0">F7</f>
        <v>0</v>
      </c>
      <c r="T7" s="770" t="s">
        <v>17</v>
      </c>
      <c r="U7" s="771">
        <f t="shared" ref="U7:U15" si="1">H7</f>
        <v>0</v>
      </c>
      <c r="V7" s="770" t="s">
        <v>17</v>
      </c>
      <c r="W7" s="771">
        <f t="shared" ref="W7:W15" si="2">J7</f>
        <v>0</v>
      </c>
      <c r="X7" s="772"/>
      <c r="Y7" s="3201" t="s">
        <v>2554</v>
      </c>
      <c r="Z7" s="3200"/>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1" t="s">
        <v>2557</v>
      </c>
      <c r="Q8" s="3200"/>
      <c r="R8" s="770" t="s">
        <v>17</v>
      </c>
      <c r="S8" s="771">
        <f t="shared" si="0"/>
        <v>0</v>
      </c>
      <c r="T8" s="770" t="s">
        <v>17</v>
      </c>
      <c r="U8" s="771">
        <f t="shared" si="1"/>
        <v>0</v>
      </c>
      <c r="V8" s="770" t="s">
        <v>17</v>
      </c>
      <c r="W8" s="771">
        <f t="shared" si="2"/>
        <v>0</v>
      </c>
      <c r="X8" s="772"/>
      <c r="Y8" s="3201" t="s">
        <v>2557</v>
      </c>
      <c r="Z8" s="3200"/>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9" t="s">
        <v>2560</v>
      </c>
      <c r="Q9" s="1798" t="str">
        <f t="shared" ref="Q9:Q15" si="6">B9</f>
        <v>用途</v>
      </c>
      <c r="R9" s="770" t="s">
        <v>17</v>
      </c>
      <c r="S9" s="771">
        <f t="shared" si="0"/>
        <v>100</v>
      </c>
      <c r="T9" s="770" t="s">
        <v>17</v>
      </c>
      <c r="U9" s="771">
        <f t="shared" si="1"/>
        <v>100</v>
      </c>
      <c r="V9" s="770" t="s">
        <v>17</v>
      </c>
      <c r="W9" s="771">
        <f t="shared" si="2"/>
        <v>100</v>
      </c>
      <c r="X9" s="772"/>
      <c r="Y9" s="301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9"/>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2564</v>
      </c>
      <c r="B15" s="69" t="s">
        <v>2658</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5" t="s">
        <v>2565</v>
      </c>
      <c r="Q15" s="1813" t="str">
        <f t="shared" si="6"/>
        <v>商业繁华度</v>
      </c>
      <c r="R15" s="774" t="s">
        <v>17</v>
      </c>
      <c r="S15" s="775">
        <f t="shared" si="0"/>
        <v>100</v>
      </c>
      <c r="T15" s="774" t="s">
        <v>17</v>
      </c>
      <c r="U15" s="775">
        <f t="shared" si="1"/>
        <v>100</v>
      </c>
      <c r="V15" s="774" t="s">
        <v>17</v>
      </c>
      <c r="W15" s="775">
        <f t="shared" si="2"/>
        <v>100</v>
      </c>
      <c r="X15" s="1816"/>
      <c r="Y15" s="3167"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6"/>
      <c r="Q16" s="1813"/>
      <c r="R16" s="774"/>
      <c r="S16" s="775"/>
      <c r="T16" s="774"/>
      <c r="U16" s="775"/>
      <c r="V16" s="774"/>
      <c r="W16" s="775"/>
      <c r="X16" s="1816"/>
      <c r="Y16" s="3168"/>
      <c r="Z16" s="1817"/>
      <c r="AA16" s="1814">
        <v>1</v>
      </c>
      <c r="AB16" s="1814">
        <v>1</v>
      </c>
      <c r="AC16" s="1814">
        <v>1</v>
      </c>
    </row>
    <row r="17" spans="1:29" ht="85.5">
      <c r="A17" s="428"/>
      <c r="B17" s="451" t="s">
        <v>2102</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166"/>
      <c r="Q18" s="1813"/>
      <c r="R18" s="774"/>
      <c r="S18" s="775"/>
      <c r="T18" s="774"/>
      <c r="U18" s="775"/>
      <c r="V18" s="774"/>
      <c r="W18" s="775"/>
      <c r="X18" s="1816"/>
      <c r="Y18" s="3168"/>
      <c r="Z18" s="1817"/>
      <c r="AA18" s="1814">
        <v>1</v>
      </c>
      <c r="AB18" s="1814">
        <v>1</v>
      </c>
      <c r="AC18" s="1814">
        <v>1</v>
      </c>
    </row>
    <row r="19" spans="1:29" ht="42.75">
      <c r="A19" s="428"/>
      <c r="B19" s="451" t="s">
        <v>2659</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166"/>
      <c r="Q20" s="1813"/>
      <c r="R20" s="774"/>
      <c r="S20" s="775"/>
      <c r="T20" s="774"/>
      <c r="U20" s="775"/>
      <c r="V20" s="774"/>
      <c r="W20" s="775"/>
      <c r="X20" s="1816"/>
      <c r="Y20" s="3168"/>
      <c r="Z20" s="1817"/>
      <c r="AA20" s="1814">
        <v>1</v>
      </c>
      <c r="AB20" s="1814">
        <v>1</v>
      </c>
      <c r="AC20" s="1814">
        <v>1</v>
      </c>
    </row>
    <row r="21" spans="1:29" ht="28.5">
      <c r="A21" s="428"/>
      <c r="B21" s="1387" t="s">
        <v>2660</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166"/>
      <c r="Q22" s="1813"/>
      <c r="R22" s="774"/>
      <c r="S22" s="775"/>
      <c r="T22" s="774"/>
      <c r="U22" s="775"/>
      <c r="V22" s="774"/>
      <c r="W22" s="775"/>
      <c r="X22" s="1816"/>
      <c r="Y22" s="3168"/>
      <c r="Z22" s="1817"/>
      <c r="AA22" s="1814">
        <v>1</v>
      </c>
      <c r="AB22" s="1814">
        <v>1</v>
      </c>
      <c r="AC22" s="1814">
        <v>1</v>
      </c>
    </row>
    <row r="23" spans="1:29" ht="57">
      <c r="A23" s="428"/>
      <c r="B23" s="451" t="s">
        <v>2107</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6"/>
      <c r="Q23" s="1813" t="str">
        <f>B23</f>
        <v>自然及人文环境</v>
      </c>
      <c r="R23" s="774" t="s">
        <v>17</v>
      </c>
      <c r="S23" s="775">
        <f>F23</f>
        <v>100</v>
      </c>
      <c r="T23" s="774" t="s">
        <v>17</v>
      </c>
      <c r="U23" s="775">
        <f>H23</f>
        <v>100</v>
      </c>
      <c r="V23" s="774" t="s">
        <v>17</v>
      </c>
      <c r="W23" s="775">
        <f>J23</f>
        <v>100</v>
      </c>
      <c r="X23" s="1816"/>
      <c r="Y23" s="3168"/>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166"/>
      <c r="Q24" s="1813"/>
      <c r="R24" s="774"/>
      <c r="S24" s="775"/>
      <c r="T24" s="774"/>
      <c r="U24" s="775"/>
      <c r="V24" s="774"/>
      <c r="W24" s="775"/>
      <c r="X24" s="1816"/>
      <c r="Y24" s="3168"/>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6"/>
      <c r="Q25" s="1813" t="str">
        <f t="shared" ref="Q25:Q46" si="11">B25</f>
        <v>临街状况</v>
      </c>
      <c r="R25" s="774" t="s">
        <v>17</v>
      </c>
      <c r="S25" s="775">
        <f>F25</f>
        <v>100</v>
      </c>
      <c r="T25" s="774" t="s">
        <v>17</v>
      </c>
      <c r="U25" s="775">
        <f>H25</f>
        <v>100</v>
      </c>
      <c r="V25" s="774" t="s">
        <v>17</v>
      </c>
      <c r="W25" s="775">
        <f>J25</f>
        <v>100</v>
      </c>
      <c r="X25" s="1816"/>
      <c r="Y25" s="3168"/>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6"/>
      <c r="Q26" s="1813" t="str">
        <f t="shared" si="11"/>
        <v>平面位置/可视性</v>
      </c>
      <c r="R26" s="774" t="s">
        <v>17</v>
      </c>
      <c r="S26" s="775">
        <f>F26</f>
        <v>100</v>
      </c>
      <c r="T26" s="774" t="s">
        <v>17</v>
      </c>
      <c r="U26" s="775">
        <f>H26</f>
        <v>100</v>
      </c>
      <c r="V26" s="774" t="s">
        <v>17</v>
      </c>
      <c r="W26" s="775">
        <f>J26</f>
        <v>100</v>
      </c>
      <c r="X26" s="1816"/>
      <c r="Y26" s="3168"/>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6"/>
      <c r="Q27" s="1798" t="str">
        <f t="shared" si="11"/>
        <v>人流量</v>
      </c>
      <c r="R27" s="770" t="s">
        <v>17</v>
      </c>
      <c r="S27" s="771">
        <f>F27</f>
        <v>100</v>
      </c>
      <c r="T27" s="770" t="s">
        <v>17</v>
      </c>
      <c r="U27" s="771">
        <f>H27</f>
        <v>100</v>
      </c>
      <c r="V27" s="770" t="s">
        <v>17</v>
      </c>
      <c r="W27" s="771">
        <f>J27</f>
        <v>100</v>
      </c>
      <c r="X27" s="772"/>
      <c r="Y27" s="3168"/>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6"/>
      <c r="Q29" s="1813">
        <f t="shared" si="11"/>
        <v>111</v>
      </c>
      <c r="R29" s="774" t="s">
        <v>17</v>
      </c>
      <c r="S29" s="775">
        <f t="shared" si="12"/>
        <v>100</v>
      </c>
      <c r="T29" s="774" t="s">
        <v>17</v>
      </c>
      <c r="U29" s="775">
        <f t="shared" si="13"/>
        <v>100</v>
      </c>
      <c r="V29" s="774" t="s">
        <v>17</v>
      </c>
      <c r="W29" s="775">
        <f t="shared" si="14"/>
        <v>100</v>
      </c>
      <c r="X29" s="1816"/>
      <c r="Y29" s="316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1814">
        <f t="shared" si="5"/>
        <v>1</v>
      </c>
    </row>
    <row r="32" spans="1:29" ht="15">
      <c r="A32" s="440" t="s">
        <v>2568</v>
      </c>
      <c r="B32" s="71" t="s">
        <v>2665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69" t="s">
        <v>2570</v>
      </c>
      <c r="Q32" s="1813" t="str">
        <f t="shared" si="11"/>
        <v>商业类型</v>
      </c>
      <c r="R32" s="774" t="s">
        <v>17</v>
      </c>
      <c r="S32" s="775">
        <f t="shared" si="12"/>
        <v>100</v>
      </c>
      <c r="T32" s="774" t="s">
        <v>17</v>
      </c>
      <c r="U32" s="775">
        <f t="shared" si="13"/>
        <v>100</v>
      </c>
      <c r="V32" s="774" t="s">
        <v>17</v>
      </c>
      <c r="W32" s="775">
        <f t="shared" si="14"/>
        <v>100</v>
      </c>
      <c r="X32" s="1816"/>
      <c r="Y32" s="3172"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0"/>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4" t="e">
        <f t="shared" si="3"/>
        <v>#N/A</v>
      </c>
      <c r="AB33" s="1814" t="e">
        <f t="shared" si="4"/>
        <v>#N/A</v>
      </c>
      <c r="AC33" s="1814" t="e">
        <f t="shared" si="5"/>
        <v>#N/A</v>
      </c>
    </row>
    <row r="34" spans="1:29" ht="15">
      <c r="A34" s="472"/>
      <c r="B34" s="422" t="s">
        <v>2572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70"/>
      <c r="Q34" s="1813" t="str">
        <f t="shared" si="11"/>
        <v>建筑结构</v>
      </c>
      <c r="R34" s="774" t="s">
        <v>17</v>
      </c>
      <c r="S34" s="775">
        <f t="shared" si="12"/>
        <v>100</v>
      </c>
      <c r="T34" s="774" t="s">
        <v>17</v>
      </c>
      <c r="U34" s="775">
        <f t="shared" si="13"/>
        <v>100</v>
      </c>
      <c r="V34" s="774" t="s">
        <v>17</v>
      </c>
      <c r="W34" s="775">
        <f t="shared" si="14"/>
        <v>100</v>
      </c>
      <c r="X34" s="1816"/>
      <c r="Y34" s="3172"/>
      <c r="Z34" s="1817" t="str">
        <f t="shared" si="15"/>
        <v>建筑结构</v>
      </c>
      <c r="AA34" s="1814">
        <f t="shared" si="3"/>
        <v>1</v>
      </c>
      <c r="AB34" s="1814">
        <f t="shared" si="4"/>
        <v>1</v>
      </c>
      <c r="AC34" s="1814">
        <f t="shared" si="5"/>
        <v>1</v>
      </c>
    </row>
    <row r="35" spans="1:29" ht="15">
      <c r="A35" s="472"/>
      <c r="B35" s="422" t="s">
        <v>2666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70"/>
      <c r="Q35" s="1813" t="str">
        <f t="shared" si="11"/>
        <v>公共部分装修</v>
      </c>
      <c r="R35" s="774" t="s">
        <v>17</v>
      </c>
      <c r="S35" s="775">
        <f t="shared" si="12"/>
        <v>100</v>
      </c>
      <c r="T35" s="774" t="s">
        <v>17</v>
      </c>
      <c r="U35" s="775">
        <f t="shared" si="13"/>
        <v>100</v>
      </c>
      <c r="V35" s="774" t="s">
        <v>17</v>
      </c>
      <c r="W35" s="775">
        <f t="shared" si="14"/>
        <v>100</v>
      </c>
      <c r="X35" s="1816"/>
      <c r="Y35" s="3172"/>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0"/>
      <c r="Q36" s="1813" t="str">
        <f t="shared" si="11"/>
        <v>成新度</v>
      </c>
      <c r="R36" s="774" t="s">
        <v>17</v>
      </c>
      <c r="S36" s="775" t="e">
        <f t="shared" si="12"/>
        <v>#N/A</v>
      </c>
      <c r="T36" s="774" t="s">
        <v>17</v>
      </c>
      <c r="U36" s="775" t="e">
        <f t="shared" si="13"/>
        <v>#N/A</v>
      </c>
      <c r="V36" s="774" t="s">
        <v>17</v>
      </c>
      <c r="W36" s="775" t="e">
        <f t="shared" si="14"/>
        <v>#N/A</v>
      </c>
      <c r="X36" s="1816"/>
      <c r="Y36" s="3172"/>
      <c r="Z36" s="1817" t="str">
        <f t="shared" si="15"/>
        <v>成新度</v>
      </c>
      <c r="AA36" s="1814" t="e">
        <f t="shared" si="3"/>
        <v>#N/A</v>
      </c>
      <c r="AB36" s="1814" t="e">
        <f t="shared" si="4"/>
        <v>#N/A</v>
      </c>
      <c r="AC36" s="1814" t="e">
        <f t="shared" si="5"/>
        <v>#N/A</v>
      </c>
    </row>
    <row r="37" spans="1:29" s="117" customFormat="1" ht="15">
      <c r="A37" s="473"/>
      <c r="B37" s="422" t="s">
        <v>2668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70"/>
      <c r="Q37" s="1798"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2669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70" t="s">
        <v>2570</v>
      </c>
      <c r="Q38" s="1813" t="str">
        <f t="shared" si="11"/>
        <v>业态</v>
      </c>
      <c r="R38" s="774" t="s">
        <v>17</v>
      </c>
      <c r="S38" s="775">
        <f t="shared" si="12"/>
        <v>100</v>
      </c>
      <c r="T38" s="774" t="s">
        <v>17</v>
      </c>
      <c r="U38" s="775">
        <f t="shared" si="13"/>
        <v>100</v>
      </c>
      <c r="V38" s="774" t="s">
        <v>17</v>
      </c>
      <c r="W38" s="775">
        <f t="shared" si="14"/>
        <v>100</v>
      </c>
      <c r="X38" s="1816"/>
      <c r="Y38" s="3172" t="s">
        <v>2570</v>
      </c>
      <c r="Z38" s="1817" t="str">
        <f t="shared" si="15"/>
        <v>业态</v>
      </c>
      <c r="AA38" s="1814">
        <f t="shared" si="3"/>
        <v>1</v>
      </c>
      <c r="AB38" s="1814">
        <f t="shared" si="4"/>
        <v>1</v>
      </c>
      <c r="AC38" s="1814">
        <f t="shared" si="5"/>
        <v>1</v>
      </c>
    </row>
    <row r="39" spans="1:29" ht="15">
      <c r="A39" s="472"/>
      <c r="B39" s="422" t="s">
        <v>2670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70"/>
      <c r="Q39" s="1813" t="str">
        <f t="shared" si="11"/>
        <v>层高</v>
      </c>
      <c r="R39" s="774" t="s">
        <v>17</v>
      </c>
      <c r="S39" s="775">
        <f t="shared" si="12"/>
        <v>100</v>
      </c>
      <c r="T39" s="774" t="s">
        <v>17</v>
      </c>
      <c r="U39" s="775">
        <f t="shared" si="13"/>
        <v>100</v>
      </c>
      <c r="V39" s="774" t="s">
        <v>17</v>
      </c>
      <c r="W39" s="775">
        <f t="shared" si="14"/>
        <v>100</v>
      </c>
      <c r="X39" s="1816"/>
      <c r="Y39" s="3172"/>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0"/>
      <c r="Q40" s="1813" t="str">
        <f t="shared" si="11"/>
        <v>单套建筑面积</v>
      </c>
      <c r="R40" s="774" t="s">
        <v>17</v>
      </c>
      <c r="S40" s="775">
        <f t="shared" si="12"/>
        <v>100</v>
      </c>
      <c r="T40" s="774" t="s">
        <v>17</v>
      </c>
      <c r="U40" s="775">
        <f t="shared" si="13"/>
        <v>100</v>
      </c>
      <c r="V40" s="774" t="s">
        <v>17</v>
      </c>
      <c r="W40" s="775">
        <f t="shared" si="14"/>
        <v>100</v>
      </c>
      <c r="X40" s="1816"/>
      <c r="Y40" s="3172"/>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0"/>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4">
        <f t="shared" si="3"/>
        <v>1</v>
      </c>
      <c r="AB41" s="1814">
        <f t="shared" si="4"/>
        <v>1</v>
      </c>
      <c r="AC41" s="1814">
        <f t="shared" si="5"/>
        <v>1</v>
      </c>
    </row>
    <row r="42" spans="1:29" ht="15">
      <c r="A42" s="472"/>
      <c r="B42" s="422" t="s">
        <v>2673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70"/>
      <c r="Q42" s="1813" t="str">
        <f t="shared" si="11"/>
        <v>内部装修</v>
      </c>
      <c r="R42" s="774" t="s">
        <v>17</v>
      </c>
      <c r="S42" s="775">
        <f t="shared" si="12"/>
        <v>100</v>
      </c>
      <c r="T42" s="774" t="s">
        <v>17</v>
      </c>
      <c r="U42" s="775">
        <f t="shared" si="13"/>
        <v>100</v>
      </c>
      <c r="V42" s="774" t="s">
        <v>17</v>
      </c>
      <c r="W42" s="775">
        <f t="shared" si="14"/>
        <v>100</v>
      </c>
      <c r="X42" s="1816"/>
      <c r="Y42" s="3172"/>
      <c r="Z42" s="1817" t="str">
        <f t="shared" si="15"/>
        <v>内部装修</v>
      </c>
      <c r="AA42" s="1814">
        <f t="shared" si="3"/>
        <v>1</v>
      </c>
      <c r="AB42" s="1814">
        <f t="shared" si="4"/>
        <v>1</v>
      </c>
      <c r="AC42" s="1814">
        <f t="shared" si="5"/>
        <v>1</v>
      </c>
    </row>
    <row r="43" spans="1:29" ht="15">
      <c r="A43" s="472"/>
      <c r="B43" s="422" t="s">
        <v>2581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70"/>
      <c r="Q43" s="1813" t="str">
        <f t="shared" si="11"/>
        <v>内部装修维护情况</v>
      </c>
      <c r="R43" s="774" t="s">
        <v>17</v>
      </c>
      <c r="S43" s="775">
        <f t="shared" si="12"/>
        <v>100</v>
      </c>
      <c r="T43" s="774" t="s">
        <v>17</v>
      </c>
      <c r="U43" s="775">
        <f t="shared" si="13"/>
        <v>100</v>
      </c>
      <c r="V43" s="774" t="s">
        <v>17</v>
      </c>
      <c r="W43" s="775">
        <f t="shared" si="14"/>
        <v>100</v>
      </c>
      <c r="X43" s="1816"/>
      <c r="Y43" s="317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0"/>
      <c r="Q44" s="1798">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0"/>
      <c r="Q45" s="1813">
        <f t="shared" si="11"/>
        <v>111</v>
      </c>
      <c r="R45" s="774" t="s">
        <v>17</v>
      </c>
      <c r="S45" s="775">
        <f t="shared" si="12"/>
        <v>100</v>
      </c>
      <c r="T45" s="774" t="s">
        <v>17</v>
      </c>
      <c r="U45" s="775">
        <f t="shared" si="13"/>
        <v>100</v>
      </c>
      <c r="V45" s="774" t="s">
        <v>17</v>
      </c>
      <c r="W45" s="775">
        <f t="shared" si="14"/>
        <v>100</v>
      </c>
      <c r="X45" s="1816"/>
      <c r="Y45" s="3172"/>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1"/>
      <c r="Q46" s="1813">
        <f t="shared" si="11"/>
        <v>111</v>
      </c>
      <c r="R46" s="774" t="s">
        <v>17</v>
      </c>
      <c r="S46" s="775">
        <f t="shared" si="12"/>
        <v>100</v>
      </c>
      <c r="T46" s="774" t="s">
        <v>17</v>
      </c>
      <c r="U46" s="775">
        <f t="shared" si="13"/>
        <v>100</v>
      </c>
      <c r="V46" s="774" t="s">
        <v>17</v>
      </c>
      <c r="W46" s="775">
        <f t="shared" si="14"/>
        <v>100</v>
      </c>
      <c r="X46" s="1816"/>
      <c r="Y46" s="3173"/>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160" t="str">
        <f>A47</f>
        <v>成交单价（元/平方米）</v>
      </c>
      <c r="Q47" s="3160"/>
      <c r="R47" s="3194">
        <f>E47</f>
        <v>0</v>
      </c>
      <c r="S47" s="3194"/>
      <c r="T47" s="3194">
        <f>G47</f>
        <v>0</v>
      </c>
      <c r="U47" s="3194"/>
      <c r="V47" s="3194">
        <f>I47</f>
        <v>0</v>
      </c>
      <c r="W47" s="3194"/>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IF(C2="——",ROUND(C43*D3/10000,0),ROUND(C43*D3/10000,0)-D2)</f>
        <v>#DIV/0!</v>
      </c>
      <c r="C2" s="2591"/>
      <c r="D2" s="1127" t="e">
        <f ca="1">SUMIF(INDIRECT("'"&amp;F2&amp;"'"&amp;"!A:A"),"承租人权益价值",INDIRECT("'"&amp;F2&amp;"'"&amp;"!c:c"))</f>
        <v>#REF!</v>
      </c>
      <c r="E2" s="2592" t="s">
        <v>2335</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2649</v>
      </c>
      <c r="D3" s="399">
        <f>IF(D1="",'数据-汇总表'!E3,SUMIF('数据-汇总表'!$C19:$C33,D1,'数据-汇总表'!$E19:$E33))</f>
        <v>32573.120000000003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7" t="s">
        <v>2651</v>
      </c>
      <c r="D4" s="3178"/>
      <c r="E4" s="3179" t="s">
        <v>2652</v>
      </c>
      <c r="F4" s="3180"/>
      <c r="G4" s="3177" t="s">
        <v>2653</v>
      </c>
      <c r="H4" s="3178"/>
      <c r="I4" s="3177" t="s">
        <v>2654</v>
      </c>
      <c r="J4" s="3178"/>
      <c r="K4" s="610" t="s">
        <v>2655</v>
      </c>
      <c r="L4" s="1133"/>
      <c r="M4" s="1134"/>
      <c r="N4" s="1134"/>
      <c r="O4" s="1134"/>
      <c r="P4" s="3241" t="s">
        <v>2656</v>
      </c>
      <c r="Q4" s="3242"/>
      <c r="R4" s="3245" t="s">
        <v>2652</v>
      </c>
      <c r="S4" s="3246"/>
      <c r="T4" s="3245" t="s">
        <v>2653</v>
      </c>
      <c r="U4" s="3246"/>
      <c r="V4" s="3194" t="s">
        <v>2654</v>
      </c>
      <c r="W4" s="3194"/>
      <c r="X4" s="1816"/>
      <c r="Y4" s="3245" t="s">
        <v>2656</v>
      </c>
      <c r="Z4" s="3246"/>
      <c r="AA4" s="3240" t="s">
        <v>2652</v>
      </c>
      <c r="AB4" s="3206" t="s">
        <v>2653</v>
      </c>
      <c r="AC4" s="3240" t="s">
        <v>2654</v>
      </c>
    </row>
    <row r="5" spans="1:29" ht="15">
      <c r="A5" s="404"/>
      <c r="B5" s="405"/>
      <c r="C5" s="3247" t="s">
        <v>2547</v>
      </c>
      <c r="D5" s="3198"/>
      <c r="E5" s="3248" t="s">
        <v>2548</v>
      </c>
      <c r="F5" s="3209"/>
      <c r="G5" s="3247" t="s">
        <v>2549</v>
      </c>
      <c r="H5" s="3198"/>
      <c r="I5" s="3247" t="s">
        <v>2550</v>
      </c>
      <c r="J5" s="3198"/>
      <c r="K5" s="610"/>
      <c r="L5" s="1133"/>
      <c r="M5" s="1134"/>
      <c r="N5" s="1134"/>
      <c r="O5" s="1134"/>
      <c r="P5" s="3243"/>
      <c r="Q5" s="3184"/>
      <c r="R5" s="3189"/>
      <c r="S5" s="3190"/>
      <c r="T5" s="3189"/>
      <c r="U5" s="3190"/>
      <c r="V5" s="3194"/>
      <c r="W5" s="3194"/>
      <c r="X5" s="1816"/>
      <c r="Y5" s="3189"/>
      <c r="Z5" s="3190"/>
      <c r="AA5" s="3206"/>
      <c r="AB5" s="3206"/>
      <c r="AC5" s="3206"/>
    </row>
    <row r="6" spans="1:29" ht="15.75" thickBot="1">
      <c r="A6" s="406"/>
      <c r="B6" s="407"/>
      <c r="C6" s="3195" t="s">
        <v>2551</v>
      </c>
      <c r="D6" s="3196"/>
      <c r="E6" s="3203" t="s">
        <v>2551</v>
      </c>
      <c r="F6" s="3204"/>
      <c r="G6" s="3195" t="s">
        <v>2551</v>
      </c>
      <c r="H6" s="3196"/>
      <c r="I6" s="3195" t="s">
        <v>2551</v>
      </c>
      <c r="J6" s="3196"/>
      <c r="K6" s="610" t="s">
        <v>2552</v>
      </c>
      <c r="L6" s="1133"/>
      <c r="M6" s="1134"/>
      <c r="N6" s="1134"/>
      <c r="O6" s="1134"/>
      <c r="P6" s="3244"/>
      <c r="Q6" s="3186"/>
      <c r="R6" s="3189"/>
      <c r="S6" s="3190"/>
      <c r="T6" s="3191"/>
      <c r="U6" s="3192"/>
      <c r="V6" s="3194"/>
      <c r="W6" s="3194"/>
      <c r="X6" s="1816"/>
      <c r="Y6" s="3191"/>
      <c r="Z6" s="3192"/>
      <c r="AA6" s="3207"/>
      <c r="AB6" s="3207"/>
      <c r="AC6" s="3207"/>
    </row>
    <row r="7" spans="1:29" s="117" customFormat="1" ht="15.75" thickBot="1">
      <c r="A7" s="408" t="s">
        <v>2553</v>
      </c>
      <c r="B7" s="409"/>
      <c r="C7" s="410">
        <f>'数据-取费表'!B2</f>
        <v>43276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1" t="s">
        <v>2554</v>
      </c>
      <c r="Q7" s="3202"/>
      <c r="R7" s="770" t="s">
        <v>17</v>
      </c>
      <c r="S7" s="771">
        <f t="shared" ref="S7:S15" si="0">F7</f>
        <v>0</v>
      </c>
      <c r="T7" s="770" t="s">
        <v>17</v>
      </c>
      <c r="U7" s="771">
        <f t="shared" ref="U7:U15" si="1">H7</f>
        <v>0</v>
      </c>
      <c r="V7" s="770" t="s">
        <v>17</v>
      </c>
      <c r="W7" s="771">
        <f t="shared" ref="W7:W15" si="2">J7</f>
        <v>0</v>
      </c>
      <c r="X7" s="772"/>
      <c r="Y7" s="3201" t="s">
        <v>2554</v>
      </c>
      <c r="Z7" s="3200"/>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1" t="s">
        <v>2557</v>
      </c>
      <c r="Q8" s="3200"/>
      <c r="R8" s="770" t="s">
        <v>17</v>
      </c>
      <c r="S8" s="771">
        <f t="shared" si="0"/>
        <v>0</v>
      </c>
      <c r="T8" s="770" t="s">
        <v>17</v>
      </c>
      <c r="U8" s="771">
        <f t="shared" si="1"/>
        <v>0</v>
      </c>
      <c r="V8" s="770" t="s">
        <v>17</v>
      </c>
      <c r="W8" s="771">
        <f t="shared" si="2"/>
        <v>0</v>
      </c>
      <c r="X8" s="772"/>
      <c r="Y8" s="3201" t="s">
        <v>2557</v>
      </c>
      <c r="Z8" s="3200"/>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0" t="s">
        <v>2560</v>
      </c>
      <c r="Q9" s="1798" t="str">
        <f t="shared" ref="Q9:Q15" si="6">B9</f>
        <v>用途</v>
      </c>
      <c r="R9" s="770" t="s">
        <v>17</v>
      </c>
      <c r="S9" s="771">
        <f t="shared" si="0"/>
        <v>100</v>
      </c>
      <c r="T9" s="770" t="s">
        <v>17</v>
      </c>
      <c r="U9" s="771">
        <f t="shared" si="1"/>
        <v>100</v>
      </c>
      <c r="V9" s="770" t="s">
        <v>17</v>
      </c>
      <c r="W9" s="771">
        <f t="shared" si="2"/>
        <v>100</v>
      </c>
      <c r="X9" s="772"/>
      <c r="Y9" s="301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0"/>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0"/>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7" t="s">
        <v>2565</v>
      </c>
      <c r="Q15" s="1813" t="str">
        <f t="shared" si="6"/>
        <v>产业集聚程度</v>
      </c>
      <c r="R15" s="774" t="s">
        <v>17</v>
      </c>
      <c r="S15" s="775">
        <f t="shared" si="0"/>
        <v>100</v>
      </c>
      <c r="T15" s="774" t="s">
        <v>17</v>
      </c>
      <c r="U15" s="775">
        <f t="shared" si="1"/>
        <v>100</v>
      </c>
      <c r="V15" s="774" t="s">
        <v>17</v>
      </c>
      <c r="W15" s="775">
        <f t="shared" si="2"/>
        <v>100</v>
      </c>
      <c r="X15" s="1816"/>
      <c r="Y15" s="3167"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451" t="s">
        <v>2102</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68"/>
      <c r="Q18" s="1813"/>
      <c r="R18" s="774"/>
      <c r="S18" s="775"/>
      <c r="T18" s="774"/>
      <c r="U18" s="775"/>
      <c r="V18" s="774"/>
      <c r="W18" s="775"/>
      <c r="X18" s="1816"/>
      <c r="Y18" s="3168"/>
      <c r="Z18" s="1817"/>
      <c r="AA18" s="1814">
        <v>1</v>
      </c>
      <c r="AB18" s="1814">
        <v>1</v>
      </c>
      <c r="AC18" s="1814">
        <v>1</v>
      </c>
    </row>
    <row r="19" spans="1:29" ht="42.75">
      <c r="A19" s="428"/>
      <c r="B19" s="451" t="s">
        <v>2693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68"/>
      <c r="Q20" s="1813"/>
      <c r="R20" s="774"/>
      <c r="S20" s="775"/>
      <c r="T20" s="774"/>
      <c r="U20" s="775"/>
      <c r="V20" s="774"/>
      <c r="W20" s="775"/>
      <c r="X20" s="1816"/>
      <c r="Y20" s="3168"/>
      <c r="Z20" s="1817"/>
      <c r="AA20" s="1814">
        <v>1</v>
      </c>
      <c r="AB20" s="1814">
        <v>1</v>
      </c>
      <c r="AC20" s="1814">
        <v>1</v>
      </c>
    </row>
    <row r="21" spans="1:29" ht="28.5">
      <c r="A21" s="428"/>
      <c r="B21" s="1387" t="s">
        <v>2694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68"/>
      <c r="Q22" s="1813"/>
      <c r="R22" s="774"/>
      <c r="S22" s="775"/>
      <c r="T22" s="774"/>
      <c r="U22" s="775"/>
      <c r="V22" s="774"/>
      <c r="W22" s="775"/>
      <c r="X22" s="1816"/>
      <c r="Y22" s="3168"/>
      <c r="Z22" s="1817"/>
      <c r="AA22" s="1814">
        <v>1</v>
      </c>
      <c r="AB22" s="1814">
        <v>1</v>
      </c>
      <c r="AC22" s="1814">
        <v>1</v>
      </c>
    </row>
    <row r="23" spans="1:29" ht="71.25">
      <c r="A23" s="428"/>
      <c r="B23" s="451" t="s">
        <v>2695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8"/>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68"/>
      <c r="Q24" s="1813"/>
      <c r="R24" s="774"/>
      <c r="S24" s="775"/>
      <c r="T24" s="774"/>
      <c r="U24" s="775"/>
      <c r="V24" s="774"/>
      <c r="W24" s="775"/>
      <c r="X24" s="1816"/>
      <c r="Y24" s="316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8"/>
      <c r="Q25" s="1813">
        <f>B25</f>
        <v>111</v>
      </c>
      <c r="R25" s="774" t="s">
        <v>17</v>
      </c>
      <c r="S25" s="775">
        <f>F25</f>
        <v>100</v>
      </c>
      <c r="T25" s="774" t="s">
        <v>17</v>
      </c>
      <c r="U25" s="775">
        <f>H25</f>
        <v>100</v>
      </c>
      <c r="V25" s="774" t="s">
        <v>17</v>
      </c>
      <c r="W25" s="775">
        <f>J25</f>
        <v>100</v>
      </c>
      <c r="X25" s="1816"/>
      <c r="Y25" s="316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8"/>
      <c r="Q26" s="1813">
        <f t="shared" ref="Q26:Q40" si="11">B26</f>
        <v>111</v>
      </c>
      <c r="R26" s="774" t="s">
        <v>17</v>
      </c>
      <c r="S26" s="775">
        <f>F26</f>
        <v>100</v>
      </c>
      <c r="T26" s="774" t="s">
        <v>17</v>
      </c>
      <c r="U26" s="775">
        <f>H26</f>
        <v>100</v>
      </c>
      <c r="V26" s="774" t="s">
        <v>17</v>
      </c>
      <c r="W26" s="775">
        <f>J26</f>
        <v>100</v>
      </c>
      <c r="X26" s="1816"/>
      <c r="Y26" s="316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8"/>
      <c r="Q27" s="1798">
        <f t="shared" si="11"/>
        <v>111</v>
      </c>
      <c r="R27" s="770" t="s">
        <v>17</v>
      </c>
      <c r="S27" s="771">
        <f>F27</f>
        <v>100</v>
      </c>
      <c r="T27" s="770" t="s">
        <v>17</v>
      </c>
      <c r="U27" s="771">
        <f>H27</f>
        <v>100</v>
      </c>
      <c r="V27" s="770" t="s">
        <v>17</v>
      </c>
      <c r="W27" s="771">
        <f>J27</f>
        <v>100</v>
      </c>
      <c r="X27" s="772"/>
      <c r="Y27" s="316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8"/>
      <c r="Q28" s="1813">
        <f t="shared" si="11"/>
        <v>111</v>
      </c>
      <c r="R28" s="774" t="s">
        <v>17</v>
      </c>
      <c r="S28" s="775">
        <f t="shared" ref="S28:S40" si="12">F28</f>
        <v>100</v>
      </c>
      <c r="T28" s="774" t="s">
        <v>17</v>
      </c>
      <c r="U28" s="775">
        <f t="shared" ref="U28:U40" si="13">H28</f>
        <v>100</v>
      </c>
      <c r="V28" s="774" t="s">
        <v>17</v>
      </c>
      <c r="W28" s="775">
        <f t="shared" ref="W28:W40" si="14">J28</f>
        <v>100</v>
      </c>
      <c r="X28" s="1816"/>
      <c r="Y28" s="3168"/>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9" t="s">
        <v>2570</v>
      </c>
      <c r="Q29" s="1813" t="str">
        <f t="shared" si="11"/>
        <v>建筑类型</v>
      </c>
      <c r="R29" s="774" t="s">
        <v>17</v>
      </c>
      <c r="S29" s="775">
        <f t="shared" si="12"/>
        <v>100</v>
      </c>
      <c r="T29" s="774" t="s">
        <v>17</v>
      </c>
      <c r="U29" s="775">
        <f t="shared" si="13"/>
        <v>100</v>
      </c>
      <c r="V29" s="774" t="s">
        <v>17</v>
      </c>
      <c r="W29" s="775">
        <f t="shared" si="14"/>
        <v>100</v>
      </c>
      <c r="X29" s="1816"/>
      <c r="Y29" s="3172"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2"/>
      <c r="Q31" s="1813" t="str">
        <f t="shared" si="11"/>
        <v>建筑结构</v>
      </c>
      <c r="R31" s="774" t="s">
        <v>17</v>
      </c>
      <c r="S31" s="775">
        <f t="shared" si="12"/>
        <v>100</v>
      </c>
      <c r="T31" s="774" t="s">
        <v>17</v>
      </c>
      <c r="U31" s="775">
        <f t="shared" si="13"/>
        <v>100</v>
      </c>
      <c r="V31" s="774" t="s">
        <v>17</v>
      </c>
      <c r="W31" s="775">
        <f t="shared" si="14"/>
        <v>100</v>
      </c>
      <c r="X31" s="1816"/>
      <c r="Y31" s="3172"/>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2"/>
      <c r="Q32" s="1813" t="str">
        <f t="shared" si="11"/>
        <v>公共部分装修</v>
      </c>
      <c r="R32" s="774" t="s">
        <v>17</v>
      </c>
      <c r="S32" s="775">
        <f t="shared" si="12"/>
        <v>100</v>
      </c>
      <c r="T32" s="774" t="s">
        <v>17</v>
      </c>
      <c r="U32" s="775">
        <f t="shared" si="13"/>
        <v>100</v>
      </c>
      <c r="V32" s="774" t="s">
        <v>17</v>
      </c>
      <c r="W32" s="775">
        <f t="shared" si="14"/>
        <v>100</v>
      </c>
      <c r="X32" s="1816"/>
      <c r="Y32" s="3172"/>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2"/>
      <c r="Q33" s="1813" t="str">
        <f t="shared" si="11"/>
        <v>成新度</v>
      </c>
      <c r="R33" s="774" t="s">
        <v>17</v>
      </c>
      <c r="S33" s="775" t="e">
        <f t="shared" si="12"/>
        <v>#N/A</v>
      </c>
      <c r="T33" s="774" t="s">
        <v>17</v>
      </c>
      <c r="U33" s="775" t="e">
        <f t="shared" si="13"/>
        <v>#N/A</v>
      </c>
      <c r="V33" s="774" t="s">
        <v>17</v>
      </c>
      <c r="W33" s="775" t="e">
        <f t="shared" si="14"/>
        <v>#N/A</v>
      </c>
      <c r="X33" s="1816"/>
      <c r="Y33" s="3172"/>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2"/>
      <c r="Q34" s="1798"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2" t="s">
        <v>2570</v>
      </c>
      <c r="Q35" s="1813" t="str">
        <f t="shared" si="11"/>
        <v>市政基础设施</v>
      </c>
      <c r="R35" s="774" t="s">
        <v>17</v>
      </c>
      <c r="S35" s="775">
        <f t="shared" si="12"/>
        <v>100</v>
      </c>
      <c r="T35" s="774" t="s">
        <v>17</v>
      </c>
      <c r="U35" s="775">
        <f t="shared" si="13"/>
        <v>100</v>
      </c>
      <c r="V35" s="774" t="s">
        <v>17</v>
      </c>
      <c r="W35" s="775">
        <f t="shared" si="14"/>
        <v>100</v>
      </c>
      <c r="X35" s="1816"/>
      <c r="Y35" s="3172"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2"/>
      <c r="Q36" s="1813" t="str">
        <f t="shared" si="11"/>
        <v>内部装修</v>
      </c>
      <c r="R36" s="774" t="s">
        <v>17</v>
      </c>
      <c r="S36" s="775">
        <f t="shared" si="12"/>
        <v>100</v>
      </c>
      <c r="T36" s="774" t="s">
        <v>17</v>
      </c>
      <c r="U36" s="775">
        <f t="shared" si="13"/>
        <v>100</v>
      </c>
      <c r="V36" s="774" t="s">
        <v>17</v>
      </c>
      <c r="W36" s="775">
        <f t="shared" si="14"/>
        <v>100</v>
      </c>
      <c r="X36" s="1816"/>
      <c r="Y36" s="3172"/>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2"/>
      <c r="Q37" s="1813" t="str">
        <f t="shared" si="11"/>
        <v>内部装修状况</v>
      </c>
      <c r="R37" s="774" t="s">
        <v>17</v>
      </c>
      <c r="S37" s="775">
        <f t="shared" si="12"/>
        <v>100</v>
      </c>
      <c r="T37" s="774" t="s">
        <v>17</v>
      </c>
      <c r="U37" s="775">
        <f t="shared" si="13"/>
        <v>100</v>
      </c>
      <c r="V37" s="774" t="s">
        <v>17</v>
      </c>
      <c r="W37" s="775">
        <f t="shared" si="14"/>
        <v>100</v>
      </c>
      <c r="X37" s="1816"/>
      <c r="Y37" s="317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2"/>
      <c r="Q39" s="1813">
        <f t="shared" si="11"/>
        <v>111</v>
      </c>
      <c r="R39" s="774" t="s">
        <v>17</v>
      </c>
      <c r="S39" s="775">
        <f t="shared" si="12"/>
        <v>100</v>
      </c>
      <c r="T39" s="774" t="s">
        <v>17</v>
      </c>
      <c r="U39" s="775">
        <f t="shared" si="13"/>
        <v>100</v>
      </c>
      <c r="V39" s="774" t="s">
        <v>17</v>
      </c>
      <c r="W39" s="775">
        <f t="shared" si="14"/>
        <v>100</v>
      </c>
      <c r="X39" s="1816"/>
      <c r="Y39" s="3172"/>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3"/>
      <c r="Q40" s="1813">
        <f t="shared" si="11"/>
        <v>111</v>
      </c>
      <c r="R40" s="774" t="s">
        <v>17</v>
      </c>
      <c r="S40" s="775">
        <f t="shared" si="12"/>
        <v>100</v>
      </c>
      <c r="T40" s="774" t="s">
        <v>17</v>
      </c>
      <c r="U40" s="775">
        <f t="shared" si="13"/>
        <v>100</v>
      </c>
      <c r="V40" s="774" t="s">
        <v>17</v>
      </c>
      <c r="W40" s="775">
        <f t="shared" si="14"/>
        <v>100</v>
      </c>
      <c r="X40" s="1816"/>
      <c r="Y40" s="3173"/>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160" t="str">
        <f>A41</f>
        <v>成交单价（元/平方米）</v>
      </c>
      <c r="Q41" s="3160"/>
      <c r="R41" s="3161">
        <f>E41</f>
        <v>0</v>
      </c>
      <c r="S41" s="3161"/>
      <c r="T41" s="3161">
        <f>G41</f>
        <v>0</v>
      </c>
      <c r="U41" s="3161"/>
      <c r="V41" s="3161">
        <f>I41</f>
        <v>0</v>
      </c>
      <c r="W41" s="3161"/>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60" t="str">
        <f>A42</f>
        <v>比较价值（元/平方米）</v>
      </c>
      <c r="Q42" s="3160"/>
      <c r="R42" s="3161" t="e">
        <f>IF(F1="售价",ROUND(PRODUCT(R41,AA7:AA40),0),ROUND(PRODUCT(R41,AA7:AA40),1))</f>
        <v>#DIV/0!</v>
      </c>
      <c r="S42" s="3161"/>
      <c r="T42" s="3161" t="e">
        <f>IF(F1="售价",ROUND(PRODUCT(T41,AB7:AB40),0),ROUND(PRODUCT(T41,AB7:AB40),1))</f>
        <v>#DIV/0!</v>
      </c>
      <c r="U42" s="3161"/>
      <c r="V42" s="3161" t="e">
        <f>IF(F1="售价",ROUND(PRODUCT(V41,AC7:AC40),0),ROUND(PRODUCT(V41,AC7:AC40),1))</f>
        <v>#DIV/0!</v>
      </c>
      <c r="W42" s="3161"/>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37" t="str">
        <f>A43</f>
        <v>估价对象XX用房的比较价值（楼面单价，元/平方米）</v>
      </c>
      <c r="Q43" s="3238"/>
      <c r="R43" s="3239" t="e">
        <f>IF(F1="售价",ROUND(AVERAGE(R42:V42),0),ROUND(AVERAGE(R42:V42),1))</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9"/>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2334</v>
      </c>
      <c r="B2" s="1421" t="e">
        <f ca="1">IF(C2="——",IF(B37="元/平方米",ROUND(C39*D3/10000,0),ROUND(F3*C39/10000,0)),IF(B37="元/平方米",ROUND(C39*D3/10000,0),ROUND(F3*C39/10000,0))-D2)</f>
        <v>#DIV/0!</v>
      </c>
      <c r="C2" s="2591"/>
      <c r="D2" s="1127" t="e">
        <f ca="1">SUMIF(INDIRECT("'"&amp;F2&amp;"'"&amp;"!A:A"),"承租人权益价值",INDIRECT("'"&amp;F2&amp;"'"&amp;"!c:c"))</f>
        <v>#REF!</v>
      </c>
      <c r="E2" s="2592" t="s">
        <v>2335</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77" t="s">
        <v>2651</v>
      </c>
      <c r="D4" s="3178"/>
      <c r="E4" s="3179" t="s">
        <v>2652</v>
      </c>
      <c r="F4" s="3180"/>
      <c r="G4" s="3177" t="s">
        <v>2653</v>
      </c>
      <c r="H4" s="3178"/>
      <c r="I4" s="3177" t="s">
        <v>2654</v>
      </c>
      <c r="J4" s="3178"/>
      <c r="K4" s="610" t="s">
        <v>2655</v>
      </c>
      <c r="L4" s="1133"/>
      <c r="M4" s="1134"/>
      <c r="N4" s="1134"/>
      <c r="O4" s="1134"/>
      <c r="P4" s="3241" t="s">
        <v>2656</v>
      </c>
      <c r="Q4" s="3242"/>
      <c r="R4" s="3245" t="s">
        <v>2652</v>
      </c>
      <c r="S4" s="3246"/>
      <c r="T4" s="3245" t="s">
        <v>2653</v>
      </c>
      <c r="U4" s="3246"/>
      <c r="V4" s="3194" t="s">
        <v>2654</v>
      </c>
      <c r="W4" s="3194"/>
      <c r="X4" s="1816"/>
      <c r="Y4" s="3245" t="s">
        <v>2656</v>
      </c>
      <c r="Z4" s="3246"/>
      <c r="AA4" s="3240" t="s">
        <v>2652</v>
      </c>
      <c r="AB4" s="3206" t="s">
        <v>2653</v>
      </c>
      <c r="AC4" s="3240" t="s">
        <v>2654</v>
      </c>
    </row>
    <row r="5" spans="1:29" ht="15">
      <c r="A5" s="404"/>
      <c r="B5" s="405"/>
      <c r="C5" s="3247" t="s">
        <v>2547</v>
      </c>
      <c r="D5" s="3198"/>
      <c r="E5" s="3248" t="s">
        <v>2548</v>
      </c>
      <c r="F5" s="3209"/>
      <c r="G5" s="3247" t="s">
        <v>2549</v>
      </c>
      <c r="H5" s="3198"/>
      <c r="I5" s="3247" t="s">
        <v>2550</v>
      </c>
      <c r="J5" s="3198"/>
      <c r="K5" s="610"/>
      <c r="L5" s="1133"/>
      <c r="M5" s="1134"/>
      <c r="N5" s="1134"/>
      <c r="O5" s="1134"/>
      <c r="P5" s="3243"/>
      <c r="Q5" s="3184"/>
      <c r="R5" s="3189"/>
      <c r="S5" s="3190"/>
      <c r="T5" s="3189"/>
      <c r="U5" s="3190"/>
      <c r="V5" s="3194"/>
      <c r="W5" s="3194"/>
      <c r="X5" s="1816"/>
      <c r="Y5" s="3189"/>
      <c r="Z5" s="3190"/>
      <c r="AA5" s="3206"/>
      <c r="AB5" s="3206"/>
      <c r="AC5" s="3206"/>
    </row>
    <row r="6" spans="1:29" ht="15.75" thickBot="1">
      <c r="A6" s="406"/>
      <c r="B6" s="407"/>
      <c r="C6" s="3195" t="s">
        <v>2551</v>
      </c>
      <c r="D6" s="3196"/>
      <c r="E6" s="3203" t="s">
        <v>2551</v>
      </c>
      <c r="F6" s="3204"/>
      <c r="G6" s="3195" t="s">
        <v>2551</v>
      </c>
      <c r="H6" s="3196"/>
      <c r="I6" s="3195" t="s">
        <v>2551</v>
      </c>
      <c r="J6" s="3196"/>
      <c r="K6" s="610" t="s">
        <v>2552</v>
      </c>
      <c r="L6" s="1133"/>
      <c r="M6" s="1134"/>
      <c r="N6" s="1134"/>
      <c r="O6" s="1134"/>
      <c r="P6" s="3244"/>
      <c r="Q6" s="3186"/>
      <c r="R6" s="3189"/>
      <c r="S6" s="3190"/>
      <c r="T6" s="3191"/>
      <c r="U6" s="3192"/>
      <c r="V6" s="3194"/>
      <c r="W6" s="3194"/>
      <c r="X6" s="1816"/>
      <c r="Y6" s="3191"/>
      <c r="Z6" s="3192"/>
      <c r="AA6" s="3207"/>
      <c r="AB6" s="3207"/>
      <c r="AC6" s="3207"/>
    </row>
    <row r="7" spans="1:29" s="117" customFormat="1" ht="15.75" thickBot="1">
      <c r="A7" s="408" t="s">
        <v>2553</v>
      </c>
      <c r="B7" s="409"/>
      <c r="C7" s="410">
        <f>'数据-取费表'!B2</f>
        <v>43276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1" t="s">
        <v>2554</v>
      </c>
      <c r="Q7" s="3202"/>
      <c r="R7" s="770" t="s">
        <v>17</v>
      </c>
      <c r="S7" s="771">
        <f t="shared" ref="S7:S14" si="0">F7</f>
        <v>0</v>
      </c>
      <c r="T7" s="770" t="s">
        <v>17</v>
      </c>
      <c r="U7" s="771">
        <f t="shared" ref="U7:U14" si="1">H7</f>
        <v>0</v>
      </c>
      <c r="V7" s="770" t="s">
        <v>17</v>
      </c>
      <c r="W7" s="771">
        <f t="shared" ref="W7:W14" si="2">J7</f>
        <v>0</v>
      </c>
      <c r="X7" s="772"/>
      <c r="Y7" s="3201" t="s">
        <v>2554</v>
      </c>
      <c r="Z7" s="3200"/>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1" t="s">
        <v>2557</v>
      </c>
      <c r="Q8" s="3200"/>
      <c r="R8" s="770" t="s">
        <v>17</v>
      </c>
      <c r="S8" s="771">
        <f t="shared" si="0"/>
        <v>0</v>
      </c>
      <c r="T8" s="770" t="s">
        <v>17</v>
      </c>
      <c r="U8" s="771">
        <f t="shared" si="1"/>
        <v>0</v>
      </c>
      <c r="V8" s="770" t="s">
        <v>17</v>
      </c>
      <c r="W8" s="771">
        <f t="shared" si="2"/>
        <v>0</v>
      </c>
      <c r="X8" s="772"/>
      <c r="Y8" s="3201" t="s">
        <v>2557</v>
      </c>
      <c r="Z8" s="3200"/>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0" t="s">
        <v>2560</v>
      </c>
      <c r="Q9" s="1798" t="str">
        <f t="shared" ref="Q9:Q14" si="6">B9</f>
        <v>用途</v>
      </c>
      <c r="R9" s="770" t="s">
        <v>17</v>
      </c>
      <c r="S9" s="771">
        <f t="shared" si="0"/>
        <v>100</v>
      </c>
      <c r="T9" s="770" t="s">
        <v>17</v>
      </c>
      <c r="U9" s="771">
        <f t="shared" si="1"/>
        <v>100</v>
      </c>
      <c r="V9" s="770" t="s">
        <v>17</v>
      </c>
      <c r="W9" s="771">
        <f t="shared" si="2"/>
        <v>100</v>
      </c>
      <c r="X9" s="772"/>
      <c r="Y9" s="3014"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0"/>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0"/>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0"/>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0"/>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7" t="s">
        <v>2565</v>
      </c>
      <c r="Q14" s="1813" t="str">
        <f t="shared" si="6"/>
        <v>交通便捷度</v>
      </c>
      <c r="R14" s="774" t="s">
        <v>17</v>
      </c>
      <c r="S14" s="775">
        <f t="shared" si="0"/>
        <v>100</v>
      </c>
      <c r="T14" s="774" t="s">
        <v>17</v>
      </c>
      <c r="U14" s="775">
        <f t="shared" si="1"/>
        <v>100</v>
      </c>
      <c r="V14" s="774" t="s">
        <v>17</v>
      </c>
      <c r="W14" s="775">
        <f t="shared" si="2"/>
        <v>100</v>
      </c>
      <c r="X14" s="1816"/>
      <c r="Y14" s="3167"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8"/>
      <c r="Q15" s="1813"/>
      <c r="R15" s="774"/>
      <c r="S15" s="775"/>
      <c r="T15" s="774"/>
      <c r="U15" s="775"/>
      <c r="V15" s="774"/>
      <c r="W15" s="775"/>
      <c r="X15" s="1816"/>
      <c r="Y15" s="3168"/>
      <c r="Z15" s="1817"/>
      <c r="AA15" s="1814">
        <v>1</v>
      </c>
      <c r="AB15" s="1814">
        <v>1</v>
      </c>
      <c r="AC15" s="1814">
        <v>1</v>
      </c>
    </row>
    <row r="16" spans="1:29" ht="42.75">
      <c r="A16" s="404"/>
      <c r="B16" s="631" t="s">
        <v>2693</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68"/>
      <c r="Q17" s="1813"/>
      <c r="R17" s="774"/>
      <c r="S17" s="775"/>
      <c r="T17" s="774"/>
      <c r="U17" s="775"/>
      <c r="V17" s="774"/>
      <c r="W17" s="775"/>
      <c r="X17" s="1816"/>
      <c r="Y17" s="3168"/>
      <c r="Z17" s="1817"/>
      <c r="AA17" s="1814">
        <v>1</v>
      </c>
      <c r="AB17" s="1814">
        <v>1</v>
      </c>
      <c r="AC17" s="1814">
        <v>1</v>
      </c>
    </row>
    <row r="18" spans="1:29" ht="28.5">
      <c r="A18" s="404"/>
      <c r="B18" s="633" t="s">
        <v>2694</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68"/>
      <c r="Q19" s="1813"/>
      <c r="R19" s="774"/>
      <c r="S19" s="775"/>
      <c r="T19" s="774"/>
      <c r="U19" s="775"/>
      <c r="V19" s="774"/>
      <c r="W19" s="775"/>
      <c r="X19" s="1816"/>
      <c r="Y19" s="3168"/>
      <c r="Z19" s="1817"/>
      <c r="AA19" s="1814">
        <v>1</v>
      </c>
      <c r="AB19" s="1814">
        <v>1</v>
      </c>
      <c r="AC19" s="1814">
        <v>1</v>
      </c>
    </row>
    <row r="20" spans="1:29" ht="57">
      <c r="A20" s="404"/>
      <c r="B20" s="631" t="s">
        <v>2715</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8"/>
      <c r="Q21" s="1813"/>
      <c r="R21" s="774"/>
      <c r="S21" s="775"/>
      <c r="T21" s="774"/>
      <c r="U21" s="775"/>
      <c r="V21" s="774"/>
      <c r="W21" s="775"/>
      <c r="X21" s="1816"/>
      <c r="Y21" s="3168"/>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8"/>
      <c r="Q24" s="1813">
        <f t="shared" ref="Q24:Q36"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9"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2"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2"/>
      <c r="Q28" s="1813" t="str">
        <f t="shared" si="11"/>
        <v>公共部分装修</v>
      </c>
      <c r="R28" s="774" t="s">
        <v>17</v>
      </c>
      <c r="S28" s="775">
        <f t="shared" si="12"/>
        <v>100</v>
      </c>
      <c r="T28" s="774" t="s">
        <v>17</v>
      </c>
      <c r="U28" s="775">
        <f t="shared" si="13"/>
        <v>100</v>
      </c>
      <c r="V28" s="774" t="s">
        <v>17</v>
      </c>
      <c r="W28" s="775">
        <f t="shared" si="14"/>
        <v>100</v>
      </c>
      <c r="X28" s="1816"/>
      <c r="Y28" s="3172"/>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2"/>
      <c r="Q29" s="1813" t="str">
        <f t="shared" si="11"/>
        <v>成新率</v>
      </c>
      <c r="R29" s="774" t="s">
        <v>17</v>
      </c>
      <c r="S29" s="775" t="e">
        <f t="shared" si="12"/>
        <v>#N/A</v>
      </c>
      <c r="T29" s="774" t="s">
        <v>17</v>
      </c>
      <c r="U29" s="775" t="e">
        <f t="shared" si="13"/>
        <v>#N/A</v>
      </c>
      <c r="V29" s="774" t="s">
        <v>17</v>
      </c>
      <c r="W29" s="775" t="e">
        <f t="shared" si="14"/>
        <v>#N/A</v>
      </c>
      <c r="X29" s="1816"/>
      <c r="Y29" s="3172"/>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2"/>
      <c r="Q30" s="1813" t="str">
        <f t="shared" si="11"/>
        <v>物业等级</v>
      </c>
      <c r="R30" s="774" t="s">
        <v>17</v>
      </c>
      <c r="S30" s="775">
        <f t="shared" si="12"/>
        <v>100</v>
      </c>
      <c r="T30" s="774" t="s">
        <v>17</v>
      </c>
      <c r="U30" s="775">
        <f t="shared" si="13"/>
        <v>100</v>
      </c>
      <c r="V30" s="774" t="s">
        <v>17</v>
      </c>
      <c r="W30" s="775">
        <f t="shared" si="14"/>
        <v>100</v>
      </c>
      <c r="X30" s="1816"/>
      <c r="Y30" s="3172"/>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2"/>
      <c r="Q31" s="1798"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2" t="s">
        <v>2570</v>
      </c>
      <c r="Q32" s="1813" t="str">
        <f t="shared" si="11"/>
        <v>车位类型</v>
      </c>
      <c r="R32" s="774" t="s">
        <v>17</v>
      </c>
      <c r="S32" s="775">
        <f t="shared" si="12"/>
        <v>100</v>
      </c>
      <c r="T32" s="774" t="s">
        <v>17</v>
      </c>
      <c r="U32" s="775">
        <f t="shared" si="13"/>
        <v>100</v>
      </c>
      <c r="V32" s="774" t="s">
        <v>17</v>
      </c>
      <c r="W32" s="775">
        <f t="shared" si="14"/>
        <v>100</v>
      </c>
      <c r="X32" s="1816"/>
      <c r="Y32" s="3172"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2"/>
      <c r="Q33" s="1813" t="str">
        <f t="shared" si="11"/>
        <v>是否直接入户</v>
      </c>
      <c r="R33" s="774" t="s">
        <v>17</v>
      </c>
      <c r="S33" s="775">
        <f t="shared" si="12"/>
        <v>100</v>
      </c>
      <c r="T33" s="774" t="s">
        <v>17</v>
      </c>
      <c r="U33" s="775">
        <f t="shared" si="13"/>
        <v>100</v>
      </c>
      <c r="V33" s="774" t="s">
        <v>17</v>
      </c>
      <c r="W33" s="775">
        <f t="shared" si="14"/>
        <v>100</v>
      </c>
      <c r="X33" s="1816"/>
      <c r="Y33" s="317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2"/>
      <c r="Q36" s="1813">
        <f t="shared" si="11"/>
        <v>111</v>
      </c>
      <c r="R36" s="774" t="s">
        <v>17</v>
      </c>
      <c r="S36" s="775">
        <f t="shared" si="12"/>
        <v>100</v>
      </c>
      <c r="T36" s="774" t="s">
        <v>17</v>
      </c>
      <c r="U36" s="775">
        <f t="shared" si="13"/>
        <v>100</v>
      </c>
      <c r="V36" s="774" t="s">
        <v>17</v>
      </c>
      <c r="W36" s="775">
        <f t="shared" si="14"/>
        <v>100</v>
      </c>
      <c r="X36" s="1816"/>
      <c r="Y36" s="3172"/>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160" t="str">
        <f>A37</f>
        <v>成交单价</v>
      </c>
      <c r="Q37" s="3160"/>
      <c r="R37" s="3161">
        <f>E37</f>
        <v>0</v>
      </c>
      <c r="S37" s="3161"/>
      <c r="T37" s="3161">
        <f>G37</f>
        <v>0</v>
      </c>
      <c r="U37" s="3161"/>
      <c r="V37" s="3161">
        <f>I37</f>
        <v>0</v>
      </c>
      <c r="W37" s="3161"/>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0" t="str">
        <f>A38</f>
        <v>比较价值（元/平方米）</v>
      </c>
      <c r="Q38" s="3160"/>
      <c r="R38" s="3161" t="e">
        <f>IF(F1="售价",ROUND(PRODUCT(R37,AA7:AA36),0),ROUND(PRODUCT(R37,AA7:AA36),1))</f>
        <v>#DIV/0!</v>
      </c>
      <c r="S38" s="3161"/>
      <c r="T38" s="3161" t="e">
        <f>IF(F1="售价",ROUND(PRODUCT(T37,AB7:AB36),0),ROUND(PRODUCT(T37,AB7:AB36),1))</f>
        <v>#DIV/0!</v>
      </c>
      <c r="U38" s="3161"/>
      <c r="V38" s="3161" t="e">
        <f>IF(F1="售价",ROUND(PRODUCT(V37,AC7:AC36),0),ROUND(PRODUCT(V37,AC7:AC36),1))</f>
        <v>#DIV/0!</v>
      </c>
      <c r="W38" s="3161"/>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37" t="str">
        <f>A39</f>
        <v>估价对象XX用房的比较价值（楼面单价，元/平方米）</v>
      </c>
      <c r="Q39" s="3238"/>
      <c r="R39" s="3239" t="e">
        <f>IF(F1="售价",ROUND(AVERAGE(R38:V38),0),ROUND(AVERAGE(R38:V38),1))</f>
        <v>#DIV/0!</v>
      </c>
      <c r="S39" s="3239"/>
      <c r="T39" s="3239"/>
      <c r="U39" s="3239"/>
      <c r="V39" s="3239"/>
      <c r="W39" s="323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IF(C2="——",ROUND(C37*D3/10000,0),ROUND(C37*D3/10000,0)-D2)</f>
        <v>#DIV/0!</v>
      </c>
      <c r="C2" s="2591"/>
      <c r="D2" s="1127" t="e">
        <f ca="1">SUMIF(INDIRECT("'"&amp;F2&amp;"'"&amp;"!A:A"),"承租人权益价值",INDIRECT("'"&amp;F2&amp;"'"&amp;"!c:c"))</f>
        <v>#REF!</v>
      </c>
      <c r="E2" s="2592" t="s">
        <v>2335</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7" t="s">
        <v>2651</v>
      </c>
      <c r="D4" s="3178"/>
      <c r="E4" s="3179" t="s">
        <v>2652</v>
      </c>
      <c r="F4" s="3180"/>
      <c r="G4" s="3177" t="s">
        <v>2653</v>
      </c>
      <c r="H4" s="3178"/>
      <c r="I4" s="3177" t="s">
        <v>2654</v>
      </c>
      <c r="J4" s="3178"/>
      <c r="K4" s="610" t="s">
        <v>2655</v>
      </c>
      <c r="L4" s="1133"/>
      <c r="M4" s="1134"/>
      <c r="N4" s="1134"/>
      <c r="O4" s="1134"/>
      <c r="P4" s="3241" t="s">
        <v>2656</v>
      </c>
      <c r="Q4" s="3242"/>
      <c r="R4" s="3245" t="s">
        <v>2652</v>
      </c>
      <c r="S4" s="3246"/>
      <c r="T4" s="3245" t="s">
        <v>2653</v>
      </c>
      <c r="U4" s="3246"/>
      <c r="V4" s="3194" t="s">
        <v>2654</v>
      </c>
      <c r="W4" s="3194"/>
      <c r="X4" s="1816"/>
      <c r="Y4" s="3245" t="s">
        <v>2656</v>
      </c>
      <c r="Z4" s="3246"/>
      <c r="AA4" s="3240" t="s">
        <v>2652</v>
      </c>
      <c r="AB4" s="3206" t="s">
        <v>2653</v>
      </c>
      <c r="AC4" s="3240" t="s">
        <v>2654</v>
      </c>
    </row>
    <row r="5" spans="1:29" ht="15">
      <c r="A5" s="404"/>
      <c r="B5" s="405"/>
      <c r="C5" s="3247" t="s">
        <v>2547</v>
      </c>
      <c r="D5" s="3198"/>
      <c r="E5" s="3248" t="s">
        <v>2548</v>
      </c>
      <c r="F5" s="3209"/>
      <c r="G5" s="3247" t="s">
        <v>2549</v>
      </c>
      <c r="H5" s="3198"/>
      <c r="I5" s="3247" t="s">
        <v>2550</v>
      </c>
      <c r="J5" s="3198"/>
      <c r="K5" s="610"/>
      <c r="L5" s="1133"/>
      <c r="M5" s="1134"/>
      <c r="N5" s="1134"/>
      <c r="O5" s="1134"/>
      <c r="P5" s="3243"/>
      <c r="Q5" s="3184"/>
      <c r="R5" s="3189"/>
      <c r="S5" s="3190"/>
      <c r="T5" s="3189"/>
      <c r="U5" s="3190"/>
      <c r="V5" s="3194"/>
      <c r="W5" s="3194"/>
      <c r="X5" s="1816"/>
      <c r="Y5" s="3189"/>
      <c r="Z5" s="3190"/>
      <c r="AA5" s="3206"/>
      <c r="AB5" s="3206"/>
      <c r="AC5" s="3206"/>
    </row>
    <row r="6" spans="1:29" ht="15.75" thickBot="1">
      <c r="A6" s="406"/>
      <c r="B6" s="407"/>
      <c r="C6" s="3195" t="s">
        <v>2551</v>
      </c>
      <c r="D6" s="3196"/>
      <c r="E6" s="3203" t="s">
        <v>2551</v>
      </c>
      <c r="F6" s="3204"/>
      <c r="G6" s="3195" t="s">
        <v>2551</v>
      </c>
      <c r="H6" s="3196"/>
      <c r="I6" s="3195" t="s">
        <v>2551</v>
      </c>
      <c r="J6" s="3196"/>
      <c r="K6" s="610" t="s">
        <v>2552</v>
      </c>
      <c r="L6" s="1133"/>
      <c r="M6" s="1134"/>
      <c r="N6" s="1134"/>
      <c r="O6" s="1134"/>
      <c r="P6" s="3244"/>
      <c r="Q6" s="3186"/>
      <c r="R6" s="3189"/>
      <c r="S6" s="3190"/>
      <c r="T6" s="3191"/>
      <c r="U6" s="3192"/>
      <c r="V6" s="3194"/>
      <c r="W6" s="3194"/>
      <c r="X6" s="1816"/>
      <c r="Y6" s="3191"/>
      <c r="Z6" s="3192"/>
      <c r="AA6" s="3207"/>
      <c r="AB6" s="3207"/>
      <c r="AC6" s="3207"/>
    </row>
    <row r="7" spans="1:29" s="117" customFormat="1" ht="15.75" thickBot="1">
      <c r="A7" s="408" t="s">
        <v>2553</v>
      </c>
      <c r="B7" s="409"/>
      <c r="C7" s="410">
        <f>'数据-取费表'!B2</f>
        <v>43276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1" t="s">
        <v>2554</v>
      </c>
      <c r="Q7" s="3202"/>
      <c r="R7" s="770" t="s">
        <v>17</v>
      </c>
      <c r="S7" s="771">
        <f t="shared" ref="S7:S14" si="0">F7</f>
        <v>0</v>
      </c>
      <c r="T7" s="770" t="s">
        <v>17</v>
      </c>
      <c r="U7" s="771">
        <f t="shared" ref="U7:U14" si="1">H7</f>
        <v>0</v>
      </c>
      <c r="V7" s="770" t="s">
        <v>17</v>
      </c>
      <c r="W7" s="771">
        <f t="shared" ref="W7:W14" si="2">J7</f>
        <v>0</v>
      </c>
      <c r="X7" s="772"/>
      <c r="Y7" s="3201" t="s">
        <v>2554</v>
      </c>
      <c r="Z7" s="3200"/>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1" t="s">
        <v>2557</v>
      </c>
      <c r="Q8" s="3200"/>
      <c r="R8" s="770" t="s">
        <v>17</v>
      </c>
      <c r="S8" s="771">
        <f t="shared" si="0"/>
        <v>0</v>
      </c>
      <c r="T8" s="770" t="s">
        <v>17</v>
      </c>
      <c r="U8" s="771">
        <f t="shared" si="1"/>
        <v>0</v>
      </c>
      <c r="V8" s="770" t="s">
        <v>17</v>
      </c>
      <c r="W8" s="771">
        <f t="shared" si="2"/>
        <v>0</v>
      </c>
      <c r="X8" s="772"/>
      <c r="Y8" s="3201" t="s">
        <v>2557</v>
      </c>
      <c r="Z8" s="3200"/>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0" t="s">
        <v>2560</v>
      </c>
      <c r="Q9" s="1798" t="str">
        <f t="shared" ref="Q9:Q14" si="6">B9</f>
        <v>用途</v>
      </c>
      <c r="R9" s="770" t="s">
        <v>17</v>
      </c>
      <c r="S9" s="771">
        <f t="shared" si="0"/>
        <v>100</v>
      </c>
      <c r="T9" s="770" t="s">
        <v>17</v>
      </c>
      <c r="U9" s="771">
        <f t="shared" si="1"/>
        <v>100</v>
      </c>
      <c r="V9" s="770" t="s">
        <v>17</v>
      </c>
      <c r="W9" s="771">
        <f t="shared" si="2"/>
        <v>100</v>
      </c>
      <c r="X9" s="772"/>
      <c r="Y9" s="3014"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0"/>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0"/>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7" t="s">
        <v>2565</v>
      </c>
      <c r="Q14" s="1813" t="str">
        <f t="shared" si="6"/>
        <v>交通便捷度</v>
      </c>
      <c r="R14" s="774" t="s">
        <v>17</v>
      </c>
      <c r="S14" s="775">
        <f t="shared" si="0"/>
        <v>100</v>
      </c>
      <c r="T14" s="774" t="s">
        <v>17</v>
      </c>
      <c r="U14" s="775">
        <f t="shared" si="1"/>
        <v>100</v>
      </c>
      <c r="V14" s="774" t="s">
        <v>17</v>
      </c>
      <c r="W14" s="775">
        <f t="shared" si="2"/>
        <v>100</v>
      </c>
      <c r="X14" s="1816"/>
      <c r="Y14" s="3167"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8"/>
      <c r="Q15" s="1813"/>
      <c r="R15" s="774"/>
      <c r="S15" s="775"/>
      <c r="T15" s="774"/>
      <c r="U15" s="775"/>
      <c r="V15" s="774"/>
      <c r="W15" s="775"/>
      <c r="X15" s="1816"/>
      <c r="Y15" s="3168"/>
      <c r="Z15" s="1817"/>
      <c r="AA15" s="1814">
        <v>1</v>
      </c>
      <c r="AB15" s="1814">
        <v>1</v>
      </c>
      <c r="AC15" s="1814">
        <v>1</v>
      </c>
    </row>
    <row r="16" spans="1:29" ht="42.75">
      <c r="A16" s="428"/>
      <c r="B16" s="451" t="s">
        <v>2693</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68"/>
      <c r="Q17" s="1813"/>
      <c r="R17" s="774"/>
      <c r="S17" s="775"/>
      <c r="T17" s="774"/>
      <c r="U17" s="775"/>
      <c r="V17" s="774"/>
      <c r="W17" s="775"/>
      <c r="X17" s="1816"/>
      <c r="Y17" s="3168"/>
      <c r="Z17" s="1817"/>
      <c r="AA17" s="1814">
        <v>1</v>
      </c>
      <c r="AB17" s="1814">
        <v>1</v>
      </c>
      <c r="AC17" s="1814">
        <v>1</v>
      </c>
    </row>
    <row r="18" spans="1:29" ht="28.5">
      <c r="A18" s="428"/>
      <c r="B18" s="1387" t="s">
        <v>2694</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68"/>
      <c r="Q19" s="1813"/>
      <c r="R19" s="774"/>
      <c r="S19" s="775"/>
      <c r="T19" s="774"/>
      <c r="U19" s="775"/>
      <c r="V19" s="774"/>
      <c r="W19" s="775"/>
      <c r="X19" s="1816"/>
      <c r="Y19" s="3168"/>
      <c r="Z19" s="1817"/>
      <c r="AA19" s="1814">
        <v>1</v>
      </c>
      <c r="AB19" s="1814">
        <v>1</v>
      </c>
      <c r="AC19" s="1814">
        <v>1</v>
      </c>
    </row>
    <row r="20" spans="1:29" ht="57">
      <c r="A20" s="428"/>
      <c r="B20" s="451" t="s">
        <v>2715</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8"/>
      <c r="Q21" s="1813"/>
      <c r="R21" s="774"/>
      <c r="S21" s="775"/>
      <c r="T21" s="774"/>
      <c r="U21" s="775"/>
      <c r="V21" s="774"/>
      <c r="W21" s="775"/>
      <c r="X21" s="1816"/>
      <c r="Y21" s="3168"/>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8"/>
      <c r="Q24" s="1813">
        <f t="shared" ref="Q24:Q34"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9"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2"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2"/>
      <c r="Q28" s="1813" t="str">
        <f t="shared" si="11"/>
        <v>物业等级</v>
      </c>
      <c r="R28" s="774" t="s">
        <v>17</v>
      </c>
      <c r="S28" s="775">
        <f t="shared" si="12"/>
        <v>100</v>
      </c>
      <c r="T28" s="774" t="s">
        <v>17</v>
      </c>
      <c r="U28" s="775">
        <f t="shared" si="13"/>
        <v>100</v>
      </c>
      <c r="V28" s="774" t="s">
        <v>17</v>
      </c>
      <c r="W28" s="775">
        <f t="shared" si="14"/>
        <v>100</v>
      </c>
      <c r="X28" s="1816"/>
      <c r="Y28" s="3172"/>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2"/>
      <c r="Q29" s="1813" t="str">
        <f t="shared" si="11"/>
        <v>有无电梯</v>
      </c>
      <c r="R29" s="774" t="s">
        <v>17</v>
      </c>
      <c r="S29" s="775">
        <f t="shared" si="12"/>
        <v>100</v>
      </c>
      <c r="T29" s="774" t="s">
        <v>17</v>
      </c>
      <c r="U29" s="775">
        <f t="shared" si="13"/>
        <v>100</v>
      </c>
      <c r="V29" s="774" t="s">
        <v>17</v>
      </c>
      <c r="W29" s="775">
        <f t="shared" si="14"/>
        <v>100</v>
      </c>
      <c r="X29" s="1816"/>
      <c r="Y29" s="3172"/>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2"/>
      <c r="Q30" s="1813" t="str">
        <f t="shared" si="11"/>
        <v>建筑面积</v>
      </c>
      <c r="R30" s="774" t="s">
        <v>17</v>
      </c>
      <c r="S30" s="775" t="e">
        <f t="shared" si="12"/>
        <v>#N/A</v>
      </c>
      <c r="T30" s="774" t="s">
        <v>17</v>
      </c>
      <c r="U30" s="775" t="e">
        <f t="shared" si="13"/>
        <v>#N/A</v>
      </c>
      <c r="V30" s="774" t="s">
        <v>17</v>
      </c>
      <c r="W30" s="775" t="e">
        <f t="shared" si="14"/>
        <v>#N/A</v>
      </c>
      <c r="X30" s="1816"/>
      <c r="Y30" s="3172"/>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2"/>
      <c r="Q31" s="1798"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2" t="s">
        <v>2570</v>
      </c>
      <c r="Q32" s="1813">
        <f t="shared" si="11"/>
        <v>111</v>
      </c>
      <c r="R32" s="774" t="s">
        <v>17</v>
      </c>
      <c r="S32" s="775">
        <f t="shared" si="12"/>
        <v>100</v>
      </c>
      <c r="T32" s="774" t="s">
        <v>17</v>
      </c>
      <c r="U32" s="775">
        <f t="shared" si="13"/>
        <v>100</v>
      </c>
      <c r="V32" s="774" t="s">
        <v>17</v>
      </c>
      <c r="W32" s="775">
        <f t="shared" si="14"/>
        <v>100</v>
      </c>
      <c r="X32" s="1816"/>
      <c r="Y32" s="3172" t="s">
        <v>2570</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2"/>
      <c r="Q33" s="1813">
        <f t="shared" si="11"/>
        <v>111</v>
      </c>
      <c r="R33" s="774" t="s">
        <v>17</v>
      </c>
      <c r="S33" s="775">
        <f t="shared" si="12"/>
        <v>100</v>
      </c>
      <c r="T33" s="774" t="s">
        <v>17</v>
      </c>
      <c r="U33" s="775">
        <f t="shared" si="13"/>
        <v>100</v>
      </c>
      <c r="V33" s="774" t="s">
        <v>17</v>
      </c>
      <c r="W33" s="775">
        <f t="shared" si="14"/>
        <v>100</v>
      </c>
      <c r="X33" s="1816"/>
      <c r="Y33" s="3172"/>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60" t="str">
        <f>A35</f>
        <v>成交单价（元/平方米）</v>
      </c>
      <c r="Q35" s="3160"/>
      <c r="R35" s="3161">
        <f>E35</f>
        <v>0</v>
      </c>
      <c r="S35" s="3161"/>
      <c r="T35" s="3161">
        <f>G35</f>
        <v>0</v>
      </c>
      <c r="U35" s="3161"/>
      <c r="V35" s="3161">
        <f>I35</f>
        <v>0</v>
      </c>
      <c r="W35" s="3161"/>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60" t="str">
        <f>A36</f>
        <v>比较价值（元/平方米）</v>
      </c>
      <c r="Q36" s="3160"/>
      <c r="R36" s="3161" t="e">
        <f>IF(F1="售价",ROUND(PRODUCT(R35,AA7:AA34),0),ROUND(PRODUCT(R35,AA7:AA34),1))</f>
        <v>#DIV/0!</v>
      </c>
      <c r="S36" s="3161"/>
      <c r="T36" s="3161" t="e">
        <f>IF(F1="售价",ROUND(PRODUCT(T35,AB7:AB34),0),ROUND(PRODUCT(T35,AB7:AB34),1))</f>
        <v>#DIV/0!</v>
      </c>
      <c r="U36" s="3161"/>
      <c r="V36" s="3161" t="e">
        <f>IF(F1="售价",ROUND(PRODUCT(V35,AC7:AC34),0),ROUND(PRODUCT(V35,AC7:AC34),1))</f>
        <v>#DIV/0!</v>
      </c>
      <c r="W36" s="3161"/>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37" t="str">
        <f>A37</f>
        <v>估价对象XX用房的比较价值（楼面单价，元/平方米）</v>
      </c>
      <c r="Q37" s="3238"/>
      <c r="R37" s="3239" t="e">
        <f>IF(F1="售价",ROUND(AVERAGE(R36:V36),0),ROUND(AVERAGE(R36:V36),1))</f>
        <v>#DIV/0!</v>
      </c>
      <c r="S37" s="3239"/>
      <c r="T37" s="3239"/>
      <c r="U37" s="3239"/>
      <c r="V37" s="3239"/>
      <c r="W37" s="323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2336</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77" t="s">
        <v>2651</v>
      </c>
      <c r="D4" s="3178"/>
      <c r="E4" s="3179" t="s">
        <v>2652</v>
      </c>
      <c r="F4" s="3180"/>
      <c r="G4" s="3177" t="s">
        <v>2653</v>
      </c>
      <c r="H4" s="3178"/>
      <c r="I4" s="3177" t="s">
        <v>2654</v>
      </c>
      <c r="J4" s="3178"/>
      <c r="K4" s="610" t="s">
        <v>2655</v>
      </c>
      <c r="L4" s="1133"/>
      <c r="M4" s="1134"/>
      <c r="N4" s="1134"/>
      <c r="O4" s="1134"/>
      <c r="P4" s="3241" t="s">
        <v>2656</v>
      </c>
      <c r="Q4" s="3242"/>
      <c r="R4" s="3245" t="s">
        <v>2652</v>
      </c>
      <c r="S4" s="3246"/>
      <c r="T4" s="3245" t="s">
        <v>2653</v>
      </c>
      <c r="U4" s="3246"/>
      <c r="V4" s="3194" t="s">
        <v>2654</v>
      </c>
      <c r="W4" s="3194"/>
      <c r="X4" s="1816"/>
      <c r="Y4" s="3245" t="s">
        <v>2656</v>
      </c>
      <c r="Z4" s="3246"/>
      <c r="AA4" s="3240" t="s">
        <v>2652</v>
      </c>
      <c r="AB4" s="3206" t="s">
        <v>2653</v>
      </c>
      <c r="AC4" s="3240" t="s">
        <v>2654</v>
      </c>
    </row>
    <row r="5" spans="1:30" ht="15">
      <c r="A5" s="404"/>
      <c r="B5" s="405"/>
      <c r="C5" s="3247" t="s">
        <v>2547</v>
      </c>
      <c r="D5" s="3198"/>
      <c r="E5" s="3248" t="s">
        <v>2548</v>
      </c>
      <c r="F5" s="3209"/>
      <c r="G5" s="3247" t="s">
        <v>2549</v>
      </c>
      <c r="H5" s="3198"/>
      <c r="I5" s="3247" t="s">
        <v>2550</v>
      </c>
      <c r="J5" s="3198"/>
      <c r="K5" s="610"/>
      <c r="L5" s="1133"/>
      <c r="M5" s="1134"/>
      <c r="N5" s="1134"/>
      <c r="O5" s="1134"/>
      <c r="P5" s="3243"/>
      <c r="Q5" s="3184"/>
      <c r="R5" s="3189"/>
      <c r="S5" s="3190"/>
      <c r="T5" s="3189"/>
      <c r="U5" s="3190"/>
      <c r="V5" s="3194"/>
      <c r="W5" s="3194"/>
      <c r="X5" s="1816"/>
      <c r="Y5" s="3189"/>
      <c r="Z5" s="3190"/>
      <c r="AA5" s="3206"/>
      <c r="AB5" s="3206"/>
      <c r="AC5" s="3206"/>
    </row>
    <row r="6" spans="1:30" ht="15.75" thickBot="1">
      <c r="A6" s="406"/>
      <c r="B6" s="407"/>
      <c r="C6" s="3195" t="s">
        <v>2551</v>
      </c>
      <c r="D6" s="3196"/>
      <c r="E6" s="3203" t="s">
        <v>2551</v>
      </c>
      <c r="F6" s="3204"/>
      <c r="G6" s="3195" t="s">
        <v>2551</v>
      </c>
      <c r="H6" s="3196"/>
      <c r="I6" s="3195" t="s">
        <v>2551</v>
      </c>
      <c r="J6" s="3196"/>
      <c r="K6" s="610" t="s">
        <v>2552</v>
      </c>
      <c r="L6" s="1133"/>
      <c r="M6" s="1134"/>
      <c r="N6" s="1134"/>
      <c r="O6" s="1134"/>
      <c r="P6" s="3244"/>
      <c r="Q6" s="3186"/>
      <c r="R6" s="3189"/>
      <c r="S6" s="3190"/>
      <c r="T6" s="3191"/>
      <c r="U6" s="3192"/>
      <c r="V6" s="3194"/>
      <c r="W6" s="3194"/>
      <c r="X6" s="1816"/>
      <c r="Y6" s="3191"/>
      <c r="Z6" s="3192"/>
      <c r="AA6" s="3207"/>
      <c r="AB6" s="3207"/>
      <c r="AC6" s="3207"/>
    </row>
    <row r="7" spans="1:30" s="117" customFormat="1" ht="15.75" thickBot="1">
      <c r="A7" s="408" t="s">
        <v>2553</v>
      </c>
      <c r="B7" s="409"/>
      <c r="C7" s="410">
        <f>'数据-取费表'!B2</f>
        <v>43276</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1" t="s">
        <v>2554</v>
      </c>
      <c r="Q7" s="3202"/>
      <c r="R7" s="770" t="s">
        <v>17</v>
      </c>
      <c r="S7" s="771">
        <f t="shared" ref="S7:S15" si="0">F7</f>
        <v>0</v>
      </c>
      <c r="T7" s="770" t="s">
        <v>17</v>
      </c>
      <c r="U7" s="771">
        <f t="shared" ref="U7:U15" si="1">H7</f>
        <v>0</v>
      </c>
      <c r="V7" s="770" t="s">
        <v>17</v>
      </c>
      <c r="W7" s="771">
        <f t="shared" ref="W7:W15" si="2">J7</f>
        <v>0</v>
      </c>
      <c r="X7" s="772"/>
      <c r="Y7" s="3201" t="s">
        <v>2554</v>
      </c>
      <c r="Z7" s="3200"/>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1" t="s">
        <v>2557</v>
      </c>
      <c r="Q8" s="3200"/>
      <c r="R8" s="770" t="s">
        <v>17</v>
      </c>
      <c r="S8" s="771">
        <f t="shared" si="0"/>
        <v>0</v>
      </c>
      <c r="T8" s="770" t="s">
        <v>17</v>
      </c>
      <c r="U8" s="771">
        <f t="shared" si="1"/>
        <v>0</v>
      </c>
      <c r="V8" s="770" t="s">
        <v>17</v>
      </c>
      <c r="W8" s="771">
        <f t="shared" si="2"/>
        <v>0</v>
      </c>
      <c r="X8" s="772"/>
      <c r="Y8" s="3201" t="s">
        <v>2557</v>
      </c>
      <c r="Z8" s="3200"/>
      <c r="AA8" s="773" t="e">
        <f t="shared" ref="AA8:AA45" si="3">D8/F8</f>
        <v>#DIV/0!</v>
      </c>
      <c r="AB8" s="773" t="e">
        <f t="shared" ref="AB8:AB45" si="4">D8/H8</f>
        <v>#DIV/0!</v>
      </c>
      <c r="AC8" s="773" t="e">
        <f t="shared" ref="AC8:AC45" si="5">D8/J8</f>
        <v>#DIV/0!</v>
      </c>
    </row>
    <row r="9" spans="1:30" s="117" customFormat="1">
      <c r="A9" s="415" t="s">
        <v>2558</v>
      </c>
      <c r="B9" s="71" t="s">
        <v>2559</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60" t="s">
        <v>2560</v>
      </c>
      <c r="Q9" s="1798" t="str">
        <f t="shared" ref="Q9:Q15" si="6">B9</f>
        <v>用途</v>
      </c>
      <c r="R9" s="770" t="s">
        <v>17</v>
      </c>
      <c r="S9" s="771">
        <f t="shared" si="0"/>
        <v>100</v>
      </c>
      <c r="T9" s="770" t="s">
        <v>17</v>
      </c>
      <c r="U9" s="771">
        <f t="shared" si="1"/>
        <v>100</v>
      </c>
      <c r="V9" s="770" t="s">
        <v>17</v>
      </c>
      <c r="W9" s="771">
        <f t="shared" si="2"/>
        <v>100</v>
      </c>
      <c r="X9" s="772"/>
      <c r="Y9" s="3014"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60"/>
      <c r="Q10" s="1798" t="str">
        <f t="shared" si="6"/>
        <v>土地使用年限（年）</v>
      </c>
      <c r="R10" s="770" t="s">
        <v>17</v>
      </c>
      <c r="S10" s="771">
        <f t="shared" si="0"/>
        <v>103</v>
      </c>
      <c r="T10" s="770" t="s">
        <v>17</v>
      </c>
      <c r="U10" s="771">
        <f t="shared" si="1"/>
        <v>103</v>
      </c>
      <c r="V10" s="770" t="s">
        <v>17</v>
      </c>
      <c r="W10" s="771">
        <f t="shared" si="2"/>
        <v>103</v>
      </c>
      <c r="X10" s="772"/>
      <c r="Y10" s="3014"/>
      <c r="Z10" s="55" t="str">
        <f t="shared" si="7"/>
        <v>土地使用年限（年）</v>
      </c>
      <c r="AA10" s="773">
        <f t="shared" si="3"/>
        <v>0.970873786407767</v>
      </c>
      <c r="AB10" s="773">
        <f t="shared" si="4"/>
        <v>0.970873786407767</v>
      </c>
      <c r="AC10" s="773">
        <f t="shared" si="5"/>
        <v>0.970873786407767</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0"/>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605"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0"/>
      <c r="Q12" s="1798"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2564</v>
      </c>
      <c r="B15" s="69" t="s">
        <v>2090</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7" t="s">
        <v>2565</v>
      </c>
      <c r="Q15" s="1813" t="str">
        <f t="shared" si="6"/>
        <v>居住社区成熟度</v>
      </c>
      <c r="R15" s="774" t="s">
        <v>17</v>
      </c>
      <c r="S15" s="775">
        <f t="shared" si="0"/>
        <v>100</v>
      </c>
      <c r="T15" s="774" t="s">
        <v>17</v>
      </c>
      <c r="U15" s="775">
        <f t="shared" si="1"/>
        <v>100</v>
      </c>
      <c r="V15" s="774" t="s">
        <v>17</v>
      </c>
      <c r="W15" s="775">
        <f t="shared" si="2"/>
        <v>100</v>
      </c>
      <c r="X15" s="1816"/>
      <c r="Y15" s="3167" t="s">
        <v>2565</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71.25">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8"/>
      <c r="Q17" s="1813" t="str">
        <f>B17</f>
        <v>商业繁华度</v>
      </c>
      <c r="R17" s="774" t="s">
        <v>17</v>
      </c>
      <c r="S17" s="775">
        <f>F17</f>
        <v>100</v>
      </c>
      <c r="T17" s="774" t="s">
        <v>17</v>
      </c>
      <c r="U17" s="775">
        <f>H17</f>
        <v>100</v>
      </c>
      <c r="V17" s="774" t="s">
        <v>17</v>
      </c>
      <c r="W17" s="775">
        <f>J17</f>
        <v>100</v>
      </c>
      <c r="X17" s="1816"/>
      <c r="Y17" s="3168"/>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8"/>
      <c r="Q19" s="1813" t="str">
        <f>B19</f>
        <v>办公集聚程度</v>
      </c>
      <c r="R19" s="774" t="s">
        <v>17</v>
      </c>
      <c r="S19" s="775">
        <f>F19</f>
        <v>100</v>
      </c>
      <c r="T19" s="774" t="s">
        <v>17</v>
      </c>
      <c r="U19" s="775">
        <f>H19</f>
        <v>100</v>
      </c>
      <c r="V19" s="774" t="s">
        <v>17</v>
      </c>
      <c r="W19" s="775">
        <f>J19</f>
        <v>100</v>
      </c>
      <c r="X19" s="1816"/>
      <c r="Y19" s="3168"/>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68"/>
      <c r="Q20" s="1813"/>
      <c r="R20" s="774"/>
      <c r="S20" s="775"/>
      <c r="T20" s="774"/>
      <c r="U20" s="775"/>
      <c r="V20" s="774"/>
      <c r="W20" s="775"/>
      <c r="X20" s="1816"/>
      <c r="Y20" s="3168"/>
      <c r="Z20" s="1817"/>
      <c r="AA20" s="1814">
        <v>1</v>
      </c>
      <c r="AB20" s="1814">
        <v>1</v>
      </c>
      <c r="AC20" s="1814">
        <v>1</v>
      </c>
    </row>
    <row r="21" spans="1:29" ht="85.5">
      <c r="A21" s="428"/>
      <c r="B21" s="451" t="s">
        <v>2714</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8"/>
      <c r="Q21" s="1813" t="str">
        <f>B21</f>
        <v>交通便捷度</v>
      </c>
      <c r="R21" s="774" t="s">
        <v>17</v>
      </c>
      <c r="S21" s="775">
        <f>F21</f>
        <v>100</v>
      </c>
      <c r="T21" s="774" t="s">
        <v>17</v>
      </c>
      <c r="U21" s="775">
        <f>H21</f>
        <v>100</v>
      </c>
      <c r="V21" s="774" t="s">
        <v>17</v>
      </c>
      <c r="W21" s="775">
        <f>J21</f>
        <v>100</v>
      </c>
      <c r="X21" s="1816"/>
      <c r="Y21" s="3168"/>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8"/>
      <c r="Q23" s="1813" t="str">
        <f t="shared" ref="Q23:Q37" si="8">B23</f>
        <v>区域土地利用方向</v>
      </c>
      <c r="R23" s="774" t="s">
        <v>17</v>
      </c>
      <c r="S23" s="775">
        <f>F23</f>
        <v>100</v>
      </c>
      <c r="T23" s="774" t="s">
        <v>17</v>
      </c>
      <c r="U23" s="775">
        <f>H23</f>
        <v>100</v>
      </c>
      <c r="V23" s="774" t="s">
        <v>17</v>
      </c>
      <c r="W23" s="775">
        <f>J23</f>
        <v>100</v>
      </c>
      <c r="X23" s="1816"/>
      <c r="Y23" s="3168"/>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68"/>
      <c r="Q24" s="1813"/>
      <c r="R24" s="774"/>
      <c r="S24" s="775"/>
      <c r="T24" s="774"/>
      <c r="U24" s="775"/>
      <c r="V24" s="774"/>
      <c r="W24" s="775"/>
      <c r="X24" s="1816"/>
      <c r="Y24" s="3168"/>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8"/>
      <c r="Q25" s="1813" t="str">
        <f t="shared" si="8"/>
        <v>自然及人文环境状况</v>
      </c>
      <c r="R25" s="774" t="s">
        <v>17</v>
      </c>
      <c r="S25" s="775">
        <f>F25</f>
        <v>100</v>
      </c>
      <c r="T25" s="774" t="s">
        <v>17</v>
      </c>
      <c r="U25" s="775">
        <f>H25</f>
        <v>100</v>
      </c>
      <c r="V25" s="774" t="s">
        <v>17</v>
      </c>
      <c r="W25" s="775">
        <f>J25</f>
        <v>100</v>
      </c>
      <c r="X25" s="1816"/>
      <c r="Y25" s="3168"/>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68"/>
      <c r="Q26" s="1813"/>
      <c r="R26" s="774"/>
      <c r="S26" s="775"/>
      <c r="T26" s="774"/>
      <c r="U26" s="775"/>
      <c r="V26" s="774"/>
      <c r="W26" s="775"/>
      <c r="X26" s="1816"/>
      <c r="Y26" s="3168"/>
      <c r="Z26" s="1817"/>
      <c r="AA26" s="1814">
        <v>1</v>
      </c>
      <c r="AB26" s="1814">
        <v>1</v>
      </c>
      <c r="AC26" s="1814">
        <v>1</v>
      </c>
    </row>
    <row r="27" spans="1:29" s="117" customFormat="1" ht="42.75">
      <c r="A27" s="649"/>
      <c r="B27" s="1387" t="s">
        <v>2659</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8"/>
      <c r="Q27" s="1798" t="str">
        <f t="shared" si="8"/>
        <v>公共配套设施</v>
      </c>
      <c r="R27" s="770" t="s">
        <v>17</v>
      </c>
      <c r="S27" s="771">
        <f>F27</f>
        <v>100</v>
      </c>
      <c r="T27" s="770" t="s">
        <v>17</v>
      </c>
      <c r="U27" s="771">
        <f>H27</f>
        <v>100</v>
      </c>
      <c r="V27" s="770" t="s">
        <v>17</v>
      </c>
      <c r="W27" s="771">
        <f>J27</f>
        <v>100</v>
      </c>
      <c r="X27" s="772"/>
      <c r="Y27" s="3168"/>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68"/>
      <c r="Q28" s="1798"/>
      <c r="R28" s="770"/>
      <c r="S28" s="771"/>
      <c r="T28" s="770"/>
      <c r="U28" s="771"/>
      <c r="V28" s="770"/>
      <c r="W28" s="771"/>
      <c r="X28" s="772"/>
      <c r="Y28" s="3168"/>
      <c r="Z28" s="55"/>
      <c r="AA28" s="1814">
        <v>1</v>
      </c>
      <c r="AB28" s="1814">
        <v>1</v>
      </c>
      <c r="AC28" s="1814">
        <v>1</v>
      </c>
    </row>
    <row r="29" spans="1:29" s="117" customFormat="1" ht="28.5">
      <c r="A29" s="649"/>
      <c r="B29" s="1387" t="s">
        <v>2660</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8"/>
      <c r="Q29" s="1798" t="str">
        <f t="shared" ref="Q29" si="9">B29</f>
        <v>基础设施水平</v>
      </c>
      <c r="R29" s="770" t="s">
        <v>17</v>
      </c>
      <c r="S29" s="771">
        <f>F29</f>
        <v>100</v>
      </c>
      <c r="T29" s="770" t="s">
        <v>17</v>
      </c>
      <c r="U29" s="771">
        <f>H29</f>
        <v>100</v>
      </c>
      <c r="V29" s="770" t="s">
        <v>17</v>
      </c>
      <c r="W29" s="771">
        <f>J29</f>
        <v>100</v>
      </c>
      <c r="X29" s="772"/>
      <c r="Y29" s="3168"/>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68"/>
      <c r="Q30" s="1798"/>
      <c r="R30" s="770"/>
      <c r="S30" s="771"/>
      <c r="T30" s="770"/>
      <c r="U30" s="771"/>
      <c r="V30" s="770"/>
      <c r="W30" s="771"/>
      <c r="X30" s="772"/>
      <c r="Y30" s="3168"/>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8"/>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8"/>
      <c r="Q32" s="1813" t="str">
        <f t="shared" si="8"/>
        <v>毗邻道路的类型与等级</v>
      </c>
      <c r="R32" s="774" t="s">
        <v>17</v>
      </c>
      <c r="S32" s="775">
        <f t="shared" si="10"/>
        <v>100</v>
      </c>
      <c r="T32" s="774" t="s">
        <v>17</v>
      </c>
      <c r="U32" s="775">
        <f t="shared" si="11"/>
        <v>100</v>
      </c>
      <c r="V32" s="774" t="s">
        <v>17</v>
      </c>
      <c r="W32" s="775">
        <f t="shared" si="12"/>
        <v>100</v>
      </c>
      <c r="X32" s="1816"/>
      <c r="Y32" s="3168"/>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68"/>
      <c r="Q33" s="1813"/>
      <c r="R33" s="774"/>
      <c r="S33" s="775"/>
      <c r="T33" s="774"/>
      <c r="U33" s="775"/>
      <c r="V33" s="774"/>
      <c r="W33" s="775"/>
      <c r="X33" s="1816"/>
      <c r="Y33" s="3168"/>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8"/>
      <c r="Q34" s="1813" t="str">
        <f t="shared" si="8"/>
        <v>土地级别</v>
      </c>
      <c r="R34" s="774" t="s">
        <v>17</v>
      </c>
      <c r="S34" s="775">
        <f t="shared" si="10"/>
        <v>100</v>
      </c>
      <c r="T34" s="774" t="s">
        <v>17</v>
      </c>
      <c r="U34" s="775">
        <f t="shared" si="11"/>
        <v>100</v>
      </c>
      <c r="V34" s="774" t="s">
        <v>17</v>
      </c>
      <c r="W34" s="775">
        <f t="shared" si="12"/>
        <v>100</v>
      </c>
      <c r="X34" s="1816"/>
      <c r="Y34" s="316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8"/>
      <c r="Q35" s="1813">
        <f t="shared" si="8"/>
        <v>111</v>
      </c>
      <c r="R35" s="774" t="s">
        <v>17</v>
      </c>
      <c r="S35" s="775">
        <f t="shared" si="10"/>
        <v>100</v>
      </c>
      <c r="T35" s="774" t="s">
        <v>17</v>
      </c>
      <c r="U35" s="775">
        <f t="shared" si="11"/>
        <v>100</v>
      </c>
      <c r="V35" s="774" t="s">
        <v>17</v>
      </c>
      <c r="W35" s="775">
        <f t="shared" si="12"/>
        <v>100</v>
      </c>
      <c r="X35" s="1816"/>
      <c r="Y35" s="316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9" t="s">
        <v>2570</v>
      </c>
      <c r="Q36" s="1813">
        <f t="shared" si="8"/>
        <v>111</v>
      </c>
      <c r="R36" s="774" t="s">
        <v>17</v>
      </c>
      <c r="S36" s="775">
        <f t="shared" si="10"/>
        <v>100</v>
      </c>
      <c r="T36" s="774" t="s">
        <v>17</v>
      </c>
      <c r="U36" s="775">
        <f t="shared" si="11"/>
        <v>100</v>
      </c>
      <c r="V36" s="774" t="s">
        <v>17</v>
      </c>
      <c r="W36" s="775">
        <f t="shared" si="12"/>
        <v>100</v>
      </c>
      <c r="X36" s="1816"/>
      <c r="Y36" s="3172"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2"/>
      <c r="Q37" s="1813">
        <f t="shared" si="8"/>
        <v>111</v>
      </c>
      <c r="R37" s="777" t="s">
        <v>17</v>
      </c>
      <c r="S37" s="778">
        <f t="shared" si="10"/>
        <v>100</v>
      </c>
      <c r="T37" s="777" t="s">
        <v>17</v>
      </c>
      <c r="U37" s="778">
        <f t="shared" si="11"/>
        <v>100</v>
      </c>
      <c r="V37" s="777" t="s">
        <v>17</v>
      </c>
      <c r="W37" s="778">
        <f t="shared" si="12"/>
        <v>100</v>
      </c>
      <c r="X37" s="779"/>
      <c r="Y37" s="3172"/>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2"/>
      <c r="Q38" s="1813" t="str">
        <f>B38</f>
        <v>宗地面积</v>
      </c>
      <c r="R38" s="774" t="s">
        <v>17</v>
      </c>
      <c r="S38" s="775" t="e">
        <f t="shared" si="10"/>
        <v>#N/A</v>
      </c>
      <c r="T38" s="774" t="s">
        <v>17</v>
      </c>
      <c r="U38" s="775" t="e">
        <f t="shared" si="11"/>
        <v>#N/A</v>
      </c>
      <c r="V38" s="774" t="s">
        <v>17</v>
      </c>
      <c r="W38" s="775" t="e">
        <f t="shared" si="12"/>
        <v>#N/A</v>
      </c>
      <c r="X38" s="1816"/>
      <c r="Y38" s="3172"/>
      <c r="Z38" s="1817" t="str">
        <f t="shared" si="13"/>
        <v>宗地面积</v>
      </c>
      <c r="AA38" s="1814" t="e">
        <f t="shared" si="3"/>
        <v>#N/A</v>
      </c>
      <c r="AB38" s="1814" t="e">
        <f t="shared" si="4"/>
        <v>#N/A</v>
      </c>
      <c r="AC38" s="1814" t="e">
        <f t="shared" si="5"/>
        <v>#N/A</v>
      </c>
    </row>
    <row r="39" spans="1:29" ht="15">
      <c r="A39" s="472"/>
      <c r="B39" s="422" t="s">
        <v>2757</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72"/>
      <c r="Q39" s="1813" t="str">
        <f t="shared" ref="Q39:Q45" si="14">B39</f>
        <v>宗地形状</v>
      </c>
      <c r="R39" s="774" t="s">
        <v>17</v>
      </c>
      <c r="S39" s="775">
        <f t="shared" si="10"/>
        <v>100</v>
      </c>
      <c r="T39" s="774" t="s">
        <v>17</v>
      </c>
      <c r="U39" s="775">
        <f t="shared" si="11"/>
        <v>100</v>
      </c>
      <c r="V39" s="774" t="s">
        <v>17</v>
      </c>
      <c r="W39" s="775">
        <f t="shared" si="12"/>
        <v>100</v>
      </c>
      <c r="X39" s="1816"/>
      <c r="Y39" s="3172"/>
      <c r="Z39" s="1817" t="str">
        <f t="shared" si="13"/>
        <v>宗地形状</v>
      </c>
      <c r="AA39" s="1814">
        <f t="shared" si="3"/>
        <v>1</v>
      </c>
      <c r="AB39" s="1814">
        <f t="shared" si="4"/>
        <v>1</v>
      </c>
      <c r="AC39" s="1814">
        <f t="shared" si="5"/>
        <v>1</v>
      </c>
    </row>
    <row r="40" spans="1:29" ht="15">
      <c r="A40" s="472"/>
      <c r="B40" s="422" t="s">
        <v>2758</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72"/>
      <c r="Q40" s="1813" t="str">
        <f t="shared" si="14"/>
        <v>临街宽度及深度</v>
      </c>
      <c r="R40" s="774" t="s">
        <v>17</v>
      </c>
      <c r="S40" s="775">
        <f t="shared" si="10"/>
        <v>100</v>
      </c>
      <c r="T40" s="774" t="s">
        <v>17</v>
      </c>
      <c r="U40" s="775">
        <f t="shared" si="11"/>
        <v>100</v>
      </c>
      <c r="V40" s="774" t="s">
        <v>17</v>
      </c>
      <c r="W40" s="775">
        <f t="shared" si="12"/>
        <v>100</v>
      </c>
      <c r="X40" s="1816"/>
      <c r="Y40" s="3172"/>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72"/>
      <c r="Q41" s="1813" t="str">
        <f t="shared" si="14"/>
        <v>宗地开发程度</v>
      </c>
      <c r="R41" s="770" t="s">
        <v>17</v>
      </c>
      <c r="S41" s="771">
        <f t="shared" si="10"/>
        <v>100</v>
      </c>
      <c r="T41" s="770" t="s">
        <v>17</v>
      </c>
      <c r="U41" s="771">
        <f t="shared" si="11"/>
        <v>100</v>
      </c>
      <c r="V41" s="770" t="s">
        <v>17</v>
      </c>
      <c r="W41" s="771">
        <f t="shared" si="12"/>
        <v>100</v>
      </c>
      <c r="X41" s="772"/>
      <c r="Y41" s="3172"/>
      <c r="Z41" s="55" t="str">
        <f t="shared" si="13"/>
        <v>宗地开发程度</v>
      </c>
      <c r="AA41" s="773">
        <f t="shared" si="3"/>
        <v>1</v>
      </c>
      <c r="AB41" s="773">
        <f t="shared" si="4"/>
        <v>1</v>
      </c>
      <c r="AC41" s="773">
        <f t="shared" si="5"/>
        <v>1</v>
      </c>
    </row>
    <row r="42" spans="1:29" ht="15">
      <c r="A42" s="472"/>
      <c r="B42" s="422" t="s">
        <v>2760</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72" t="s">
        <v>2570</v>
      </c>
      <c r="Q42" s="1813" t="str">
        <f t="shared" si="14"/>
        <v>工程地质条件</v>
      </c>
      <c r="R42" s="774" t="s">
        <v>17</v>
      </c>
      <c r="S42" s="775">
        <f t="shared" si="10"/>
        <v>100</v>
      </c>
      <c r="T42" s="774" t="s">
        <v>17</v>
      </c>
      <c r="U42" s="775">
        <f t="shared" si="11"/>
        <v>100</v>
      </c>
      <c r="V42" s="774" t="s">
        <v>17</v>
      </c>
      <c r="W42" s="775">
        <f t="shared" si="12"/>
        <v>100</v>
      </c>
      <c r="X42" s="1816"/>
      <c r="Y42" s="3172"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2"/>
      <c r="Q43" s="1813">
        <f t="shared" si="14"/>
        <v>111</v>
      </c>
      <c r="R43" s="774" t="s">
        <v>17</v>
      </c>
      <c r="S43" s="775">
        <f t="shared" si="10"/>
        <v>100</v>
      </c>
      <c r="T43" s="774" t="s">
        <v>17</v>
      </c>
      <c r="U43" s="775">
        <f t="shared" si="11"/>
        <v>100</v>
      </c>
      <c r="V43" s="774" t="s">
        <v>17</v>
      </c>
      <c r="W43" s="775">
        <f t="shared" si="12"/>
        <v>100</v>
      </c>
      <c r="X43" s="1816"/>
      <c r="Y43" s="317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2"/>
      <c r="Q44" s="1813">
        <f t="shared" si="14"/>
        <v>111</v>
      </c>
      <c r="R44" s="774" t="s">
        <v>17</v>
      </c>
      <c r="S44" s="775">
        <f t="shared" si="10"/>
        <v>100</v>
      </c>
      <c r="T44" s="774" t="s">
        <v>17</v>
      </c>
      <c r="U44" s="775">
        <f t="shared" si="11"/>
        <v>100</v>
      </c>
      <c r="V44" s="774" t="s">
        <v>17</v>
      </c>
      <c r="W44" s="775">
        <f t="shared" si="12"/>
        <v>100</v>
      </c>
      <c r="X44" s="1816"/>
      <c r="Y44" s="3172"/>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2"/>
      <c r="Q45" s="1813">
        <f t="shared" si="14"/>
        <v>111</v>
      </c>
      <c r="R45" s="777" t="s">
        <v>17</v>
      </c>
      <c r="S45" s="778">
        <f t="shared" si="10"/>
        <v>100</v>
      </c>
      <c r="T45" s="777" t="s">
        <v>17</v>
      </c>
      <c r="U45" s="778">
        <f t="shared" si="11"/>
        <v>100</v>
      </c>
      <c r="V45" s="777" t="s">
        <v>17</v>
      </c>
      <c r="W45" s="778">
        <f t="shared" si="12"/>
        <v>100</v>
      </c>
      <c r="X45" s="779"/>
      <c r="Y45" s="3172"/>
      <c r="Z45" s="780">
        <f t="shared" si="13"/>
        <v>111</v>
      </c>
      <c r="AA45" s="1814">
        <f t="shared" si="3"/>
        <v>1</v>
      </c>
      <c r="AB45" s="1814">
        <f t="shared" si="4"/>
        <v>1</v>
      </c>
      <c r="AC45" s="1814">
        <f t="shared" si="5"/>
        <v>1</v>
      </c>
    </row>
    <row r="46" spans="1:29" ht="15">
      <c r="A46" s="479" t="s">
        <v>2725</v>
      </c>
      <c r="B46" s="2709" t="s">
        <v>2761</v>
      </c>
      <c r="C46" s="682" t="s">
        <v>1</v>
      </c>
      <c r="D46" s="481"/>
      <c r="E46" s="482"/>
      <c r="F46" s="483"/>
      <c r="G46" s="484"/>
      <c r="H46" s="485"/>
      <c r="I46" s="482"/>
      <c r="J46" s="485"/>
      <c r="K46" s="783"/>
      <c r="L46" s="1146"/>
      <c r="M46" s="1147"/>
      <c r="N46" s="1134"/>
      <c r="O46" s="1147"/>
      <c r="P46" s="3160" t="str">
        <f>A46</f>
        <v>成交单价</v>
      </c>
      <c r="Q46" s="3160"/>
      <c r="R46" s="3194">
        <f>E46</f>
        <v>0</v>
      </c>
      <c r="S46" s="3194"/>
      <c r="T46" s="3194">
        <f>G46</f>
        <v>0</v>
      </c>
      <c r="U46" s="3194"/>
      <c r="V46" s="3194">
        <f>I46</f>
        <v>0</v>
      </c>
      <c r="W46" s="3194"/>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60" t="str">
        <f>A47</f>
        <v>比较价值（元/平方米）</v>
      </c>
      <c r="Q47" s="3160"/>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237" t="str">
        <f>A48</f>
        <v>估价对象XX用房的比较价值（楼面单价，元/平方米）</v>
      </c>
      <c r="Q48" s="3238"/>
      <c r="R48" s="3251" t="e">
        <f>ROUND(AVERAGE(R47:V47),0)</f>
        <v>#DIV/0!</v>
      </c>
      <c r="S48" s="3251"/>
      <c r="T48" s="3251"/>
      <c r="U48" s="3251"/>
      <c r="V48" s="3251"/>
      <c r="W48" s="32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0" t="s">
        <v>2765</v>
      </c>
      <c r="D55" s="2711" t="s">
        <v>2766</v>
      </c>
      <c r="E55" s="686" t="s">
        <v>2767</v>
      </c>
      <c r="F55" s="1110" t="s">
        <v>2768</v>
      </c>
      <c r="G55" s="3177" t="s">
        <v>2769</v>
      </c>
      <c r="H55" s="3252"/>
      <c r="I55" s="144" t="s">
        <v>2770</v>
      </c>
      <c r="J55" s="2712">
        <f>项目基本情况!F35</f>
        <v>0</v>
      </c>
      <c r="K55" s="2713" t="s">
        <v>2771</v>
      </c>
      <c r="L55" s="1109"/>
      <c r="M55" s="1147"/>
      <c r="N55" s="1147"/>
      <c r="O55" s="1147"/>
    </row>
    <row r="56" spans="1:15" s="692" customFormat="1">
      <c r="A56" s="688" t="s">
        <v>2772</v>
      </c>
      <c r="B56" s="689" t="e">
        <f>C48</f>
        <v>#DIV/0!</v>
      </c>
      <c r="C56" s="690">
        <v>1</v>
      </c>
      <c r="D56" s="1166">
        <v>1</v>
      </c>
      <c r="E56" s="690">
        <f>'数据-汇总表'!E8+'数据-汇总表'!E9</f>
        <v>16443.89</v>
      </c>
      <c r="F56" s="1106" t="e">
        <f t="shared" ref="F56:F65" si="15">ROUND(B56*E56/10000,0)</f>
        <v>#DIV/0!</v>
      </c>
      <c r="G56" s="3159"/>
      <c r="H56" s="3160"/>
      <c r="I56" s="1111">
        <v>1</v>
      </c>
      <c r="J56" s="1114">
        <v>1</v>
      </c>
      <c r="K56" s="1148"/>
      <c r="L56" s="944"/>
      <c r="M56" s="944"/>
      <c r="N56" s="944"/>
      <c r="O56" s="944"/>
    </row>
    <row r="57" spans="1:15" s="692" customFormat="1">
      <c r="A57" s="693" t="s">
        <v>2773</v>
      </c>
      <c r="B57" s="262" t="e">
        <f>ROUND($C$48*C57*D57,0)</f>
        <v>#DIV/0!</v>
      </c>
      <c r="C57" s="200">
        <f t="shared" ref="C57:C65" si="16">IF($C$55="北京市系数",I57,J57)</f>
        <v>0.7</v>
      </c>
      <c r="D57" s="1167">
        <v>0.25</v>
      </c>
      <c r="E57" s="694"/>
      <c r="F57" s="1106" t="e">
        <f t="shared" si="15"/>
        <v>#DIV/0!</v>
      </c>
      <c r="G57" s="3253" t="s">
        <v>2774</v>
      </c>
      <c r="H57" s="1107" t="str">
        <f>项目基本情况!B37</f>
        <v>五级</v>
      </c>
      <c r="I57" s="1111">
        <f>SUMIF(修正!A45:A56,H57,修正!B45:B56)</f>
        <v>0.7</v>
      </c>
      <c r="J57" s="1115"/>
      <c r="K57" s="1147"/>
      <c r="L57" s="944"/>
      <c r="M57" s="944"/>
      <c r="N57" s="944"/>
      <c r="O57" s="944"/>
    </row>
    <row r="58" spans="1:15" s="692" customFormat="1">
      <c r="A58" s="693" t="s">
        <v>2775</v>
      </c>
      <c r="B58" s="262" t="e">
        <f t="shared" ref="B58:B65" si="17">ROUND($C$48*C58*D58,0)</f>
        <v>#DIV/0!</v>
      </c>
      <c r="C58" s="200">
        <f t="shared" si="16"/>
        <v>0.4</v>
      </c>
      <c r="D58" s="1167">
        <v>0.25</v>
      </c>
      <c r="E58" s="694"/>
      <c r="F58" s="1106" t="e">
        <f t="shared" si="15"/>
        <v>#DIV/0!</v>
      </c>
      <c r="G58" s="3253"/>
      <c r="H58" s="1107" t="str">
        <f>项目基本情况!B37</f>
        <v>五级</v>
      </c>
      <c r="I58" s="1111">
        <f>SUMIF(修正!A45:A56,H58,修正!C45:C56)</f>
        <v>0.4</v>
      </c>
      <c r="J58" s="1115"/>
      <c r="K58" s="1148"/>
      <c r="L58" s="944"/>
      <c r="M58" s="944"/>
      <c r="N58" s="944"/>
      <c r="O58" s="944"/>
    </row>
    <row r="59" spans="1:15" s="692" customFormat="1">
      <c r="A59" s="693" t="s">
        <v>2776</v>
      </c>
      <c r="B59" s="262" t="e">
        <f t="shared" si="17"/>
        <v>#DIV/0!</v>
      </c>
      <c r="C59" s="200">
        <f t="shared" si="16"/>
        <v>0.28000000000000003</v>
      </c>
      <c r="D59" s="1167">
        <v>0.25</v>
      </c>
      <c r="E59" s="694"/>
      <c r="F59" s="1106" t="e">
        <f t="shared" si="15"/>
        <v>#DIV/0!</v>
      </c>
      <c r="G59" s="3253"/>
      <c r="H59" s="1107" t="str">
        <f>项目基本情况!B37</f>
        <v>五级</v>
      </c>
      <c r="I59" s="1111">
        <f>SUMIF(修正!A45:A56,H59,修正!D45:D56)</f>
        <v>0.28000000000000003</v>
      </c>
      <c r="J59" s="1115"/>
      <c r="K59" s="1147"/>
      <c r="L59" s="944"/>
      <c r="M59" s="944"/>
      <c r="N59" s="944"/>
      <c r="O59" s="944"/>
    </row>
    <row r="60" spans="1:15" s="692" customFormat="1">
      <c r="A60" s="693" t="s">
        <v>2777</v>
      </c>
      <c r="B60" s="262" t="e">
        <f t="shared" si="17"/>
        <v>#DIV/0!</v>
      </c>
      <c r="C60" s="200">
        <f t="shared" si="16"/>
        <v>0.25</v>
      </c>
      <c r="D60" s="1167">
        <v>0.25</v>
      </c>
      <c r="E60" s="694"/>
      <c r="F60" s="1106" t="e">
        <f t="shared" si="15"/>
        <v>#DIV/0!</v>
      </c>
      <c r="G60" s="3253"/>
      <c r="H60" s="1107" t="str">
        <f>项目基本情况!B37</f>
        <v>五级</v>
      </c>
      <c r="I60" s="1111">
        <f>SUMIF(修正!A45:A56,H60,修正!E45:E56)</f>
        <v>0.25</v>
      </c>
      <c r="J60" s="1115"/>
      <c r="K60" s="1148"/>
      <c r="L60" s="944"/>
      <c r="M60" s="944"/>
      <c r="N60" s="944"/>
      <c r="O60" s="944"/>
    </row>
    <row r="61" spans="1:15" s="692" customFormat="1">
      <c r="A61" s="693" t="s">
        <v>2778</v>
      </c>
      <c r="B61" s="262" t="e">
        <f t="shared" si="17"/>
        <v>#DIV/0!</v>
      </c>
      <c r="C61" s="200">
        <f t="shared" si="16"/>
        <v>0.25</v>
      </c>
      <c r="D61" s="1167">
        <v>0.25</v>
      </c>
      <c r="E61" s="261">
        <f>'数据-汇总表'!E11</f>
        <v>0</v>
      </c>
      <c r="F61" s="1106" t="e">
        <f t="shared" si="15"/>
        <v>#DIV/0!</v>
      </c>
      <c r="G61" s="2714" t="s">
        <v>2779</v>
      </c>
      <c r="H61" s="1107" t="str">
        <f>项目基本情况!C37</f>
        <v>五级</v>
      </c>
      <c r="I61" s="1111">
        <f>SUMIF(修正!A45:A56,H61,修正!F45:F56)</f>
        <v>0.25</v>
      </c>
      <c r="J61" s="1115"/>
      <c r="K61" s="1147"/>
      <c r="L61" s="944"/>
      <c r="M61" s="944"/>
      <c r="N61" s="944"/>
      <c r="O61" s="944"/>
    </row>
    <row r="62" spans="1:15" s="692" customFormat="1">
      <c r="A62" s="693" t="s">
        <v>2780</v>
      </c>
      <c r="B62" s="262" t="e">
        <f t="shared" si="17"/>
        <v>#DIV/0!</v>
      </c>
      <c r="C62" s="200">
        <f t="shared" si="16"/>
        <v>0.25</v>
      </c>
      <c r="D62" s="1167">
        <v>0.25</v>
      </c>
      <c r="E62" s="261">
        <f>'数据-汇总表'!E12</f>
        <v>6269.49</v>
      </c>
      <c r="F62" s="1106" t="e">
        <f t="shared" si="15"/>
        <v>#DIV/0!</v>
      </c>
      <c r="G62" s="1112" t="s">
        <v>2781</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2782</v>
      </c>
      <c r="B63" s="262" t="e">
        <f t="shared" si="17"/>
        <v>#DIV/0!</v>
      </c>
      <c r="C63" s="200">
        <f t="shared" si="16"/>
        <v>0.2</v>
      </c>
      <c r="D63" s="1167">
        <v>0.25</v>
      </c>
      <c r="E63" s="261">
        <f>'数据-汇总表'!E13</f>
        <v>8588.09</v>
      </c>
      <c r="F63" s="1106" t="e">
        <f t="shared" si="15"/>
        <v>#DIV/0!</v>
      </c>
      <c r="G63" s="1112" t="s">
        <v>2783</v>
      </c>
      <c r="H63" s="1107" t="str">
        <f>IF(G63="商业",项目基本情况!B37,IF(G63="办公",项目基本情况!C37,IF(G63="住宅",项目基本情况!D37,项目基本情况!E37)))</f>
        <v>五级</v>
      </c>
      <c r="I63" s="1111">
        <f>SUMIF(修正!A45:A56,H63,修正!H45:H56)</f>
        <v>0.2</v>
      </c>
      <c r="J63" s="1115"/>
      <c r="K63" s="1147"/>
      <c r="L63" s="944"/>
      <c r="M63" s="944"/>
      <c r="N63" s="944"/>
      <c r="O63" s="944"/>
    </row>
    <row r="64" spans="1:15" s="692" customFormat="1">
      <c r="A64" s="693" t="s">
        <v>2784</v>
      </c>
      <c r="B64" s="262" t="e">
        <f t="shared" si="17"/>
        <v>#DIV/0!</v>
      </c>
      <c r="C64" s="200">
        <f t="shared" si="16"/>
        <v>0.2</v>
      </c>
      <c r="D64" s="1167">
        <v>0.25</v>
      </c>
      <c r="E64" s="261">
        <f>'数据-汇总表'!E14</f>
        <v>0</v>
      </c>
      <c r="F64" s="1106" t="e">
        <f t="shared" si="15"/>
        <v>#DIV/0!</v>
      </c>
      <c r="G64" s="2714" t="s">
        <v>2774</v>
      </c>
      <c r="H64" s="1107" t="str">
        <f>项目基本情况!B37</f>
        <v>五级</v>
      </c>
      <c r="I64" s="1111">
        <f>SUMIF(修正!A45:A56,H64,修正!H45:H56)</f>
        <v>0.2</v>
      </c>
      <c r="J64" s="1115"/>
      <c r="K64" s="1148"/>
      <c r="L64" s="944"/>
      <c r="M64" s="944"/>
      <c r="N64" s="944"/>
      <c r="O64" s="944"/>
    </row>
    <row r="65" spans="1:17" s="692" customFormat="1" ht="15" thickBot="1">
      <c r="A65" s="693" t="s">
        <v>2785</v>
      </c>
      <c r="B65" s="262" t="e">
        <f t="shared" si="17"/>
        <v>#DIV/0!</v>
      </c>
      <c r="C65" s="200">
        <f t="shared" si="16"/>
        <v>0.2</v>
      </c>
      <c r="D65" s="1167">
        <v>0.25</v>
      </c>
      <c r="E65" s="261">
        <f>'数据-汇总表'!E15</f>
        <v>0</v>
      </c>
      <c r="F65" s="1106" t="e">
        <f t="shared" si="15"/>
        <v>#DIV/0!</v>
      </c>
      <c r="G65" s="2715" t="s">
        <v>2779</v>
      </c>
      <c r="H65" s="1117" t="str">
        <f>项目基本情况!C37</f>
        <v>五级</v>
      </c>
      <c r="I65" s="1113">
        <f>SUMIF(修正!A45:A56,H65,修正!H45:H56)</f>
        <v>0.2</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31301.469999999998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7" t="s">
        <v>2788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57" sqref="H57"/>
    </sheetView>
  </sheetViews>
  <sheetFormatPr defaultRowHeight="14.25"/>
  <cols>
    <col min="1" max="1" width="14.375" style="403" customWidth="1"/>
    <col min="2" max="2" width="15.75" style="403" customWidth="1"/>
    <col min="3" max="3" width="14.375" style="403" customWidth="1"/>
    <col min="4" max="4" width="12.25" style="403" customWidth="1"/>
    <col min="5" max="5" width="16.75" style="403" customWidth="1"/>
    <col min="6" max="6" width="12.25" style="403" customWidth="1"/>
    <col min="7" max="7" width="17.3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f>F61</f>
        <v>2883</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f>ROUND(IF(D3="",B2*10000/'数据-汇总表'!E3,B2*10000/D3),0)</f>
        <v>885</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7" t="s">
        <v>2651</v>
      </c>
      <c r="D4" s="3178"/>
      <c r="E4" s="3179" t="s">
        <v>2652</v>
      </c>
      <c r="F4" s="3180"/>
      <c r="G4" s="3177" t="s">
        <v>2653</v>
      </c>
      <c r="H4" s="3178"/>
      <c r="I4" s="3177" t="s">
        <v>2654</v>
      </c>
      <c r="J4" s="3178"/>
      <c r="K4" s="610" t="s">
        <v>2655</v>
      </c>
      <c r="L4" s="1133"/>
      <c r="M4" s="1134"/>
      <c r="N4" s="1134"/>
      <c r="O4" s="1134"/>
      <c r="P4" s="3241" t="s">
        <v>2656</v>
      </c>
      <c r="Q4" s="3242"/>
      <c r="R4" s="3245" t="s">
        <v>2652</v>
      </c>
      <c r="S4" s="3246"/>
      <c r="T4" s="3245" t="s">
        <v>2653</v>
      </c>
      <c r="U4" s="3246"/>
      <c r="V4" s="3194" t="s">
        <v>2654</v>
      </c>
      <c r="W4" s="3194"/>
      <c r="X4" s="1816"/>
      <c r="Y4" s="3245" t="s">
        <v>2656</v>
      </c>
      <c r="Z4" s="3246"/>
      <c r="AA4" s="3240" t="s">
        <v>2652</v>
      </c>
      <c r="AB4" s="3206" t="s">
        <v>2653</v>
      </c>
      <c r="AC4" s="3240" t="s">
        <v>2654</v>
      </c>
    </row>
    <row r="5" spans="1:29" ht="15">
      <c r="A5" s="404"/>
      <c r="B5" s="405"/>
      <c r="C5" s="3247" t="s">
        <v>2547</v>
      </c>
      <c r="D5" s="3198"/>
      <c r="E5" s="3208" t="s">
        <v>3296</v>
      </c>
      <c r="F5" s="3209"/>
      <c r="G5" s="3197" t="s">
        <v>3292</v>
      </c>
      <c r="H5" s="3198"/>
      <c r="I5" s="3197" t="s">
        <v>3320</v>
      </c>
      <c r="J5" s="3198"/>
      <c r="K5" s="610"/>
      <c r="L5" s="1133"/>
      <c r="M5" s="1134"/>
      <c r="N5" s="1134"/>
      <c r="O5" s="1134"/>
      <c r="P5" s="3243"/>
      <c r="Q5" s="3184"/>
      <c r="R5" s="3189"/>
      <c r="S5" s="3190"/>
      <c r="T5" s="3189"/>
      <c r="U5" s="3190"/>
      <c r="V5" s="3194"/>
      <c r="W5" s="3194"/>
      <c r="X5" s="1816"/>
      <c r="Y5" s="3189"/>
      <c r="Z5" s="3190"/>
      <c r="AA5" s="3206"/>
      <c r="AB5" s="3206"/>
      <c r="AC5" s="3206"/>
    </row>
    <row r="6" spans="1:29" ht="15.75" thickBot="1">
      <c r="A6" s="406"/>
      <c r="B6" s="407"/>
      <c r="C6" s="3254" t="s">
        <v>2802</v>
      </c>
      <c r="D6" s="3255"/>
      <c r="E6" s="3256" t="s">
        <v>2802</v>
      </c>
      <c r="F6" s="3257"/>
      <c r="G6" s="3254" t="s">
        <v>2802</v>
      </c>
      <c r="H6" s="3255"/>
      <c r="I6" s="3254" t="s">
        <v>2802</v>
      </c>
      <c r="J6" s="3255"/>
      <c r="K6" s="610" t="s">
        <v>2552</v>
      </c>
      <c r="L6" s="1133"/>
      <c r="M6" s="1134"/>
      <c r="N6" s="1134"/>
      <c r="O6" s="1134"/>
      <c r="P6" s="3244"/>
      <c r="Q6" s="3186"/>
      <c r="R6" s="3189"/>
      <c r="S6" s="3190"/>
      <c r="T6" s="3191"/>
      <c r="U6" s="3192"/>
      <c r="V6" s="3194"/>
      <c r="W6" s="3194"/>
      <c r="X6" s="1816"/>
      <c r="Y6" s="3191"/>
      <c r="Z6" s="3192"/>
      <c r="AA6" s="3207"/>
      <c r="AB6" s="3207"/>
      <c r="AC6" s="3207"/>
    </row>
    <row r="7" spans="1:29" s="117" customFormat="1" ht="15.75" thickBot="1">
      <c r="A7" s="408" t="s">
        <v>2553</v>
      </c>
      <c r="B7" s="409"/>
      <c r="C7" s="410">
        <f>'数据-取费表'!B2</f>
        <v>43276</v>
      </c>
      <c r="D7" s="411">
        <v>100</v>
      </c>
      <c r="E7" s="412">
        <v>43094</v>
      </c>
      <c r="F7" s="413">
        <f>SUMIF(65:65,YEAR(E7)&amp;"-"&amp;INT((MONTH(E7)+2)/3),66:66)</f>
        <v>96</v>
      </c>
      <c r="G7" s="2701">
        <v>42668</v>
      </c>
      <c r="H7" s="411">
        <f>SUMIF(65:65,YEAR(G7)&amp;"-"&amp;INT((MONTH(G7)+2)/3),66:66)</f>
        <v>94</v>
      </c>
      <c r="I7" s="2701">
        <v>42535</v>
      </c>
      <c r="J7" s="411">
        <f>SUMIF(65:65,YEAR(I7)&amp;"-"&amp;INT((MONTH(I7)+2)/3),66:66)</f>
        <v>92</v>
      </c>
      <c r="K7" s="611"/>
      <c r="L7" s="1135"/>
      <c r="M7" s="1136"/>
      <c r="N7" s="1136"/>
      <c r="O7" s="1136"/>
      <c r="P7" s="3201" t="s">
        <v>2554</v>
      </c>
      <c r="Q7" s="3202"/>
      <c r="R7" s="770" t="s">
        <v>17</v>
      </c>
      <c r="S7" s="771">
        <f t="shared" ref="S7:S15" si="0">F7</f>
        <v>96</v>
      </c>
      <c r="T7" s="770" t="s">
        <v>17</v>
      </c>
      <c r="U7" s="771">
        <f t="shared" ref="U7:U15" si="1">H7</f>
        <v>94</v>
      </c>
      <c r="V7" s="770" t="s">
        <v>17</v>
      </c>
      <c r="W7" s="771">
        <f t="shared" ref="W7:W15" si="2">J7</f>
        <v>92</v>
      </c>
      <c r="X7" s="772"/>
      <c r="Y7" s="3201" t="s">
        <v>2554</v>
      </c>
      <c r="Z7" s="3200"/>
      <c r="AA7" s="773">
        <f>D7/F7</f>
        <v>1.0416666666666667</v>
      </c>
      <c r="AB7" s="773">
        <f>D7/H7</f>
        <v>1.0638297872340425</v>
      </c>
      <c r="AC7" s="773">
        <f>D7/J7</f>
        <v>1.0869565217391304</v>
      </c>
    </row>
    <row r="8" spans="1:29" s="117" customFormat="1" ht="15.75" thickBot="1">
      <c r="A8" s="408" t="s">
        <v>2555</v>
      </c>
      <c r="B8" s="409"/>
      <c r="C8" s="414" t="s">
        <v>2556</v>
      </c>
      <c r="D8" s="411">
        <v>100</v>
      </c>
      <c r="E8" s="414" t="s">
        <v>3063</v>
      </c>
      <c r="F8" s="413">
        <f>SUMIF(68:68,E8,69:69)-SUMIF(68:68,C8,69:69)+100</f>
        <v>100</v>
      </c>
      <c r="G8" s="414" t="s">
        <v>3063</v>
      </c>
      <c r="H8" s="411">
        <f>SUMIF(68:68,G8,69:69)-SUMIF(68:68,C8,69:69)+100</f>
        <v>100</v>
      </c>
      <c r="I8" s="414" t="s">
        <v>3063</v>
      </c>
      <c r="J8" s="411">
        <f>SUMIF(68:68,I8,69:69)-SUMIF(68:68,C8,69:69)+100</f>
        <v>100</v>
      </c>
      <c r="K8" s="611"/>
      <c r="L8" s="1135"/>
      <c r="M8" s="1136"/>
      <c r="N8" s="1136"/>
      <c r="O8" s="1136"/>
      <c r="P8" s="3201" t="s">
        <v>2557</v>
      </c>
      <c r="Q8" s="3200"/>
      <c r="R8" s="770" t="s">
        <v>17</v>
      </c>
      <c r="S8" s="771">
        <f t="shared" si="0"/>
        <v>100</v>
      </c>
      <c r="T8" s="770" t="s">
        <v>17</v>
      </c>
      <c r="U8" s="771">
        <f t="shared" si="1"/>
        <v>100</v>
      </c>
      <c r="V8" s="770" t="s">
        <v>17</v>
      </c>
      <c r="W8" s="771">
        <f t="shared" si="2"/>
        <v>100</v>
      </c>
      <c r="X8" s="772"/>
      <c r="Y8" s="3201" t="s">
        <v>2557</v>
      </c>
      <c r="Z8" s="3200"/>
      <c r="AA8" s="773">
        <f t="shared" ref="AA8:AA40" si="3">D8/F8</f>
        <v>1</v>
      </c>
      <c r="AB8" s="773">
        <f t="shared" ref="AB8:AB40" si="4">D8/H8</f>
        <v>1</v>
      </c>
      <c r="AC8" s="773">
        <f t="shared" ref="AC8:AC40" si="5">D8/J8</f>
        <v>1</v>
      </c>
    </row>
    <row r="9" spans="1:29" s="117" customFormat="1">
      <c r="A9" s="415" t="s">
        <v>2558</v>
      </c>
      <c r="B9" s="71" t="s">
        <v>2559</v>
      </c>
      <c r="C9" s="2704" t="s">
        <v>6</v>
      </c>
      <c r="D9" s="135">
        <v>100</v>
      </c>
      <c r="E9" s="2704" t="s">
        <v>6</v>
      </c>
      <c r="F9" s="135">
        <f>SUMIF(70:70,E9,71:71)-SUMIF(70:70,C9,71:71)+100</f>
        <v>100</v>
      </c>
      <c r="G9" s="2704" t="s">
        <v>6</v>
      </c>
      <c r="H9" s="135">
        <f>SUMIF(70:70,G9,71:71)-SUMIF(70:70,C9,71:71)+100</f>
        <v>100</v>
      </c>
      <c r="I9" s="2704" t="s">
        <v>6</v>
      </c>
      <c r="J9" s="135">
        <f>SUMIF(70:70,I9,71:71)-SUMIF(70:70,C9,71:71)+100</f>
        <v>100</v>
      </c>
      <c r="K9" s="611"/>
      <c r="L9" s="1135"/>
      <c r="M9" s="1136"/>
      <c r="N9" s="1136"/>
      <c r="O9" s="1137"/>
      <c r="P9" s="3160" t="s">
        <v>2560</v>
      </c>
      <c r="Q9" s="1798" t="str">
        <f t="shared" ref="Q9:Q15" si="6">B9</f>
        <v>用途</v>
      </c>
      <c r="R9" s="770" t="s">
        <v>17</v>
      </c>
      <c r="S9" s="771">
        <f t="shared" si="0"/>
        <v>100</v>
      </c>
      <c r="T9" s="770" t="s">
        <v>17</v>
      </c>
      <c r="U9" s="771">
        <f t="shared" si="1"/>
        <v>100</v>
      </c>
      <c r="V9" s="770" t="s">
        <v>17</v>
      </c>
      <c r="W9" s="771">
        <f t="shared" si="2"/>
        <v>100</v>
      </c>
      <c r="X9" s="772"/>
      <c r="Y9" s="3014" t="s">
        <v>2561</v>
      </c>
      <c r="Z9" s="55" t="str">
        <f t="shared" ref="Z9:Z15" si="7">Q9</f>
        <v>用途</v>
      </c>
      <c r="AA9" s="773">
        <f t="shared" si="3"/>
        <v>1</v>
      </c>
      <c r="AB9" s="773">
        <f t="shared" si="4"/>
        <v>1</v>
      </c>
      <c r="AC9" s="773">
        <f t="shared" si="5"/>
        <v>1</v>
      </c>
    </row>
    <row r="10" spans="1:29" s="427" customFormat="1" ht="27">
      <c r="A10" s="421"/>
      <c r="B10" s="422" t="s">
        <v>2562</v>
      </c>
      <c r="C10" s="432" t="s">
        <v>3305</v>
      </c>
      <c r="D10" s="136">
        <v>100</v>
      </c>
      <c r="E10" s="432" t="s">
        <v>3305</v>
      </c>
      <c r="F10" s="136">
        <f>ROUND(100/'数据-取费表'!G16,0)</f>
        <v>103</v>
      </c>
      <c r="G10" s="432" t="s">
        <v>3305</v>
      </c>
      <c r="H10" s="136">
        <f>ROUND(100/'数据-取费表'!G16,0)</f>
        <v>103</v>
      </c>
      <c r="I10" s="432" t="s">
        <v>3321</v>
      </c>
      <c r="J10" s="136">
        <f>ROUND(100/'数据-取费表'!G16,0)</f>
        <v>103</v>
      </c>
      <c r="K10" s="672"/>
      <c r="L10" s="1138"/>
      <c r="M10" s="1139"/>
      <c r="N10" s="1139"/>
      <c r="O10" s="1140"/>
      <c r="P10" s="3160"/>
      <c r="Q10" s="1798" t="str">
        <f t="shared" si="6"/>
        <v>土地使用年限（年）</v>
      </c>
      <c r="R10" s="770" t="s">
        <v>17</v>
      </c>
      <c r="S10" s="771">
        <f t="shared" si="0"/>
        <v>103</v>
      </c>
      <c r="T10" s="770" t="s">
        <v>17</v>
      </c>
      <c r="U10" s="771">
        <f t="shared" si="1"/>
        <v>103</v>
      </c>
      <c r="V10" s="770" t="s">
        <v>17</v>
      </c>
      <c r="W10" s="771">
        <f t="shared" si="2"/>
        <v>103</v>
      </c>
      <c r="X10" s="772"/>
      <c r="Y10" s="3014"/>
      <c r="Z10" s="55" t="str">
        <f t="shared" si="7"/>
        <v>土地使用年限（年）</v>
      </c>
      <c r="AA10" s="773">
        <f t="shared" si="3"/>
        <v>0.970873786407767</v>
      </c>
      <c r="AB10" s="773">
        <f t="shared" si="4"/>
        <v>0.970873786407767</v>
      </c>
      <c r="AC10" s="773">
        <f t="shared" si="5"/>
        <v>0.970873786407767</v>
      </c>
    </row>
    <row r="11" spans="1:29" ht="15">
      <c r="A11" s="428"/>
      <c r="B11" s="422" t="s">
        <v>2563</v>
      </c>
      <c r="C11" s="429">
        <v>1</v>
      </c>
      <c r="D11" s="136">
        <v>100</v>
      </c>
      <c r="E11" s="429">
        <v>1</v>
      </c>
      <c r="F11" s="136">
        <f>LOOKUP(E11,75:75,76:76)-LOOKUP(C11,75:75,76:76)+100</f>
        <v>100</v>
      </c>
      <c r="G11" s="430">
        <v>1</v>
      </c>
      <c r="H11" s="136">
        <f>LOOKUP(G11,75:75,76:76)-LOOKUP(C11,75:75,76:76)+100</f>
        <v>100</v>
      </c>
      <c r="I11" s="429">
        <v>1</v>
      </c>
      <c r="J11" s="136">
        <f>LOOKUP(I11,75:75,76:76)-LOOKUP(C11,75:75,76:76)+100</f>
        <v>100</v>
      </c>
      <c r="K11" s="673"/>
      <c r="L11" s="1141"/>
      <c r="M11" s="1134"/>
      <c r="N11" s="1134"/>
      <c r="O11" s="1142"/>
      <c r="P11" s="3160"/>
      <c r="Q11" s="1798"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773">
        <f t="shared" si="5"/>
        <v>1</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2564</v>
      </c>
      <c r="B15" s="629" t="s">
        <v>2803</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67" t="s">
        <v>2565</v>
      </c>
      <c r="Q15" s="1813" t="str">
        <f t="shared" si="6"/>
        <v>产业集聚程度</v>
      </c>
      <c r="R15" s="774" t="s">
        <v>17</v>
      </c>
      <c r="S15" s="775">
        <f t="shared" si="0"/>
        <v>100</v>
      </c>
      <c r="T15" s="774" t="s">
        <v>17</v>
      </c>
      <c r="U15" s="775">
        <f t="shared" si="1"/>
        <v>100</v>
      </c>
      <c r="V15" s="774" t="s">
        <v>17</v>
      </c>
      <c r="W15" s="775">
        <f t="shared" si="2"/>
        <v>100</v>
      </c>
      <c r="X15" s="1816"/>
      <c r="Y15" s="3167" t="s">
        <v>2565</v>
      </c>
      <c r="Z15" s="1817" t="str">
        <f t="shared" si="7"/>
        <v>产业集聚程度</v>
      </c>
      <c r="AA15" s="1814">
        <f t="shared" si="3"/>
        <v>1</v>
      </c>
      <c r="AB15" s="1814">
        <f t="shared" si="4"/>
        <v>1</v>
      </c>
      <c r="AC15" s="1814">
        <f t="shared" si="5"/>
        <v>1</v>
      </c>
    </row>
    <row r="16" spans="1:29" ht="15">
      <c r="A16" s="428"/>
      <c r="B16" s="630"/>
      <c r="C16" s="447" t="s">
        <v>3090</v>
      </c>
      <c r="D16" s="448"/>
      <c r="E16" s="2616" t="s">
        <v>3090</v>
      </c>
      <c r="F16" s="448"/>
      <c r="G16" s="2616" t="s">
        <v>3090</v>
      </c>
      <c r="H16" s="450"/>
      <c r="I16" s="2616" t="s">
        <v>3090</v>
      </c>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631" t="s">
        <v>2714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632"/>
      <c r="C18" s="447" t="s">
        <v>3090</v>
      </c>
      <c r="D18" s="448"/>
      <c r="E18" s="2610" t="s">
        <v>3090</v>
      </c>
      <c r="F18" s="448"/>
      <c r="G18" s="2610" t="s">
        <v>3090</v>
      </c>
      <c r="H18" s="448"/>
      <c r="I18" s="2609" t="s">
        <v>3090</v>
      </c>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15">
      <c r="A19" s="428"/>
      <c r="B19" s="631" t="s">
        <v>2753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68"/>
      <c r="Q19" s="1813" t="str">
        <f t="shared" ref="Q19:Q33" si="8">B19</f>
        <v>区域土地利用方向</v>
      </c>
      <c r="R19" s="774" t="s">
        <v>17</v>
      </c>
      <c r="S19" s="775">
        <f>F19</f>
        <v>100</v>
      </c>
      <c r="T19" s="774" t="s">
        <v>17</v>
      </c>
      <c r="U19" s="775">
        <f>H19</f>
        <v>100</v>
      </c>
      <c r="V19" s="774" t="s">
        <v>17</v>
      </c>
      <c r="W19" s="775">
        <f>J19</f>
        <v>100</v>
      </c>
      <c r="X19" s="1816"/>
      <c r="Y19" s="3168"/>
      <c r="Z19" s="1817" t="str">
        <f>Q19</f>
        <v>区域土地利用方向</v>
      </c>
      <c r="AA19" s="1814">
        <f t="shared" si="3"/>
        <v>1</v>
      </c>
      <c r="AB19" s="1814">
        <f t="shared" si="4"/>
        <v>1</v>
      </c>
      <c r="AC19" s="1814">
        <f t="shared" si="5"/>
        <v>1</v>
      </c>
    </row>
    <row r="20" spans="1:29" ht="15">
      <c r="A20" s="404"/>
      <c r="B20" s="632"/>
      <c r="C20" s="447" t="s">
        <v>3091</v>
      </c>
      <c r="D20" s="448"/>
      <c r="E20" s="2610" t="s">
        <v>3091</v>
      </c>
      <c r="F20" s="448"/>
      <c r="G20" s="2610" t="s">
        <v>3091</v>
      </c>
      <c r="H20" s="448"/>
      <c r="I20" s="2610" t="s">
        <v>3091</v>
      </c>
      <c r="J20" s="448"/>
      <c r="K20" s="812"/>
      <c r="L20" s="1143"/>
      <c r="M20" s="1134"/>
      <c r="N20" s="1134"/>
      <c r="O20" s="1142"/>
      <c r="P20" s="3168"/>
      <c r="Q20" s="1813"/>
      <c r="R20" s="774"/>
      <c r="S20" s="775"/>
      <c r="T20" s="774"/>
      <c r="U20" s="775"/>
      <c r="V20" s="774"/>
      <c r="W20" s="775"/>
      <c r="X20" s="1816"/>
      <c r="Y20" s="3168"/>
      <c r="Z20" s="1817"/>
      <c r="AA20" s="1814"/>
      <c r="AB20" s="1814"/>
      <c r="AC20" s="1814"/>
    </row>
    <row r="21" spans="1:29" ht="71.25">
      <c r="A21" s="404"/>
      <c r="B21" s="631" t="s">
        <v>2804</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68"/>
      <c r="Q21" s="1813" t="str">
        <f t="shared" si="8"/>
        <v>环境状况</v>
      </c>
      <c r="R21" s="774" t="s">
        <v>17</v>
      </c>
      <c r="S21" s="775">
        <f>F21</f>
        <v>100</v>
      </c>
      <c r="T21" s="774" t="s">
        <v>17</v>
      </c>
      <c r="U21" s="775">
        <f>H21</f>
        <v>100</v>
      </c>
      <c r="V21" s="774" t="s">
        <v>17</v>
      </c>
      <c r="W21" s="775">
        <f>J21</f>
        <v>100</v>
      </c>
      <c r="X21" s="1816"/>
      <c r="Y21" s="3168"/>
      <c r="Z21" s="1817" t="str">
        <f>Q21</f>
        <v>环境状况</v>
      </c>
      <c r="AA21" s="1814">
        <f t="shared" si="3"/>
        <v>1</v>
      </c>
      <c r="AB21" s="1814">
        <f t="shared" si="4"/>
        <v>1</v>
      </c>
      <c r="AC21" s="1814">
        <f t="shared" si="5"/>
        <v>1</v>
      </c>
    </row>
    <row r="22" spans="1:29" ht="15">
      <c r="A22" s="404"/>
      <c r="B22" s="632"/>
      <c r="C22" s="447" t="s">
        <v>3090</v>
      </c>
      <c r="D22" s="448"/>
      <c r="E22" s="2616" t="s">
        <v>3090</v>
      </c>
      <c r="F22" s="448"/>
      <c r="G22" s="2616" t="s">
        <v>3090</v>
      </c>
      <c r="H22" s="448"/>
      <c r="I22" s="447" t="s">
        <v>3090</v>
      </c>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s="117" customFormat="1" ht="42.75">
      <c r="A23" s="649"/>
      <c r="B23" s="633" t="s">
        <v>2659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68"/>
      <c r="Q23" s="1798" t="str">
        <f t="shared" si="8"/>
        <v>公共配套设施</v>
      </c>
      <c r="R23" s="770" t="s">
        <v>17</v>
      </c>
      <c r="S23" s="771">
        <f>F23</f>
        <v>100</v>
      </c>
      <c r="T23" s="770" t="s">
        <v>17</v>
      </c>
      <c r="U23" s="771">
        <f>H23</f>
        <v>100</v>
      </c>
      <c r="V23" s="770" t="s">
        <v>17</v>
      </c>
      <c r="W23" s="771">
        <f>J23</f>
        <v>100</v>
      </c>
      <c r="X23" s="772"/>
      <c r="Y23" s="3168"/>
      <c r="Z23" s="55" t="str">
        <f>Q23</f>
        <v>公共配套设施</v>
      </c>
      <c r="AA23" s="1814">
        <f>D23/F23</f>
        <v>1</v>
      </c>
      <c r="AB23" s="1814">
        <f>D23/H23</f>
        <v>1</v>
      </c>
      <c r="AC23" s="1814">
        <f>D23/J23</f>
        <v>1</v>
      </c>
    </row>
    <row r="24" spans="1:29" s="117" customFormat="1" ht="15">
      <c r="A24" s="649"/>
      <c r="B24" s="632"/>
      <c r="C24" s="2705" t="s">
        <v>3090</v>
      </c>
      <c r="D24" s="448"/>
      <c r="E24" s="2616" t="s">
        <v>3090</v>
      </c>
      <c r="F24" s="448"/>
      <c r="G24" s="2616" t="s">
        <v>3090</v>
      </c>
      <c r="H24" s="448"/>
      <c r="I24" s="447" t="s">
        <v>3090</v>
      </c>
      <c r="J24" s="448"/>
      <c r="K24" s="672"/>
      <c r="L24" s="1135"/>
      <c r="M24" s="1136"/>
      <c r="N24" s="1136"/>
      <c r="O24" s="1137"/>
      <c r="P24" s="3168"/>
      <c r="Q24" s="1798"/>
      <c r="R24" s="770"/>
      <c r="S24" s="771"/>
      <c r="T24" s="770"/>
      <c r="U24" s="771"/>
      <c r="V24" s="770"/>
      <c r="W24" s="771"/>
      <c r="X24" s="772"/>
      <c r="Y24" s="3168"/>
      <c r="Z24" s="55"/>
      <c r="AA24" s="773">
        <v>1</v>
      </c>
      <c r="AB24" s="773">
        <v>1</v>
      </c>
      <c r="AC24" s="773">
        <v>1</v>
      </c>
    </row>
    <row r="25" spans="1:29" s="117" customFormat="1" ht="28.5">
      <c r="A25" s="649"/>
      <c r="B25" s="633" t="s">
        <v>2660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5"/>
      <c r="M25" s="1136"/>
      <c r="N25" s="1136"/>
      <c r="O25" s="1137"/>
      <c r="P25" s="3168"/>
      <c r="Q25" s="1798" t="str">
        <f t="shared" ref="Q25" si="9">B25</f>
        <v>基础设施水平</v>
      </c>
      <c r="R25" s="770" t="s">
        <v>17</v>
      </c>
      <c r="S25" s="771">
        <f>F25</f>
        <v>100</v>
      </c>
      <c r="T25" s="770" t="s">
        <v>17</v>
      </c>
      <c r="U25" s="771">
        <f>H25</f>
        <v>100</v>
      </c>
      <c r="V25" s="770" t="s">
        <v>17</v>
      </c>
      <c r="W25" s="771">
        <f>J25</f>
        <v>100</v>
      </c>
      <c r="X25" s="772"/>
      <c r="Y25" s="3168"/>
      <c r="Z25" s="55" t="str">
        <f>Q25</f>
        <v>基础设施水平</v>
      </c>
      <c r="AA25" s="1814">
        <f>D25/F25</f>
        <v>1</v>
      </c>
      <c r="AB25" s="1814">
        <f>D25/H25</f>
        <v>1</v>
      </c>
      <c r="AC25" s="1814">
        <f>D25/J25</f>
        <v>1</v>
      </c>
    </row>
    <row r="26" spans="1:29" s="117" customFormat="1" ht="15">
      <c r="A26" s="649"/>
      <c r="B26" s="632"/>
      <c r="C26" s="2705" t="s">
        <v>3092</v>
      </c>
      <c r="D26" s="448"/>
      <c r="E26" s="2706" t="s">
        <v>3092</v>
      </c>
      <c r="F26" s="448"/>
      <c r="G26" s="2706" t="s">
        <v>3092</v>
      </c>
      <c r="H26" s="448"/>
      <c r="I26" s="2706" t="s">
        <v>3092</v>
      </c>
      <c r="J26" s="448"/>
      <c r="K26" s="672"/>
      <c r="L26" s="1135"/>
      <c r="M26" s="1136"/>
      <c r="N26" s="1136"/>
      <c r="O26" s="1137"/>
      <c r="P26" s="3168"/>
      <c r="Q26" s="1798"/>
      <c r="R26" s="770"/>
      <c r="S26" s="771"/>
      <c r="T26" s="770"/>
      <c r="U26" s="771"/>
      <c r="V26" s="770"/>
      <c r="W26" s="771"/>
      <c r="X26" s="772"/>
      <c r="Y26" s="3168"/>
      <c r="Z26" s="55"/>
      <c r="AA26" s="773">
        <v>1</v>
      </c>
      <c r="AB26" s="773">
        <v>1</v>
      </c>
      <c r="AC26" s="773">
        <v>1</v>
      </c>
    </row>
    <row r="27" spans="1:29" ht="15">
      <c r="A27" s="428"/>
      <c r="B27" s="632" t="s">
        <v>2661</v>
      </c>
      <c r="C27" s="616" t="s">
        <v>3316</v>
      </c>
      <c r="D27" s="435">
        <v>100</v>
      </c>
      <c r="E27" s="634" t="s">
        <v>3316</v>
      </c>
      <c r="F27" s="435">
        <f>SUMIF(95:95,E27,96:96)-SUMIF(95:95,C27,96:96)+100</f>
        <v>100</v>
      </c>
      <c r="G27" s="634" t="s">
        <v>3316</v>
      </c>
      <c r="H27" s="435">
        <f>SUMIF(95:95,G27,96:96)-SUMIF(95:95,C27,96:96)+100</f>
        <v>100</v>
      </c>
      <c r="I27" s="634" t="s">
        <v>3316</v>
      </c>
      <c r="J27" s="435">
        <f>SUMIF(95:95,I27,96:96)-SUMIF(95:95,C27,96:96)+100</f>
        <v>100</v>
      </c>
      <c r="K27" s="673">
        <v>2</v>
      </c>
      <c r="L27" s="1143"/>
      <c r="M27" s="1134"/>
      <c r="N27" s="1134"/>
      <c r="O27" s="1142"/>
      <c r="P27" s="316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8"/>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168"/>
      <c r="Q28" s="1813" t="str">
        <f t="shared" si="8"/>
        <v>毗邻道路的类型与等级</v>
      </c>
      <c r="R28" s="774" t="s">
        <v>17</v>
      </c>
      <c r="S28" s="775">
        <f t="shared" si="10"/>
        <v>100</v>
      </c>
      <c r="T28" s="774" t="s">
        <v>17</v>
      </c>
      <c r="U28" s="775">
        <f t="shared" si="11"/>
        <v>100</v>
      </c>
      <c r="V28" s="774" t="s">
        <v>17</v>
      </c>
      <c r="W28" s="775">
        <f t="shared" si="12"/>
        <v>100</v>
      </c>
      <c r="X28" s="1816"/>
      <c r="Y28" s="3168"/>
      <c r="Z28" s="1817" t="str">
        <f t="shared" si="13"/>
        <v>毗邻道路的类型与等级</v>
      </c>
      <c r="AA28" s="1814">
        <f t="shared" si="3"/>
        <v>1</v>
      </c>
      <c r="AB28" s="1814">
        <f t="shared" si="4"/>
        <v>1</v>
      </c>
      <c r="AC28" s="1814">
        <f t="shared" si="5"/>
        <v>1</v>
      </c>
    </row>
    <row r="29" spans="1:29" ht="15">
      <c r="A29" s="428"/>
      <c r="B29" s="632"/>
      <c r="C29" s="447" t="s">
        <v>3127</v>
      </c>
      <c r="D29" s="448"/>
      <c r="E29" s="2616" t="s">
        <v>3127</v>
      </c>
      <c r="F29" s="448"/>
      <c r="G29" s="2616" t="s">
        <v>3127</v>
      </c>
      <c r="H29" s="448"/>
      <c r="I29" s="2616" t="s">
        <v>3127</v>
      </c>
      <c r="J29" s="448"/>
      <c r="K29" s="613"/>
      <c r="L29" s="1143"/>
      <c r="M29" s="1134"/>
      <c r="N29" s="1134"/>
      <c r="O29" s="1142"/>
      <c r="P29" s="3168"/>
      <c r="Q29" s="1813"/>
      <c r="R29" s="774"/>
      <c r="S29" s="775"/>
      <c r="T29" s="774"/>
      <c r="U29" s="775"/>
      <c r="V29" s="774"/>
      <c r="W29" s="775"/>
      <c r="X29" s="1816"/>
      <c r="Y29" s="3168"/>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8"/>
      <c r="Q30" s="1813" t="str">
        <f t="shared" si="8"/>
        <v>土地级别</v>
      </c>
      <c r="R30" s="774" t="s">
        <v>17</v>
      </c>
      <c r="S30" s="775">
        <f t="shared" si="10"/>
        <v>100</v>
      </c>
      <c r="T30" s="774" t="s">
        <v>17</v>
      </c>
      <c r="U30" s="775">
        <f t="shared" si="11"/>
        <v>100</v>
      </c>
      <c r="V30" s="774" t="s">
        <v>17</v>
      </c>
      <c r="W30" s="775">
        <f t="shared" si="12"/>
        <v>100</v>
      </c>
      <c r="X30" s="1816"/>
      <c r="Y30" s="3168"/>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8"/>
      <c r="Q31" s="1813">
        <f t="shared" si="8"/>
        <v>111</v>
      </c>
      <c r="R31" s="774" t="s">
        <v>17</v>
      </c>
      <c r="S31" s="775">
        <f t="shared" si="10"/>
        <v>100</v>
      </c>
      <c r="T31" s="774" t="s">
        <v>17</v>
      </c>
      <c r="U31" s="775">
        <f t="shared" si="11"/>
        <v>100</v>
      </c>
      <c r="V31" s="774" t="s">
        <v>17</v>
      </c>
      <c r="W31" s="775">
        <f t="shared" si="12"/>
        <v>100</v>
      </c>
      <c r="X31" s="1816"/>
      <c r="Y31" s="3168"/>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9" t="s">
        <v>2570</v>
      </c>
      <c r="Q32" s="1813">
        <f t="shared" si="8"/>
        <v>111</v>
      </c>
      <c r="R32" s="774" t="s">
        <v>17</v>
      </c>
      <c r="S32" s="775">
        <f t="shared" si="10"/>
        <v>100</v>
      </c>
      <c r="T32" s="774" t="s">
        <v>17</v>
      </c>
      <c r="U32" s="775">
        <f t="shared" si="11"/>
        <v>100</v>
      </c>
      <c r="V32" s="774" t="s">
        <v>17</v>
      </c>
      <c r="W32" s="775">
        <f t="shared" si="12"/>
        <v>100</v>
      </c>
      <c r="X32" s="1816"/>
      <c r="Y32" s="3172"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2"/>
      <c r="Q33" s="1813">
        <f t="shared" si="8"/>
        <v>111</v>
      </c>
      <c r="R33" s="777" t="s">
        <v>17</v>
      </c>
      <c r="S33" s="778">
        <f t="shared" si="10"/>
        <v>100</v>
      </c>
      <c r="T33" s="777" t="s">
        <v>17</v>
      </c>
      <c r="U33" s="778">
        <f t="shared" si="11"/>
        <v>100</v>
      </c>
      <c r="V33" s="777" t="s">
        <v>17</v>
      </c>
      <c r="W33" s="778">
        <f t="shared" si="12"/>
        <v>100</v>
      </c>
      <c r="X33" s="779"/>
      <c r="Y33" s="3172"/>
      <c r="Z33" s="780">
        <f t="shared" si="13"/>
        <v>111</v>
      </c>
      <c r="AA33" s="1814">
        <f t="shared" si="3"/>
        <v>1</v>
      </c>
      <c r="AB33" s="1814">
        <f t="shared" si="4"/>
        <v>1</v>
      </c>
      <c r="AC33" s="1814">
        <f t="shared" si="5"/>
        <v>1</v>
      </c>
    </row>
    <row r="34" spans="1:29" ht="15">
      <c r="A34" s="440" t="s">
        <v>2568</v>
      </c>
      <c r="B34" s="456" t="s">
        <v>2756</v>
      </c>
      <c r="C34" s="679">
        <v>12753</v>
      </c>
      <c r="D34" s="467">
        <v>100</v>
      </c>
      <c r="E34" s="679">
        <v>4280</v>
      </c>
      <c r="F34" s="467">
        <f>LOOKUP(E34,108:108,109:109)-LOOKUP(C34,108:108,109:109)+100</f>
        <v>104</v>
      </c>
      <c r="G34" s="679">
        <v>2718</v>
      </c>
      <c r="H34" s="467">
        <f>LOOKUP(G34,108:108,109:109)-LOOKUP(C34,108:108,109:109)+100</f>
        <v>104</v>
      </c>
      <c r="I34" s="530">
        <v>11807</v>
      </c>
      <c r="J34" s="467">
        <f>LOOKUP(I34,108:108,109:109)-LOOKUP(C34,108:108,109:109)+100</f>
        <v>100</v>
      </c>
      <c r="K34" s="613"/>
      <c r="L34" s="1143"/>
      <c r="M34" s="1134"/>
      <c r="N34" s="1134"/>
      <c r="O34" s="1142"/>
      <c r="P34" s="3172"/>
      <c r="Q34" s="1813" t="str">
        <f>B34</f>
        <v>宗地面积</v>
      </c>
      <c r="R34" s="774" t="s">
        <v>17</v>
      </c>
      <c r="S34" s="775">
        <f t="shared" si="10"/>
        <v>104</v>
      </c>
      <c r="T34" s="774" t="s">
        <v>17</v>
      </c>
      <c r="U34" s="775">
        <f t="shared" si="11"/>
        <v>104</v>
      </c>
      <c r="V34" s="774" t="s">
        <v>17</v>
      </c>
      <c r="W34" s="775">
        <f t="shared" si="12"/>
        <v>100</v>
      </c>
      <c r="X34" s="1816"/>
      <c r="Y34" s="3172"/>
      <c r="Z34" s="1817" t="str">
        <f t="shared" si="13"/>
        <v>宗地面积</v>
      </c>
      <c r="AA34" s="1814">
        <f t="shared" si="3"/>
        <v>0.96153846153846156</v>
      </c>
      <c r="AB34" s="1814">
        <f t="shared" si="4"/>
        <v>0.96153846153846156</v>
      </c>
      <c r="AC34" s="1814">
        <f t="shared" si="5"/>
        <v>1</v>
      </c>
    </row>
    <row r="35" spans="1:29" ht="15">
      <c r="A35" s="472"/>
      <c r="B35" s="422" t="s">
        <v>2757</v>
      </c>
      <c r="C35" s="2618" t="s">
        <v>3317</v>
      </c>
      <c r="D35" s="435">
        <v>100</v>
      </c>
      <c r="E35" s="2618" t="s">
        <v>3317</v>
      </c>
      <c r="F35" s="435">
        <f>SUMIF(110:110,E35,111:111)-SUMIF(110:110,C35,111:111)+100</f>
        <v>100</v>
      </c>
      <c r="G35" s="2618" t="s">
        <v>3317</v>
      </c>
      <c r="H35" s="435">
        <f>SUMIF(110:110,G35,111:111)-SUMIF(110:110,C35,111:111)+100</f>
        <v>100</v>
      </c>
      <c r="I35" s="2618" t="s">
        <v>3317</v>
      </c>
      <c r="J35" s="435">
        <f>SUMIF(110:110,I35,111:111)-SUMIF(110:110,C35,111:111)+100</f>
        <v>100</v>
      </c>
      <c r="K35" s="612">
        <v>1</v>
      </c>
      <c r="L35" s="1143"/>
      <c r="M35" s="1134"/>
      <c r="N35" s="1134"/>
      <c r="O35" s="1142"/>
      <c r="P35" s="3172"/>
      <c r="Q35" s="1813" t="str">
        <f t="shared" ref="Q35:Q40" si="14">B35</f>
        <v>宗地形状</v>
      </c>
      <c r="R35" s="774" t="s">
        <v>17</v>
      </c>
      <c r="S35" s="775">
        <f t="shared" si="10"/>
        <v>100</v>
      </c>
      <c r="T35" s="774" t="s">
        <v>17</v>
      </c>
      <c r="U35" s="775">
        <f t="shared" si="11"/>
        <v>100</v>
      </c>
      <c r="V35" s="774" t="s">
        <v>17</v>
      </c>
      <c r="W35" s="775">
        <f t="shared" si="12"/>
        <v>100</v>
      </c>
      <c r="X35" s="1816"/>
      <c r="Y35" s="3172"/>
      <c r="Z35" s="1817" t="str">
        <f t="shared" si="13"/>
        <v>宗地形状</v>
      </c>
      <c r="AA35" s="1814">
        <f t="shared" si="3"/>
        <v>1</v>
      </c>
      <c r="AB35" s="1814">
        <f t="shared" si="4"/>
        <v>1</v>
      </c>
      <c r="AC35" s="1814">
        <f t="shared" si="5"/>
        <v>1</v>
      </c>
    </row>
    <row r="36" spans="1:29" s="117" customFormat="1" ht="15">
      <c r="A36" s="473"/>
      <c r="B36" s="422" t="s">
        <v>2759</v>
      </c>
      <c r="C36" s="2707" t="s">
        <v>3092</v>
      </c>
      <c r="D36" s="136">
        <v>100</v>
      </c>
      <c r="E36" s="2707" t="s">
        <v>3109</v>
      </c>
      <c r="F36" s="435">
        <f>SUMIF(112:112,E36,113:113)-SUMIF(112:112,C36,113:113)+100</f>
        <v>99</v>
      </c>
      <c r="G36" s="2707" t="s">
        <v>3303</v>
      </c>
      <c r="H36" s="435">
        <f>SUMIF(112:112,G36,113:113)-SUMIF(112:112,C36,113:113)+100</f>
        <v>97</v>
      </c>
      <c r="I36" s="2707" t="s">
        <v>3303</v>
      </c>
      <c r="J36" s="435">
        <f>SUMIF(112:112,I36,113:113)-SUMIF(112:112,C36,113:113)+100</f>
        <v>97</v>
      </c>
      <c r="K36" s="612">
        <v>1</v>
      </c>
      <c r="L36" s="1135"/>
      <c r="M36" s="1136"/>
      <c r="N36" s="1136"/>
      <c r="O36" s="1137"/>
      <c r="P36" s="3172"/>
      <c r="Q36" s="1813" t="str">
        <f t="shared" si="14"/>
        <v>宗地开发程度</v>
      </c>
      <c r="R36" s="770" t="s">
        <v>17</v>
      </c>
      <c r="S36" s="771">
        <f t="shared" si="10"/>
        <v>99</v>
      </c>
      <c r="T36" s="770" t="s">
        <v>17</v>
      </c>
      <c r="U36" s="771">
        <f t="shared" si="11"/>
        <v>97</v>
      </c>
      <c r="V36" s="770" t="s">
        <v>17</v>
      </c>
      <c r="W36" s="771">
        <f t="shared" si="12"/>
        <v>97</v>
      </c>
      <c r="X36" s="772"/>
      <c r="Y36" s="3172"/>
      <c r="Z36" s="55" t="str">
        <f t="shared" si="13"/>
        <v>宗地开发程度</v>
      </c>
      <c r="AA36" s="773">
        <f t="shared" si="3"/>
        <v>1.0101010101010102</v>
      </c>
      <c r="AB36" s="773">
        <f t="shared" si="4"/>
        <v>1.0309278350515463</v>
      </c>
      <c r="AC36" s="773">
        <f t="shared" si="5"/>
        <v>1.0309278350515463</v>
      </c>
    </row>
    <row r="37" spans="1:29" ht="15">
      <c r="A37" s="472"/>
      <c r="B37" s="422" t="s">
        <v>2760</v>
      </c>
      <c r="C37" s="2618" t="s">
        <v>3091</v>
      </c>
      <c r="D37" s="435">
        <v>100</v>
      </c>
      <c r="E37" s="2618" t="s">
        <v>3091</v>
      </c>
      <c r="F37" s="435">
        <f>SUMIF(114:114,E37,115:115)-SUMIF(114:114,C37,115:115)+100</f>
        <v>100</v>
      </c>
      <c r="G37" s="2618" t="s">
        <v>3091</v>
      </c>
      <c r="H37" s="435">
        <f>SUMIF(114:114,G37,115:115)-SUMIF(114:114,C37,115:115)+100</f>
        <v>100</v>
      </c>
      <c r="I37" s="2618" t="s">
        <v>3091</v>
      </c>
      <c r="J37" s="435">
        <f>SUMIF(114:114,I37,115:115)-SUMIF(114:114,C37,115:115)+100</f>
        <v>100</v>
      </c>
      <c r="K37" s="612">
        <v>1</v>
      </c>
      <c r="L37" s="1143"/>
      <c r="M37" s="1134"/>
      <c r="N37" s="1134"/>
      <c r="O37" s="1142"/>
      <c r="P37" s="3172" t="s">
        <v>2570</v>
      </c>
      <c r="Q37" s="1813" t="str">
        <f t="shared" si="14"/>
        <v>工程地质条件</v>
      </c>
      <c r="R37" s="774" t="s">
        <v>17</v>
      </c>
      <c r="S37" s="775">
        <f t="shared" si="10"/>
        <v>100</v>
      </c>
      <c r="T37" s="774" t="s">
        <v>17</v>
      </c>
      <c r="U37" s="775">
        <f t="shared" si="11"/>
        <v>100</v>
      </c>
      <c r="V37" s="774" t="s">
        <v>17</v>
      </c>
      <c r="W37" s="775">
        <f t="shared" si="12"/>
        <v>100</v>
      </c>
      <c r="X37" s="1816"/>
      <c r="Y37" s="3172"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2"/>
      <c r="Q38" s="1813">
        <f t="shared" si="14"/>
        <v>111</v>
      </c>
      <c r="R38" s="774" t="s">
        <v>17</v>
      </c>
      <c r="S38" s="775">
        <f t="shared" si="10"/>
        <v>100</v>
      </c>
      <c r="T38" s="774" t="s">
        <v>17</v>
      </c>
      <c r="U38" s="775">
        <f t="shared" si="11"/>
        <v>100</v>
      </c>
      <c r="V38" s="774" t="s">
        <v>17</v>
      </c>
      <c r="W38" s="775">
        <f t="shared" si="12"/>
        <v>100</v>
      </c>
      <c r="X38" s="1816"/>
      <c r="Y38" s="317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2"/>
      <c r="Q39" s="1813">
        <f t="shared" si="14"/>
        <v>111</v>
      </c>
      <c r="R39" s="774" t="s">
        <v>17</v>
      </c>
      <c r="S39" s="775">
        <f t="shared" si="10"/>
        <v>100</v>
      </c>
      <c r="T39" s="774" t="s">
        <v>17</v>
      </c>
      <c r="U39" s="775">
        <f t="shared" si="11"/>
        <v>100</v>
      </c>
      <c r="V39" s="774" t="s">
        <v>17</v>
      </c>
      <c r="W39" s="775">
        <f t="shared" si="12"/>
        <v>100</v>
      </c>
      <c r="X39" s="1816"/>
      <c r="Y39" s="3172"/>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2"/>
      <c r="Q40" s="1813">
        <f t="shared" si="14"/>
        <v>111</v>
      </c>
      <c r="R40" s="777" t="s">
        <v>17</v>
      </c>
      <c r="S40" s="778">
        <f t="shared" si="10"/>
        <v>100</v>
      </c>
      <c r="T40" s="777" t="s">
        <v>17</v>
      </c>
      <c r="U40" s="778">
        <f t="shared" si="11"/>
        <v>100</v>
      </c>
      <c r="V40" s="777" t="s">
        <v>17</v>
      </c>
      <c r="W40" s="778">
        <f t="shared" si="12"/>
        <v>100</v>
      </c>
      <c r="X40" s="779"/>
      <c r="Y40" s="3172"/>
      <c r="Z40" s="780">
        <f t="shared" si="13"/>
        <v>111</v>
      </c>
      <c r="AA40" s="1814">
        <f t="shared" si="3"/>
        <v>1</v>
      </c>
      <c r="AB40" s="1814">
        <f t="shared" si="4"/>
        <v>1</v>
      </c>
      <c r="AC40" s="1814">
        <f t="shared" si="5"/>
        <v>1</v>
      </c>
    </row>
    <row r="41" spans="1:29" ht="15">
      <c r="A41" s="479" t="s">
        <v>2725</v>
      </c>
      <c r="B41" s="2709" t="s">
        <v>3324</v>
      </c>
      <c r="C41" s="682" t="s">
        <v>1</v>
      </c>
      <c r="D41" s="481"/>
      <c r="E41" s="482">
        <v>1875</v>
      </c>
      <c r="F41" s="483"/>
      <c r="G41" s="484">
        <v>1500</v>
      </c>
      <c r="H41" s="485"/>
      <c r="I41" s="482">
        <v>1500</v>
      </c>
      <c r="J41" s="485"/>
      <c r="K41" s="783"/>
      <c r="L41" s="1146"/>
      <c r="M41" s="1134"/>
      <c r="N41" s="1134"/>
      <c r="O41" s="1147"/>
      <c r="P41" s="3160" t="str">
        <f>A41</f>
        <v>成交单价</v>
      </c>
      <c r="Q41" s="3160"/>
      <c r="R41" s="3194">
        <f>E41</f>
        <v>1875</v>
      </c>
      <c r="S41" s="3194"/>
      <c r="T41" s="3194">
        <f>G41</f>
        <v>1500</v>
      </c>
      <c r="U41" s="3194"/>
      <c r="V41" s="3194">
        <f>I41</f>
        <v>1500</v>
      </c>
      <c r="W41" s="3194"/>
      <c r="X41" s="759"/>
      <c r="Y41" s="781"/>
      <c r="Z41" s="759"/>
      <c r="AA41" s="759"/>
      <c r="AB41" s="759"/>
      <c r="AC41" s="759"/>
    </row>
    <row r="42" spans="1:29" ht="15.75" thickBot="1">
      <c r="A42" s="486" t="s">
        <v>2674</v>
      </c>
      <c r="B42" s="683"/>
      <c r="C42" s="490">
        <f>R43</f>
        <v>1670</v>
      </c>
      <c r="D42" s="489"/>
      <c r="E42" s="490">
        <f>R42</f>
        <v>1842</v>
      </c>
      <c r="F42" s="491"/>
      <c r="G42" s="488">
        <f>T42</f>
        <v>1536</v>
      </c>
      <c r="H42" s="489"/>
      <c r="I42" s="490">
        <f>V42</f>
        <v>1632</v>
      </c>
      <c r="J42" s="489"/>
      <c r="K42" s="784"/>
      <c r="L42" s="1146"/>
      <c r="M42" s="1134"/>
      <c r="N42" s="1134"/>
      <c r="O42" s="1147"/>
      <c r="P42" s="3160" t="str">
        <f>A42</f>
        <v>比较价值（元/平方米）</v>
      </c>
      <c r="Q42" s="3160"/>
      <c r="R42" s="3250">
        <f>ROUND(PRODUCT(R41,AA7:AA40),0)</f>
        <v>1842</v>
      </c>
      <c r="S42" s="3250"/>
      <c r="T42" s="3250">
        <f>ROUND(PRODUCT(T41,AB7:AB40),0)</f>
        <v>1536</v>
      </c>
      <c r="U42" s="3250"/>
      <c r="V42" s="3250">
        <f>ROUND(PRODUCT(V41,AC7:AC40),0)</f>
        <v>1632</v>
      </c>
      <c r="W42" s="3250"/>
      <c r="X42" s="759"/>
      <c r="Y42" s="759"/>
      <c r="Z42" s="759"/>
      <c r="AA42" s="759"/>
      <c r="AB42" s="759"/>
      <c r="AC42" s="759"/>
    </row>
    <row r="43" spans="1:29" ht="15.75" thickBot="1">
      <c r="A43" s="492" t="s">
        <v>2675</v>
      </c>
      <c r="B43" s="493"/>
      <c r="C43" s="494">
        <f>R43</f>
        <v>1670</v>
      </c>
      <c r="D43" s="494"/>
      <c r="E43" s="494"/>
      <c r="F43" s="494"/>
      <c r="G43" s="494"/>
      <c r="H43" s="494"/>
      <c r="I43" s="494"/>
      <c r="J43" s="494"/>
      <c r="K43" s="785"/>
      <c r="L43" s="1146"/>
      <c r="M43" s="1134"/>
      <c r="N43" s="1134"/>
      <c r="O43" s="1147"/>
      <c r="P43" s="3237" t="str">
        <f>A43</f>
        <v>估价对象XX用房的比较价值（楼面单价，元/平方米）</v>
      </c>
      <c r="Q43" s="3238"/>
      <c r="R43" s="3251">
        <f>ROUND(AVERAGE(R42:V42),0)</f>
        <v>1670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f>IF(E41&lt;E42,E42/E41-1,E41/E42-1)</f>
        <v>1.791530944625408E-2</v>
      </c>
      <c r="F46" s="500" t="str">
        <f>IF(OR(E46&gt;=0.3,E46&lt;=-0.3),"超过30%","")</f>
        <v/>
      </c>
      <c r="G46" s="499">
        <f>IF(G41&lt;G42,G42/G41-1,G41/G42-1)</f>
        <v>2.4000000000000021E-2</v>
      </c>
      <c r="H46" s="500" t="str">
        <f>IF(OR(G46&gt;=0.3,G46&lt;=-0.3),"超过30%","")</f>
        <v/>
      </c>
      <c r="I46" s="499">
        <f>IF(I41&lt;I42,I42/I41-1,I41/I42-1)</f>
        <v>8.8000000000000078E-2</v>
      </c>
      <c r="J46" s="500" t="str">
        <f>IF(OR(I46&gt;=0.3,I46&lt;=-0.3),"超过30%","")</f>
        <v/>
      </c>
      <c r="K46" s="1108"/>
      <c r="L46" s="1109"/>
      <c r="M46" s="1134"/>
      <c r="N46" s="1134"/>
      <c r="O46" s="1147"/>
    </row>
    <row r="47" spans="1:29" ht="13.5" customHeight="1">
      <c r="A47" s="1147"/>
      <c r="B47" s="1147"/>
      <c r="C47" s="497" t="s">
        <v>2677</v>
      </c>
      <c r="D47" s="501"/>
      <c r="E47" s="499">
        <f>IF(E42&lt;G42,G42/E42-1,E42/G42-1)</f>
        <v>0.19921875</v>
      </c>
      <c r="F47" s="500" t="str">
        <f>IF(OR(E47&gt;=0.2,E47&lt;=-0.2),"超过20%","")</f>
        <v/>
      </c>
      <c r="G47" s="499">
        <f>IF(G42&lt;I42,I42/G42-1,G42/I42-1)</f>
        <v>6.25E-2</v>
      </c>
      <c r="H47" s="500" t="str">
        <f>IF(OR(G47&gt;=0.2,G47&lt;=-0.2),"超过20%","")</f>
        <v/>
      </c>
      <c r="I47" s="499">
        <f>IF(I42&lt;E42,E42/I42-1,I42/E42-1)</f>
        <v>0.12867647058823528</v>
      </c>
      <c r="J47" s="500" t="str">
        <f>IF(OR(I47&gt;=0.2,I47&lt;=-0.2),"超过20%","")</f>
        <v/>
      </c>
      <c r="K47" s="1108"/>
      <c r="L47" s="1109"/>
      <c r="M47" s="1147"/>
      <c r="N47" s="1147"/>
      <c r="O47" s="1147"/>
    </row>
    <row r="48" spans="1:29" s="502" customFormat="1" ht="13.5" customHeight="1">
      <c r="A48" s="1148"/>
      <c r="B48" s="1148"/>
      <c r="C48" s="497" t="s">
        <v>2678</v>
      </c>
      <c r="D48" s="501"/>
      <c r="E48" s="499">
        <f>IF(E41&lt;G41,G41/E41-1,E41/G41-1)</f>
        <v>0.25</v>
      </c>
      <c r="F48" s="500" t="str">
        <f>IF(OR(E48&gt;=0.3,E48&lt;=-0.3),"超过30%","")</f>
        <v/>
      </c>
      <c r="G48" s="499">
        <f>IF(G41&lt;I41,I41/G41-1,G41/I41-1)</f>
        <v>0</v>
      </c>
      <c r="H48" s="500" t="str">
        <f>IF(OR(G48&gt;=0.3,G48&lt;=-0.3),"超过30%","")</f>
        <v/>
      </c>
      <c r="I48" s="499">
        <f>IF(I41&lt;E41,E41/I41-1,I41/E41-1)</f>
        <v>0.25</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0" t="s">
        <v>3325</v>
      </c>
      <c r="D50" s="2711" t="s">
        <v>2766</v>
      </c>
      <c r="E50" s="686" t="s">
        <v>2767</v>
      </c>
      <c r="F50" s="687" t="s">
        <v>2768</v>
      </c>
      <c r="G50" s="3177" t="s">
        <v>2769</v>
      </c>
      <c r="H50" s="3252"/>
      <c r="I50" s="1817" t="s">
        <v>2805</v>
      </c>
      <c r="J50" s="1817">
        <f>项目基本情况!F35</f>
        <v>0</v>
      </c>
      <c r="K50" s="2713" t="s">
        <v>2771</v>
      </c>
      <c r="L50" s="1109"/>
      <c r="M50" s="1147"/>
      <c r="N50" s="1147"/>
      <c r="O50" s="1147"/>
    </row>
    <row r="51" spans="1:17" s="692" customFormat="1">
      <c r="A51" s="688" t="s">
        <v>2772</v>
      </c>
      <c r="B51" s="689">
        <f>C43</f>
        <v>1670</v>
      </c>
      <c r="C51" s="690">
        <v>1</v>
      </c>
      <c r="D51" s="1166">
        <v>1</v>
      </c>
      <c r="E51" s="690">
        <f>'数据-汇总表'!E8+'数据-汇总表'!E9</f>
        <v>16443.89</v>
      </c>
      <c r="F51" s="691">
        <f t="shared" ref="F51:F60" si="15">ROUND(B51*E51/10000,0)</f>
        <v>2746</v>
      </c>
      <c r="G51" s="3159"/>
      <c r="H51" s="3160"/>
      <c r="I51" s="945">
        <v>1</v>
      </c>
      <c r="J51" s="945">
        <v>1</v>
      </c>
      <c r="K51" s="1148"/>
      <c r="L51" s="944"/>
      <c r="M51" s="944"/>
      <c r="N51" s="944"/>
      <c r="O51" s="944"/>
    </row>
    <row r="52" spans="1:17" s="692" customFormat="1">
      <c r="A52" s="693" t="s">
        <v>2773</v>
      </c>
      <c r="B52" s="262">
        <f>ROUND($C$43*C52*D52,0)</f>
        <v>292</v>
      </c>
      <c r="C52" s="200">
        <f t="shared" ref="C52:C60" si="16">IF($C$50="北京市系数",I52,J52)</f>
        <v>0.7</v>
      </c>
      <c r="D52" s="1167">
        <v>0.25</v>
      </c>
      <c r="E52" s="694"/>
      <c r="F52" s="691">
        <f t="shared" si="15"/>
        <v>0</v>
      </c>
      <c r="G52" s="3253" t="s">
        <v>2774</v>
      </c>
      <c r="H52" s="1107" t="str">
        <f>项目基本情况!B37</f>
        <v>五级</v>
      </c>
      <c r="I52" s="945">
        <f>SUMIF(修正!A45:A56,H52,修正!B45:B56)</f>
        <v>0.7</v>
      </c>
      <c r="J52" s="946"/>
      <c r="K52" s="1147"/>
      <c r="L52" s="944"/>
      <c r="M52" s="944"/>
      <c r="N52" s="944"/>
      <c r="O52" s="944"/>
    </row>
    <row r="53" spans="1:17" s="692" customFormat="1">
      <c r="A53" s="693" t="s">
        <v>2775</v>
      </c>
      <c r="B53" s="262">
        <f t="shared" ref="B53:B60" si="17">ROUND($C$43*C53*D53,0)</f>
        <v>167</v>
      </c>
      <c r="C53" s="200">
        <f t="shared" si="16"/>
        <v>0.4</v>
      </c>
      <c r="D53" s="1167">
        <v>0.25</v>
      </c>
      <c r="E53" s="694"/>
      <c r="F53" s="691">
        <f t="shared" si="15"/>
        <v>0</v>
      </c>
      <c r="G53" s="3253"/>
      <c r="H53" s="1107" t="str">
        <f>项目基本情况!B37</f>
        <v>五级</v>
      </c>
      <c r="I53" s="945">
        <f>SUMIF(修正!A45:A56,H53,修正!C45:C56)</f>
        <v>0.4</v>
      </c>
      <c r="J53" s="946"/>
      <c r="K53" s="1148"/>
      <c r="L53" s="944"/>
      <c r="M53" s="944"/>
      <c r="N53" s="944"/>
      <c r="O53" s="944"/>
    </row>
    <row r="54" spans="1:17" s="692" customFormat="1">
      <c r="A54" s="693" t="s">
        <v>2776</v>
      </c>
      <c r="B54" s="262">
        <f t="shared" si="17"/>
        <v>117</v>
      </c>
      <c r="C54" s="200">
        <f t="shared" si="16"/>
        <v>0.28000000000000003</v>
      </c>
      <c r="D54" s="1167">
        <v>0.25</v>
      </c>
      <c r="E54" s="694"/>
      <c r="F54" s="691">
        <f t="shared" si="15"/>
        <v>0</v>
      </c>
      <c r="G54" s="3253"/>
      <c r="H54" s="1107" t="str">
        <f>项目基本情况!B37</f>
        <v>五级</v>
      </c>
      <c r="I54" s="945">
        <f>SUMIF(修正!A45:A56,H54,修正!D45:D56)</f>
        <v>0.28000000000000003</v>
      </c>
      <c r="J54" s="946"/>
      <c r="K54" s="1147"/>
      <c r="L54" s="944"/>
      <c r="M54" s="944"/>
      <c r="N54" s="944"/>
      <c r="O54" s="944"/>
    </row>
    <row r="55" spans="1:17" s="692" customFormat="1">
      <c r="A55" s="693" t="s">
        <v>2777</v>
      </c>
      <c r="B55" s="262">
        <f t="shared" si="17"/>
        <v>104</v>
      </c>
      <c r="C55" s="200">
        <f t="shared" si="16"/>
        <v>0.25</v>
      </c>
      <c r="D55" s="1167">
        <v>0.25</v>
      </c>
      <c r="E55" s="694"/>
      <c r="F55" s="691">
        <f t="shared" si="15"/>
        <v>0</v>
      </c>
      <c r="G55" s="3253"/>
      <c r="H55" s="1107" t="str">
        <f>项目基本情况!B37</f>
        <v>五级</v>
      </c>
      <c r="I55" s="945">
        <f>SUMIF(修正!A45:A56,H55,修正!E45:E56)</f>
        <v>0.25</v>
      </c>
      <c r="J55" s="946"/>
      <c r="K55" s="1148"/>
      <c r="L55" s="944"/>
      <c r="M55" s="944"/>
      <c r="N55" s="944"/>
      <c r="O55" s="944"/>
    </row>
    <row r="56" spans="1:17" s="692" customFormat="1">
      <c r="A56" s="693" t="s">
        <v>2778</v>
      </c>
      <c r="B56" s="262">
        <f t="shared" si="17"/>
        <v>104</v>
      </c>
      <c r="C56" s="200">
        <f t="shared" si="16"/>
        <v>0.25</v>
      </c>
      <c r="D56" s="1167">
        <v>0.25</v>
      </c>
      <c r="E56" s="261">
        <f>'数据-汇总表'!E11</f>
        <v>0</v>
      </c>
      <c r="F56" s="691">
        <f t="shared" si="15"/>
        <v>0</v>
      </c>
      <c r="G56" s="2714" t="s">
        <v>2779</v>
      </c>
      <c r="H56" s="1107" t="str">
        <f>项目基本情况!C37</f>
        <v>五级</v>
      </c>
      <c r="I56" s="945">
        <f>SUMIF(修正!A45:A56,H56,修正!F45:F56)</f>
        <v>0.25</v>
      </c>
      <c r="J56" s="946"/>
      <c r="K56" s="1147"/>
      <c r="L56" s="944"/>
      <c r="M56" s="944"/>
      <c r="N56" s="944"/>
      <c r="O56" s="944"/>
    </row>
    <row r="57" spans="1:17" s="692" customFormat="1">
      <c r="A57" s="693" t="s">
        <v>2780</v>
      </c>
      <c r="B57" s="262">
        <f t="shared" si="17"/>
        <v>104</v>
      </c>
      <c r="C57" s="200">
        <f t="shared" si="16"/>
        <v>0.25</v>
      </c>
      <c r="D57" s="1167">
        <v>0.25</v>
      </c>
      <c r="E57" s="261">
        <f>'数据-汇总表'!E12</f>
        <v>6269.49</v>
      </c>
      <c r="F57" s="691">
        <f t="shared" si="15"/>
        <v>65</v>
      </c>
      <c r="G57" s="1112" t="s">
        <v>2781</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2782</v>
      </c>
      <c r="B58" s="262">
        <f t="shared" si="17"/>
        <v>84</v>
      </c>
      <c r="C58" s="200">
        <f t="shared" si="16"/>
        <v>0.2</v>
      </c>
      <c r="D58" s="1167">
        <v>0.25</v>
      </c>
      <c r="E58" s="261">
        <f>'数据-汇总表'!E13</f>
        <v>8588.09</v>
      </c>
      <c r="F58" s="691">
        <f t="shared" si="15"/>
        <v>72</v>
      </c>
      <c r="G58" s="1112" t="s">
        <v>2783</v>
      </c>
      <c r="H58" s="1107" t="str">
        <f>IF(G58="商业",项目基本情况!B37,IF(G58="办公",项目基本情况!C37,IF(G58="住宅",项目基本情况!D37,项目基本情况!E37)))</f>
        <v>五级</v>
      </c>
      <c r="I58" s="945">
        <f>SUMIF(修正!A45:A56,H58,修正!H45:H56)</f>
        <v>0.2</v>
      </c>
      <c r="J58" s="946"/>
      <c r="K58" s="1147"/>
      <c r="L58" s="944"/>
      <c r="M58" s="944"/>
      <c r="N58" s="944"/>
      <c r="O58" s="944"/>
    </row>
    <row r="59" spans="1:17" s="692" customFormat="1">
      <c r="A59" s="693" t="s">
        <v>2784</v>
      </c>
      <c r="B59" s="262">
        <f t="shared" si="17"/>
        <v>84</v>
      </c>
      <c r="C59" s="200">
        <f t="shared" si="16"/>
        <v>0.2</v>
      </c>
      <c r="D59" s="1167">
        <v>0.25</v>
      </c>
      <c r="E59" s="261">
        <f>'数据-汇总表'!E14</f>
        <v>0</v>
      </c>
      <c r="F59" s="691">
        <f t="shared" si="15"/>
        <v>0</v>
      </c>
      <c r="G59" s="2714" t="s">
        <v>2774</v>
      </c>
      <c r="H59" s="1107" t="str">
        <f>项目基本情况!B37</f>
        <v>五级</v>
      </c>
      <c r="I59" s="945">
        <f>SUMIF(修正!A45:A56,H59,修正!H45:H56)</f>
        <v>0.2</v>
      </c>
      <c r="J59" s="946"/>
      <c r="K59" s="1148"/>
      <c r="L59" s="944"/>
      <c r="M59" s="944"/>
      <c r="N59" s="944"/>
      <c r="O59" s="944"/>
    </row>
    <row r="60" spans="1:17" s="692" customFormat="1" ht="15" thickBot="1">
      <c r="A60" s="693" t="s">
        <v>2785</v>
      </c>
      <c r="B60" s="262">
        <f t="shared" si="17"/>
        <v>84</v>
      </c>
      <c r="C60" s="200">
        <f t="shared" si="16"/>
        <v>0.2</v>
      </c>
      <c r="D60" s="1167">
        <v>0.25</v>
      </c>
      <c r="E60" s="261">
        <f>'数据-汇总表'!E15</f>
        <v>0</v>
      </c>
      <c r="F60" s="691">
        <f t="shared" si="15"/>
        <v>0</v>
      </c>
      <c r="G60" s="2715" t="s">
        <v>2779</v>
      </c>
      <c r="H60" s="1117" t="str">
        <f>项目基本情况!C37</f>
        <v>五级</v>
      </c>
      <c r="I60" s="945">
        <f>SUMIF(修正!A45:A56,H60,修正!H45:H56)</f>
        <v>0.2</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31301.469999999998</v>
      </c>
      <c r="F61" s="697">
        <f>IF(B41="楼面地价",SUM(F51:F60),ROUND(C43*E61/10000,0))</f>
        <v>2883</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1" t="s">
        <v>2806</v>
      </c>
      <c r="B66" s="332" t="str">
        <f>"北京市平均增长率"&amp;TEXT(基准地价修正!P24,"0.00%")</f>
        <v>北京市平均增长率1.35%</v>
      </c>
      <c r="C66" s="603">
        <v>100</v>
      </c>
      <c r="D66" s="595">
        <v>98</v>
      </c>
      <c r="E66" s="595">
        <v>96</v>
      </c>
      <c r="F66" s="2969">
        <v>97</v>
      </c>
      <c r="G66" s="595">
        <v>96</v>
      </c>
      <c r="H66" s="595">
        <v>95</v>
      </c>
      <c r="I66" s="2969">
        <v>94</v>
      </c>
      <c r="J66" s="595">
        <v>93</v>
      </c>
      <c r="K66" s="595">
        <v>92</v>
      </c>
      <c r="L66" s="2969">
        <v>91</v>
      </c>
      <c r="M66" s="595">
        <v>90</v>
      </c>
      <c r="N66" s="595">
        <v>89</v>
      </c>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2961" t="s">
        <v>3294</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1（含）-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1</v>
      </c>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2807</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6"/>
      <c r="O96" s="1156"/>
      <c r="P96" s="45"/>
      <c r="Q96" s="504"/>
    </row>
    <row r="97" spans="1:17" ht="27.75" thickTop="1">
      <c r="A97" s="534"/>
      <c r="B97" s="538" t="s">
        <v>2696</v>
      </c>
      <c r="C97" s="2962" t="s">
        <v>3310</v>
      </c>
      <c r="D97" s="2962" t="s">
        <v>3311</v>
      </c>
      <c r="E97" s="2962" t="s">
        <v>3312</v>
      </c>
      <c r="F97" s="2962" t="s">
        <v>3313</v>
      </c>
      <c r="G97" s="2962" t="s">
        <v>3314</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2568</v>
      </c>
      <c r="B107" s="528" t="s">
        <v>2796</v>
      </c>
      <c r="C107" s="529" t="str">
        <f t="shared" ref="C107:L107" si="25">C108&amp;"(含)"&amp;"-"&amp;D108</f>
        <v>0(含)-2000</v>
      </c>
      <c r="D107" s="529" t="str">
        <f t="shared" si="25"/>
        <v>2000(含)-5000</v>
      </c>
      <c r="E107" s="529" t="str">
        <f t="shared" si="25"/>
        <v>5000(含)-10000</v>
      </c>
      <c r="F107" s="529" t="str">
        <f t="shared" si="25"/>
        <v>10000(含)-15000</v>
      </c>
      <c r="G107" s="529" t="str">
        <f t="shared" si="25"/>
        <v>15000(含)-20000</v>
      </c>
      <c r="H107" s="529" t="str">
        <f t="shared" si="25"/>
        <v>20000(含)-30000</v>
      </c>
      <c r="I107" s="529" t="str">
        <f t="shared" si="25"/>
        <v>30000(含)-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2000</v>
      </c>
      <c r="E108" s="595">
        <v>5000</v>
      </c>
      <c r="F108" s="595">
        <v>10000</v>
      </c>
      <c r="G108" s="595">
        <v>15000</v>
      </c>
      <c r="H108" s="595">
        <v>20000</v>
      </c>
      <c r="I108" s="595">
        <v>30000</v>
      </c>
      <c r="J108" s="596"/>
      <c r="K108" s="596"/>
      <c r="L108" s="597"/>
      <c r="M108" s="598"/>
      <c r="N108" s="1155"/>
      <c r="O108" s="1155"/>
      <c r="P108" s="45"/>
      <c r="Q108" s="504"/>
    </row>
    <row r="109" spans="1:17" ht="15.75" thickBot="1">
      <c r="A109" s="534"/>
      <c r="B109" s="543"/>
      <c r="C109" s="570">
        <v>100</v>
      </c>
      <c r="D109" s="591">
        <v>98</v>
      </c>
      <c r="E109" s="591">
        <v>96</v>
      </c>
      <c r="F109" s="591">
        <v>94</v>
      </c>
      <c r="G109" s="591">
        <v>92</v>
      </c>
      <c r="H109" s="591">
        <v>90</v>
      </c>
      <c r="I109" s="591">
        <v>88</v>
      </c>
      <c r="J109" s="591"/>
      <c r="K109" s="591"/>
      <c r="L109" s="591"/>
      <c r="M109" s="592"/>
      <c r="N109" s="1156"/>
      <c r="O109" s="1156"/>
      <c r="P109" s="45"/>
      <c r="Q109" s="504"/>
    </row>
    <row r="110" spans="1:17" ht="15" thickTop="1">
      <c r="A110" s="599"/>
      <c r="B110" s="538" t="s">
        <v>2797</v>
      </c>
      <c r="C110" s="2963" t="s">
        <v>3297</v>
      </c>
      <c r="D110" s="2963" t="s">
        <v>3318</v>
      </c>
      <c r="E110" s="2963" t="s">
        <v>3308</v>
      </c>
      <c r="F110" s="2963" t="s">
        <v>3319</v>
      </c>
      <c r="G110" s="2963" t="s">
        <v>3298</v>
      </c>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2799</v>
      </c>
      <c r="C112" s="2962" t="s">
        <v>3299</v>
      </c>
      <c r="D112" s="2962" t="s">
        <v>3300</v>
      </c>
      <c r="E112" s="2962" t="s">
        <v>3301</v>
      </c>
      <c r="F112" s="2962" t="s">
        <v>3302</v>
      </c>
      <c r="G112" s="2962" t="s">
        <v>3304</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2800</v>
      </c>
      <c r="C114" s="2962" t="s">
        <v>3306</v>
      </c>
      <c r="D114" s="2962" t="s">
        <v>3307</v>
      </c>
      <c r="E114" s="2963" t="s">
        <v>3308</v>
      </c>
      <c r="F114" s="2963" t="s">
        <v>3309</v>
      </c>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33" sqref="A33:A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2808</v>
      </c>
      <c r="B1" s="241"/>
      <c r="C1" s="245" t="s">
        <v>2809</v>
      </c>
      <c r="D1" s="388">
        <f>SUM(D29:D30,D33:D39)</f>
        <v>0</v>
      </c>
      <c r="E1" s="2722"/>
      <c r="F1" s="2722"/>
      <c r="G1" s="2722"/>
      <c r="H1" s="2722"/>
      <c r="I1" s="2722"/>
      <c r="J1" s="2722"/>
      <c r="K1" s="1373"/>
      <c r="L1" s="2723" t="s">
        <v>2810</v>
      </c>
      <c r="M1" s="1083">
        <f>SUMPRODUCT((区片价!B5:B9=I2)*(区片价!C3:F3=E2)*(区片价!C5:F9))</f>
        <v>0</v>
      </c>
      <c r="N1" s="1086">
        <f>SUMPRODUCT((因素修正幅度!B5:B9=I2)*(因素修正幅度!C3:F3=E2)*(因素修正幅度!C5:F9))</f>
        <v>0</v>
      </c>
      <c r="O1" s="2724"/>
      <c r="P1" s="2724"/>
      <c r="Q1" s="1373"/>
      <c r="R1" s="1605" t="s">
        <v>2811</v>
      </c>
      <c r="S1" s="1605" t="s">
        <v>2812</v>
      </c>
      <c r="T1" s="1605" t="s">
        <v>2813</v>
      </c>
      <c r="U1" s="1605" t="s">
        <v>2814</v>
      </c>
      <c r="V1" s="1605" t="s">
        <v>2815</v>
      </c>
      <c r="W1" s="1609"/>
      <c r="X1" s="1609"/>
      <c r="Y1" s="1609"/>
      <c r="Z1" s="1609"/>
      <c r="AA1" s="1609"/>
      <c r="AB1" s="1609"/>
      <c r="AC1" s="1610"/>
      <c r="AD1" s="1611"/>
      <c r="AE1" s="1611"/>
      <c r="AF1" s="1611"/>
      <c r="AG1" s="1611"/>
      <c r="AH1" s="1611"/>
      <c r="AI1" s="1611"/>
      <c r="AJ1" s="1612"/>
    </row>
    <row r="2" spans="1:36" ht="25.5">
      <c r="A2" s="245" t="s">
        <v>2816</v>
      </c>
      <c r="B2" s="248" t="e">
        <f>C26</f>
        <v>#DIV/0!</v>
      </c>
      <c r="C2" s="2726" t="s">
        <v>2817</v>
      </c>
      <c r="D2" s="2727" t="s">
        <v>2818</v>
      </c>
      <c r="E2" s="2728"/>
      <c r="F2" s="2727" t="s">
        <v>2819</v>
      </c>
      <c r="G2" s="2729" t="str">
        <f>IF(E2="商业",项目基本情况!B37,IF(E2="办公",项目基本情况!C37,IF(E2="住宅",项目基本情况!D37,项目基本情况!E37)))</f>
        <v>五级</v>
      </c>
      <c r="H2" s="2727" t="s">
        <v>2820</v>
      </c>
      <c r="I2" s="2729" t="str">
        <f>IF(E2="商业",项目基本情况!B38,IF(E2="办公",项目基本情况!C38,IF(E2="住宅",项目基本情况!D38,项目基本情况!E38)))</f>
        <v>Ⅴ-永丰产业基地</v>
      </c>
      <c r="J2" s="2730"/>
      <c r="K2" s="1373"/>
      <c r="L2" s="2731" t="s">
        <v>2821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2822</v>
      </c>
      <c r="B3" s="248" t="e">
        <f>ROUND(B2*10000/D1,0)</f>
        <v>#DIV/0!</v>
      </c>
      <c r="C3" s="2726" t="s">
        <v>2823</v>
      </c>
      <c r="D3" s="2727" t="s">
        <v>2824</v>
      </c>
      <c r="E3" s="2732"/>
      <c r="F3" s="2733" t="s">
        <v>2825</v>
      </c>
      <c r="G3" s="916">
        <f>IF(F3="宗地容积率",'数据-汇总表'!I4,IF(F3="估价对象容积率",'数据-汇总表'!I6,'数据-汇总表'!I7))</f>
        <v>1.39</v>
      </c>
      <c r="H3" s="198" t="s">
        <v>2826</v>
      </c>
      <c r="I3" s="947"/>
      <c r="J3" s="2730" t="s">
        <v>2827</v>
      </c>
      <c r="K3" s="1373"/>
      <c r="L3" s="2731" t="s">
        <v>2828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1"/>
      <c r="B4" s="3262"/>
      <c r="C4" s="3262"/>
      <c r="D4" s="3263"/>
      <c r="E4" s="3263"/>
      <c r="F4" s="3263"/>
      <c r="G4" s="3263"/>
      <c r="H4" s="3263"/>
      <c r="I4" s="3263"/>
      <c r="J4" s="3264"/>
      <c r="K4" s="1373"/>
      <c r="L4" s="2731" t="s">
        <v>2829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2830</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2831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2832</v>
      </c>
      <c r="B6" s="2745" t="s">
        <v>2833</v>
      </c>
      <c r="C6" s="918">
        <f>SUMIF(L1:L12,G2,M1:M12)</f>
        <v>0</v>
      </c>
      <c r="D6" s="2746" t="s">
        <v>2834</v>
      </c>
      <c r="E6" s="2747"/>
      <c r="F6" s="2747"/>
      <c r="G6" s="2748"/>
      <c r="H6" s="2748"/>
      <c r="I6" s="2748"/>
      <c r="J6" s="2749"/>
      <c r="K6" s="1845"/>
      <c r="L6" s="2731" t="s">
        <v>2835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65" t="str">
        <f>IF(E2="商业",IF(C8="不临58条商业街","",2),"")</f>
        <v/>
      </c>
      <c r="B7" s="2750" t="s">
        <v>2836</v>
      </c>
      <c r="C7" s="919" t="e">
        <f>IF(C8="不临58条商业街",1,ROUND(1+(1.6*E8+1.2*E9+0.8*E10+0.4*E11)*C9,4))</f>
        <v>#DIV/0!</v>
      </c>
      <c r="D7" s="2751" t="s">
        <v>2837</v>
      </c>
      <c r="E7" s="948"/>
      <c r="F7" s="2752"/>
      <c r="G7" s="2753"/>
      <c r="H7" s="2753"/>
      <c r="I7" s="2753"/>
      <c r="J7" s="2754"/>
      <c r="K7" s="1845"/>
      <c r="L7" s="2731" t="s">
        <v>2838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si="0"/>
        <v>#DIV/0!</v>
      </c>
      <c r="U7" s="1606"/>
      <c r="V7" s="1605" t="e">
        <f t="shared" si="1"/>
        <v>#DIV/0!</v>
      </c>
      <c r="W7" s="1819" t="s">
        <v>2839</v>
      </c>
      <c r="X7" s="1607" t="str">
        <f>G2</f>
        <v>五级</v>
      </c>
      <c r="Y7" s="1607" t="s">
        <v>2840</v>
      </c>
      <c r="Z7" s="1608">
        <f>G3</f>
        <v>1.39</v>
      </c>
      <c r="AA7" s="1609"/>
      <c r="AB7" s="1609"/>
      <c r="AC7" s="1610"/>
      <c r="AD7" s="1611"/>
      <c r="AE7" s="1611"/>
      <c r="AF7" s="1611"/>
      <c r="AG7" s="1611"/>
      <c r="AH7" s="1611"/>
      <c r="AI7" s="1611"/>
      <c r="AJ7" s="1612"/>
    </row>
    <row r="8" spans="1:36" ht="15">
      <c r="A8" s="3266"/>
      <c r="B8" s="198" t="s">
        <v>2841</v>
      </c>
      <c r="C8" s="2755"/>
      <c r="D8" s="920" t="s">
        <v>139</v>
      </c>
      <c r="E8" s="921" t="e">
        <f>ROUND(C11/E7,4)</f>
        <v>#DIV/0!</v>
      </c>
      <c r="F8" s="2756" t="s">
        <v>2842</v>
      </c>
      <c r="G8" s="2757"/>
      <c r="H8" s="2757"/>
      <c r="I8" s="2757"/>
      <c r="J8" s="2758"/>
      <c r="K8" s="1373"/>
      <c r="L8" s="2731" t="s">
        <v>2843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8" t="s">
        <v>2844</v>
      </c>
      <c r="X8" s="3259"/>
      <c r="Y8" s="1613" t="s">
        <v>2845</v>
      </c>
      <c r="Z8" s="1613" t="s">
        <v>2846</v>
      </c>
      <c r="AA8" s="1613" t="s">
        <v>2847</v>
      </c>
      <c r="AB8" s="1613" t="s">
        <v>2848</v>
      </c>
      <c r="AC8" s="1613" t="s">
        <v>2849</v>
      </c>
      <c r="AD8" s="1613" t="s">
        <v>2850</v>
      </c>
      <c r="AE8" s="1613" t="s">
        <v>2851</v>
      </c>
      <c r="AF8" s="1613" t="s">
        <v>2852</v>
      </c>
      <c r="AG8" s="1613" t="s">
        <v>2853</v>
      </c>
      <c r="AH8" s="1613" t="s">
        <v>2854</v>
      </c>
      <c r="AI8" s="1613" t="s">
        <v>2855</v>
      </c>
      <c r="AJ8" s="1613" t="s">
        <v>2856</v>
      </c>
    </row>
    <row r="9" spans="1:36" ht="15">
      <c r="A9" s="3266"/>
      <c r="B9" s="198" t="s">
        <v>2857</v>
      </c>
      <c r="C9" s="922">
        <f>SUMIF(修正!C59:C119,C8,修正!E59:E119)</f>
        <v>0</v>
      </c>
      <c r="D9" s="200" t="s">
        <v>140</v>
      </c>
      <c r="E9" s="200" t="e">
        <f>ROUND(C11/E7,4)</f>
        <v>#DIV/0!</v>
      </c>
      <c r="F9" s="2756" t="s">
        <v>2858</v>
      </c>
      <c r="G9" s="2757"/>
      <c r="H9" s="2757"/>
      <c r="I9" s="2757"/>
      <c r="J9" s="2758"/>
      <c r="K9" s="1373"/>
      <c r="L9" s="2731" t="s">
        <v>2859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0" t="s">
        <v>2860</v>
      </c>
      <c r="X9" s="1614" t="s">
        <v>2861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6"/>
      <c r="B10" s="198" t="s">
        <v>2862</v>
      </c>
      <c r="C10" s="200">
        <f>SUMIF(修正!C59:C119,C8,修正!F59:F119)</f>
        <v>0</v>
      </c>
      <c r="D10" s="200" t="s">
        <v>141</v>
      </c>
      <c r="E10" s="200" t="e">
        <f>ROUND(C11/E7,4)</f>
        <v>#DIV/0!</v>
      </c>
      <c r="F10" s="2756" t="s">
        <v>2863</v>
      </c>
      <c r="G10" s="2757"/>
      <c r="H10" s="2757"/>
      <c r="I10" s="2757"/>
      <c r="J10" s="2758"/>
      <c r="K10" s="1373"/>
      <c r="L10" s="2731" t="s">
        <v>2864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6"/>
      <c r="B11" s="2759" t="s">
        <v>2865</v>
      </c>
      <c r="C11" s="923">
        <f>C10/4</f>
        <v>0</v>
      </c>
      <c r="D11" s="923" t="s">
        <v>142</v>
      </c>
      <c r="E11" s="923" t="e">
        <f>ROUND(C11/E7,4)</f>
        <v>#DIV/0!</v>
      </c>
      <c r="F11" s="2760" t="s">
        <v>2866</v>
      </c>
      <c r="G11" s="2761"/>
      <c r="H11" s="2761"/>
      <c r="I11" s="2761"/>
      <c r="J11" s="2762"/>
      <c r="K11" s="1373"/>
      <c r="L11" s="2731" t="s">
        <v>2867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0" t="s">
        <v>2868</v>
      </c>
      <c r="X11" s="1617" t="s">
        <v>2869</v>
      </c>
      <c r="Y11" s="1618">
        <f>$G$3</f>
        <v>1.39</v>
      </c>
      <c r="Z11" s="1618">
        <f t="shared" ref="Z11:AJ11" si="3">$G$3</f>
        <v>1.39</v>
      </c>
      <c r="AA11" s="1618">
        <f t="shared" si="3"/>
        <v>1.39</v>
      </c>
      <c r="AB11" s="1618">
        <f t="shared" si="3"/>
        <v>1.39</v>
      </c>
      <c r="AC11" s="1618">
        <f t="shared" si="3"/>
        <v>1.39</v>
      </c>
      <c r="AD11" s="1618">
        <f t="shared" si="3"/>
        <v>1.39</v>
      </c>
      <c r="AE11" s="1618">
        <f t="shared" si="3"/>
        <v>1.39</v>
      </c>
      <c r="AF11" s="1618">
        <f t="shared" si="3"/>
        <v>1.39</v>
      </c>
      <c r="AG11" s="1618">
        <f t="shared" si="3"/>
        <v>1.39</v>
      </c>
      <c r="AH11" s="1618">
        <f t="shared" si="3"/>
        <v>1.39</v>
      </c>
      <c r="AI11" s="1618">
        <f t="shared" si="3"/>
        <v>1.39</v>
      </c>
      <c r="AJ11" s="1618">
        <f t="shared" si="3"/>
        <v>1.39</v>
      </c>
    </row>
    <row r="12" spans="1:36" ht="25.5" thickBot="1">
      <c r="A12" s="3265" t="s">
        <v>2870</v>
      </c>
      <c r="B12" s="2763" t="s">
        <v>2871</v>
      </c>
      <c r="C12" s="919">
        <f>ROUND(C15*D15*E15*F15*G15*H15*I15*J15,4)</f>
        <v>1</v>
      </c>
      <c r="D12" s="2764" t="s">
        <v>2872</v>
      </c>
      <c r="E12" s="2765"/>
      <c r="F12" s="2765"/>
      <c r="G12" s="2766"/>
      <c r="H12" s="2766"/>
      <c r="I12" s="2766"/>
      <c r="J12" s="2767"/>
      <c r="K12" s="1373"/>
      <c r="L12" s="2768" t="s">
        <v>2873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0"/>
      <c r="X12" s="1619" t="s">
        <v>2874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7"/>
      <c r="B13" s="2769" t="s">
        <v>2875</v>
      </c>
      <c r="C13" s="2770" t="s">
        <v>2876</v>
      </c>
      <c r="D13" s="1811" t="s">
        <v>2877</v>
      </c>
      <c r="E13" s="1811" t="s">
        <v>2878</v>
      </c>
      <c r="F13" s="30" t="s">
        <v>2879</v>
      </c>
      <c r="G13" s="2771" t="s">
        <v>2880</v>
      </c>
      <c r="H13" s="2771" t="s">
        <v>2880</v>
      </c>
      <c r="I13" s="2771" t="s">
        <v>2880</v>
      </c>
      <c r="J13" s="2772" t="s">
        <v>2880</v>
      </c>
      <c r="K13" s="1373"/>
      <c r="L13" s="1373"/>
      <c r="M13" s="1373"/>
      <c r="N13" s="1373"/>
      <c r="O13" s="1373"/>
      <c r="P13" s="1373"/>
      <c r="Q13" s="1373"/>
      <c r="R13" s="1605">
        <v>12</v>
      </c>
      <c r="S13" s="1606"/>
      <c r="T13" s="1605" t="e">
        <f t="shared" si="0"/>
        <v>#DIV/0!</v>
      </c>
      <c r="U13" s="1606"/>
      <c r="V13" s="1605" t="e">
        <f t="shared" si="1"/>
        <v>#DIV/0!</v>
      </c>
      <c r="W13" s="3260"/>
      <c r="X13" s="1619"/>
      <c r="Y13" s="1616">
        <f>(-0.163*(Y12^2)-0.59*Y12+7617)*(10^(-4))/Y11</f>
        <v>0.54798561151079139</v>
      </c>
      <c r="Z13" s="1616">
        <f t="shared" ref="Z13:AJ13" si="5">(-0.163*(Z12^2)-0.59*Z12+7617)*(10^(-4))/Z11</f>
        <v>0.54798561151079139</v>
      </c>
      <c r="AA13" s="1616">
        <f t="shared" si="5"/>
        <v>0.54798561151079139</v>
      </c>
      <c r="AB13" s="1616">
        <f t="shared" si="5"/>
        <v>0.54798561151079139</v>
      </c>
      <c r="AC13" s="1616">
        <f t="shared" si="5"/>
        <v>0.54798561151079139</v>
      </c>
      <c r="AD13" s="1616">
        <f t="shared" si="5"/>
        <v>0.54798561151079139</v>
      </c>
      <c r="AE13" s="1616">
        <f t="shared" si="5"/>
        <v>0.54798561151079139</v>
      </c>
      <c r="AF13" s="1616">
        <f t="shared" si="5"/>
        <v>0.54798561151079139</v>
      </c>
      <c r="AG13" s="1616">
        <f t="shared" si="5"/>
        <v>0.54798561151079139</v>
      </c>
      <c r="AH13" s="1616">
        <f t="shared" si="5"/>
        <v>0.54798561151079139</v>
      </c>
      <c r="AI13" s="1616">
        <f t="shared" si="5"/>
        <v>0.54798561151079139</v>
      </c>
      <c r="AJ13" s="1616">
        <f t="shared" si="5"/>
        <v>0.54798561151079139</v>
      </c>
    </row>
    <row r="14" spans="1:36" ht="15">
      <c r="A14" s="3267"/>
      <c r="B14" s="2773"/>
      <c r="C14" s="2774"/>
      <c r="D14" s="2775"/>
      <c r="E14" s="2775"/>
      <c r="F14" s="2776"/>
      <c r="G14" s="2777" t="s">
        <v>2881</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8"/>
      <c r="B15" s="2781" t="s">
        <v>2882</v>
      </c>
      <c r="C15" s="229">
        <f>IF(C14="有",1.1,1)</f>
        <v>1</v>
      </c>
      <c r="D15" s="229">
        <f>IF(D14="有",1.1,1)</f>
        <v>1</v>
      </c>
      <c r="E15" s="229">
        <f>IF(E14="有",1.1,1)</f>
        <v>1</v>
      </c>
      <c r="F15" s="229">
        <f>IF(F14="500米范围内",1.2,IF(F14="500-1000米",1.1,1))</f>
        <v>1</v>
      </c>
      <c r="G15" s="949">
        <v>1</v>
      </c>
      <c r="H15" s="949">
        <v>1</v>
      </c>
      <c r="I15" s="949">
        <v>1</v>
      </c>
      <c r="J15" s="950">
        <v>1</v>
      </c>
      <c r="K15" s="1373"/>
      <c r="L15" s="2782" t="s">
        <v>2818</v>
      </c>
      <c r="M15" s="920" t="s">
        <v>2883</v>
      </c>
      <c r="N15" s="920" t="s">
        <v>2884</v>
      </c>
      <c r="O15" s="920" t="s">
        <v>2885</v>
      </c>
      <c r="P15" s="2783" t="s">
        <v>2886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5" t="s">
        <v>2887</v>
      </c>
      <c r="B16" s="2750" t="s">
        <v>2888</v>
      </c>
      <c r="C16" s="1804" t="e">
        <f>ROUND(SUM(G17:J17)/C17,0)</f>
        <v>#DIV/0!</v>
      </c>
      <c r="D16" s="2784" t="s">
        <v>2889</v>
      </c>
      <c r="E16" s="2785"/>
      <c r="F16" s="2786"/>
      <c r="G16" s="2787"/>
      <c r="H16" s="2787"/>
      <c r="I16" s="2787"/>
      <c r="J16" s="2788"/>
      <c r="K16" s="1373"/>
      <c r="L16" s="2789" t="s">
        <v>2890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6"/>
      <c r="B17" s="2790" t="s">
        <v>2891</v>
      </c>
      <c r="C17" s="924">
        <f>SUMPRODUCT((修正!A2:A5=E2)*(修正!B1:M1=G2)*(修正!B2:M5))</f>
        <v>0</v>
      </c>
      <c r="D17" s="2791"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2895</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2896</v>
      </c>
      <c r="C19" s="927" t="e">
        <f>ROUND(IF(H19="按公示增长率计算",SUMPRODUCT((地价!A3:A22=YEAR(G19)&amp;"-"&amp;ROUNDUP(MONTH(G19)/3,0))*(地价!X2:AB2=E2)*(地价!X3:AB22)),IF(H19="地价指数",M20/M19,(1+I19)^O19)),4)</f>
        <v>#DIV/0!</v>
      </c>
      <c r="D19" s="2802" t="s">
        <v>2897</v>
      </c>
      <c r="E19" s="928">
        <v>41640</v>
      </c>
      <c r="F19" s="2802" t="s">
        <v>2898</v>
      </c>
      <c r="G19" s="929">
        <f>'数据-取费表'!B2</f>
        <v>43276</v>
      </c>
      <c r="H19" s="2803" t="s">
        <v>2899</v>
      </c>
      <c r="I19" s="930" t="str">
        <f>IF(H19="季度增幅（自定义）",SUMIF(N21:N24,E2,O21:O24),"")</f>
        <v/>
      </c>
      <c r="J19" s="2800"/>
      <c r="K19" s="1380"/>
      <c r="L19" s="2804" t="s">
        <v>2900</v>
      </c>
      <c r="M19" s="1737">
        <f>ROUND(SUMIF(地价!B2:F2,E2,地价!B22:F22),0)</f>
        <v>0</v>
      </c>
      <c r="N19" s="2805" t="s">
        <v>2901</v>
      </c>
      <c r="O19" s="931">
        <f>ROUNDDOWN(DATEDIF(E19,G19,"M")/3,0)</f>
        <v>17</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2902</v>
      </c>
      <c r="C20" s="932" t="e">
        <f>ROUND(POWER(1+G20,J20-I20)*(POWER(1+G20,I20)-1)/(POWER(1+G20,J20)-1),4)</f>
        <v>#DIV/0!</v>
      </c>
      <c r="D20" s="2811" t="s">
        <v>2903</v>
      </c>
      <c r="E20" s="1771">
        <f ca="1">存贷款利率!D4/100</f>
        <v>4.3499999999999997E-2</v>
      </c>
      <c r="F20" s="2811" t="s">
        <v>2894</v>
      </c>
      <c r="G20" s="937">
        <f>SUMIF(M15:P15,E2,M17:P17)</f>
        <v>0</v>
      </c>
      <c r="H20" s="2811" t="s">
        <v>2904</v>
      </c>
      <c r="I20" s="938" t="e">
        <f>SUMIF('数据-取费表'!C6:C15,E2,'数据-取费表'!F6:F15)/COUNTIF('数据-取费表'!C6:C15,E2)</f>
        <v>#DIV/0!</v>
      </c>
      <c r="J20" s="939">
        <f>IF(E2="住宅",70,IF(E2="商业",40,50))</f>
        <v>50</v>
      </c>
      <c r="K20" s="1380"/>
      <c r="L20" s="2812" t="s">
        <v>2905</v>
      </c>
      <c r="M20" s="1738">
        <f>ROUND(SUMPRODUCT((地价!A4:A22=YEAR(G19)&amp;"-"&amp;ROUNDUP(MONTH(G19)/3,0))*(地价!B2:F2=E2)*(地价!B4:F22)),0)</f>
        <v>0</v>
      </c>
      <c r="N20" s="2813" t="s">
        <v>2906</v>
      </c>
      <c r="O20" s="2814" t="s">
        <v>2907</v>
      </c>
      <c r="P20" s="2815" t="s">
        <v>2908</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2909</v>
      </c>
      <c r="C21" s="940">
        <f>IF(B21="容积率修正",IF(G3&lt;=10,D22,J22),C23)</f>
        <v>0</v>
      </c>
      <c r="D21" s="2818"/>
      <c r="E21" s="2818"/>
      <c r="F21" s="2818"/>
      <c r="G21" s="2818"/>
      <c r="H21" s="2818"/>
      <c r="I21" s="2818"/>
      <c r="J21" s="2819"/>
      <c r="K21" s="1380"/>
      <c r="N21" s="2820" t="s">
        <v>2910</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2911</v>
      </c>
      <c r="B22" s="2821" t="s">
        <v>2912</v>
      </c>
      <c r="C22" s="1813" t="s">
        <v>2913</v>
      </c>
      <c r="D22" s="1813">
        <f>IF(E22=G22,F22,IF(G3&lt;=10,ROUND(F22+(H22-F22)*(G3-E22)/(G22-E22),4),"——"))</f>
        <v>0.92449999999999999</v>
      </c>
      <c r="E22" s="916">
        <f>ROUNDDOWN(G3,1)</f>
        <v>1.3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13" t="s">
        <v>155</v>
      </c>
      <c r="J22" s="941" t="str">
        <f>IF(G3&gt;10,D113,"——")</f>
        <v>——</v>
      </c>
      <c r="K22" s="1380"/>
      <c r="N22" s="2820" t="s">
        <v>2914</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9" t="s">
        <v>2915</v>
      </c>
      <c r="B23" s="2822" t="s">
        <v>2916</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2917</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2918</v>
      </c>
      <c r="C24" s="927">
        <f>SUMIF(A45:A88,E2,B45:B88)</f>
        <v>0</v>
      </c>
      <c r="D24" s="2798"/>
      <c r="E24" s="2828"/>
      <c r="F24" s="2828"/>
      <c r="G24" s="2828"/>
      <c r="H24" s="2828"/>
      <c r="I24" s="2828"/>
      <c r="J24" s="2829"/>
      <c r="K24" s="1380"/>
      <c r="N24" s="2830" t="s">
        <v>2919</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2920</v>
      </c>
      <c r="C25" s="933"/>
      <c r="D25" s="2753"/>
      <c r="E25" s="2753"/>
      <c r="F25" s="2832"/>
      <c r="G25" s="2753"/>
      <c r="H25" s="2753"/>
      <c r="I25" s="2753"/>
      <c r="J25" s="2754"/>
      <c r="K25" s="1373"/>
      <c r="N25" s="2833" t="s">
        <v>2921</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4"/>
      <c r="B26" s="2821" t="s">
        <v>2922</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2923</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2924</v>
      </c>
      <c r="C28" s="2845" t="s">
        <v>2925</v>
      </c>
      <c r="D28" s="2845" t="s">
        <v>2926</v>
      </c>
      <c r="E28" s="2846" t="s">
        <v>2927</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2928</v>
      </c>
      <c r="C29" s="206" t="e">
        <f>ROUND(C5*C18*C19*C20*C21*C24,0)</f>
        <v>#DIV/0!</v>
      </c>
      <c r="D29" s="2850"/>
      <c r="E29" s="945" t="e">
        <f>ROUND(C29*D29/10000,0)</f>
        <v>#DIV/0!</v>
      </c>
      <c r="F29" s="2851" t="s">
        <v>2929</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2930</v>
      </c>
      <c r="C30" s="229" t="e">
        <f>ROUND(IF(E2="工业",C29*M39,C29*M38),0)</f>
        <v>#DIV/0!</v>
      </c>
      <c r="D30" s="2856"/>
      <c r="E30" s="945" t="e">
        <f>ROUND(C30*D30/10000,0)</f>
        <v>#DIV/0!</v>
      </c>
      <c r="F30" s="2857" t="s">
        <v>2931</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2925</v>
      </c>
      <c r="D32" s="498" t="s">
        <v>2926</v>
      </c>
      <c r="E32" s="498" t="s">
        <v>2927</v>
      </c>
      <c r="F32" s="388" t="s">
        <v>2935</v>
      </c>
      <c r="G32" s="2865" t="s">
        <v>2925</v>
      </c>
      <c r="H32" s="2865" t="s">
        <v>2926</v>
      </c>
      <c r="I32" s="2865"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75" t="s">
        <v>2936</v>
      </c>
      <c r="B33" s="2866" t="s">
        <v>2937</v>
      </c>
      <c r="C33" s="206" t="e">
        <f>ROUND(D5*C19*C20*C24*F33,0)</f>
        <v>#DIV/0!</v>
      </c>
      <c r="D33" s="2850"/>
      <c r="E33" s="200" t="e">
        <f>ROUND(C33*D33/10000,0)</f>
        <v>#DIV/0!</v>
      </c>
      <c r="F33" s="200">
        <f>SUMIF(修正!A45:A56,G2,修正!B45:B56)</f>
        <v>0.7</v>
      </c>
      <c r="G33" s="200" t="e">
        <f t="shared" ref="G33:G39"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6"/>
      <c r="B34" s="2770" t="s">
        <v>2938</v>
      </c>
      <c r="C34" s="206" t="e">
        <f>ROUND(D5*C19*C20*C24*F34,0)</f>
        <v>#DIV/0!</v>
      </c>
      <c r="D34" s="2850"/>
      <c r="E34" s="200" t="e">
        <f t="shared" ref="E34:E39" si="7">ROUND(C34*D34/10000,0)</f>
        <v>#DIV/0!</v>
      </c>
      <c r="F34" s="200">
        <f>SUMIF(修正!A45:A56,G2,修正!C45:C56)</f>
        <v>0.4</v>
      </c>
      <c r="G34" s="200" t="e">
        <f t="shared" si="6"/>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6"/>
      <c r="B35" s="2770" t="s">
        <v>2939</v>
      </c>
      <c r="C35" s="206" t="e">
        <f>ROUND(D5*C19*C20*C24*F35,0)</f>
        <v>#DIV/0!</v>
      </c>
      <c r="D35" s="2850"/>
      <c r="E35" s="200" t="e">
        <f t="shared" si="7"/>
        <v>#DIV/0!</v>
      </c>
      <c r="F35" s="200">
        <f>SUMIF(修正!A45:A56,G2,修正!D45:D56)</f>
        <v>0.28000000000000003</v>
      </c>
      <c r="G35" s="200" t="e">
        <f t="shared" si="6"/>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77"/>
      <c r="B36" s="2770" t="s">
        <v>2940</v>
      </c>
      <c r="C36" s="206" t="e">
        <f>ROUND(D5*C19*C20*C24*F36,0)</f>
        <v>#DIV/0!</v>
      </c>
      <c r="D36" s="2850"/>
      <c r="E36" s="200" t="e">
        <f t="shared" si="7"/>
        <v>#DIV/0!</v>
      </c>
      <c r="F36" s="200">
        <f>SUMIF(修正!A45:A56,G2,修正!E45:E56)</f>
        <v>0.25</v>
      </c>
      <c r="G36" s="200" t="e">
        <f t="shared" si="6"/>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2941</v>
      </c>
      <c r="C37" s="200" t="e">
        <f>ROUND(C5*C19*C20*C24*F37,0)</f>
        <v>#DIV/0!</v>
      </c>
      <c r="D37" s="2850"/>
      <c r="E37" s="200" t="e">
        <f t="shared" si="7"/>
        <v>#DIV/0!</v>
      </c>
      <c r="F37" s="206">
        <f>SUMIF(修正!A45:A56,G2,修正!F45:F56)</f>
        <v>0.25</v>
      </c>
      <c r="G37" s="200" t="e">
        <f t="shared" si="6"/>
        <v>#DIV/0!</v>
      </c>
      <c r="H37" s="200">
        <f t="shared" si="8"/>
        <v>0</v>
      </c>
      <c r="I37" s="200" t="e">
        <f t="shared" si="9"/>
        <v>#DIV/0!</v>
      </c>
      <c r="J37" s="2867"/>
      <c r="K37" s="1373"/>
      <c r="L37" s="2869" t="s">
        <v>2942</v>
      </c>
      <c r="M37" s="2870"/>
      <c r="N37" s="1373"/>
      <c r="O37" s="1373"/>
      <c r="P37" s="1373"/>
      <c r="Q37" s="1373"/>
      <c r="R37" s="1373"/>
      <c r="S37" s="1373"/>
      <c r="T37" s="1373"/>
      <c r="U37" s="1373"/>
      <c r="V37" s="1373"/>
      <c r="W37" s="1373"/>
      <c r="X37" s="1373"/>
      <c r="Y37" s="1373"/>
      <c r="Z37" s="1374"/>
    </row>
    <row r="38" spans="1:37">
      <c r="A38" s="2868"/>
      <c r="B38" s="2770" t="s">
        <v>2943</v>
      </c>
      <c r="C38" s="200" t="e">
        <f>ROUND(C5*C19*C20*C24*F38,0)</f>
        <v>#DIV/0!</v>
      </c>
      <c r="D38" s="2850"/>
      <c r="E38" s="200" t="e">
        <f t="shared" si="7"/>
        <v>#DIV/0!</v>
      </c>
      <c r="F38" s="206">
        <f>SUMIF(修正!A45:A56,G2,修正!G45:G56)</f>
        <v>0.25</v>
      </c>
      <c r="G38" s="200" t="e">
        <f t="shared" si="6"/>
        <v>#DIV/0!</v>
      </c>
      <c r="H38" s="200">
        <f t="shared" si="8"/>
        <v>0</v>
      </c>
      <c r="I38" s="200" t="e">
        <f t="shared" si="9"/>
        <v>#DIV/0!</v>
      </c>
      <c r="J38" s="2867"/>
      <c r="K38" s="1373"/>
      <c r="L38" s="1890" t="s">
        <v>2944</v>
      </c>
      <c r="M38" s="2871">
        <v>0.25</v>
      </c>
      <c r="N38" s="1373"/>
      <c r="O38" s="1373"/>
      <c r="P38" s="1373"/>
      <c r="Q38" s="1373"/>
      <c r="R38" s="1373"/>
      <c r="S38" s="1373"/>
      <c r="T38" s="1373"/>
      <c r="U38" s="1373"/>
      <c r="V38" s="1373"/>
      <c r="W38" s="1373"/>
      <c r="X38" s="1373"/>
      <c r="Y38" s="1373"/>
      <c r="Z38" s="1374"/>
    </row>
    <row r="39" spans="1:37" ht="13.5" thickBot="1">
      <c r="A39" s="2854"/>
      <c r="B39" s="2872" t="s">
        <v>2945</v>
      </c>
      <c r="C39" s="229" t="e">
        <f>ROUND(C5*C19*C20*C24*F39,0)</f>
        <v>#DIV/0!</v>
      </c>
      <c r="D39" s="2856"/>
      <c r="E39" s="229" t="e">
        <f t="shared" si="7"/>
        <v>#DIV/0!</v>
      </c>
      <c r="F39" s="935">
        <f>SUMIF(修正!A45:A56,G2,修正!H45:H56)</f>
        <v>0.2</v>
      </c>
      <c r="G39" s="229" t="e">
        <f t="shared" si="6"/>
        <v>#DIV/0!</v>
      </c>
      <c r="H39" s="229">
        <f t="shared" si="8"/>
        <v>0</v>
      </c>
      <c r="I39" s="229" t="e">
        <f t="shared" si="9"/>
        <v>#DIV/0!</v>
      </c>
      <c r="J39" s="2873"/>
      <c r="K39" s="1373"/>
      <c r="L39" s="2874" t="s">
        <v>2886</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2946</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2947</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2948</v>
      </c>
      <c r="B47" s="1812" t="s">
        <v>2949</v>
      </c>
      <c r="C47" s="1812" t="s">
        <v>2950</v>
      </c>
      <c r="D47" s="1812" t="s">
        <v>2951</v>
      </c>
      <c r="E47" s="819" t="s">
        <v>2952</v>
      </c>
      <c r="F47" s="2884" t="s">
        <v>2953</v>
      </c>
      <c r="G47" s="1812" t="s">
        <v>754</v>
      </c>
      <c r="H47" s="2885" t="s">
        <v>2954</v>
      </c>
      <c r="I47" s="1812" t="s">
        <v>2955</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2956</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2957</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2958</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2959</v>
      </c>
      <c r="B51" s="2888" t="s">
        <v>2960</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2961</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2962</v>
      </c>
      <c r="B53" s="2889" t="s">
        <v>2963</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2964</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2965</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2966</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2967</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2948</v>
      </c>
      <c r="B58" s="1812"/>
      <c r="C58" s="1812" t="s">
        <v>2950</v>
      </c>
      <c r="D58" s="1812" t="s">
        <v>2951</v>
      </c>
      <c r="E58" s="819" t="s">
        <v>2952</v>
      </c>
      <c r="F58" s="2884" t="s">
        <v>2968</v>
      </c>
      <c r="G58" s="1812" t="s">
        <v>754</v>
      </c>
      <c r="H58" s="2885" t="s">
        <v>2954</v>
      </c>
      <c r="I58" s="1812" t="s">
        <v>2955</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2969</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2957</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2958</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2959</v>
      </c>
      <c r="B62" s="2888" t="s">
        <v>2960</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2961</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2962</v>
      </c>
      <c r="B64" s="2889" t="s">
        <v>2963</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2964</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2965</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2966</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2970</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2948</v>
      </c>
      <c r="B69" s="1812"/>
      <c r="C69" s="1812" t="s">
        <v>2950</v>
      </c>
      <c r="D69" s="1812" t="s">
        <v>2951</v>
      </c>
      <c r="E69" s="819" t="s">
        <v>2952</v>
      </c>
      <c r="F69" s="2884" t="s">
        <v>2968</v>
      </c>
      <c r="G69" s="1812" t="s">
        <v>754</v>
      </c>
      <c r="H69" s="2885" t="s">
        <v>2954</v>
      </c>
      <c r="I69" s="1812" t="s">
        <v>2955</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2971</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2957</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2958</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2972</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2964</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2965</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2962</v>
      </c>
      <c r="B76" s="2889" t="s">
        <v>2963</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2966</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2973</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2974</v>
      </c>
      <c r="B79" s="2880">
        <f>1+E81</f>
        <v>1</v>
      </c>
      <c r="C79" s="814"/>
      <c r="D79" s="814"/>
      <c r="E79" s="815"/>
      <c r="F79" s="2882"/>
      <c r="G79" s="6"/>
      <c r="H79" s="6"/>
      <c r="I79" s="6"/>
      <c r="J79" s="7"/>
      <c r="K79" s="7"/>
      <c r="L79" s="7"/>
      <c r="M79" s="7"/>
      <c r="N79" s="7"/>
      <c r="Z79" s="2725"/>
      <c r="AA79" s="2801"/>
      <c r="AG79" s="1375"/>
      <c r="AK79" s="2801"/>
    </row>
    <row r="80" spans="1:37" ht="24.75">
      <c r="A80" s="2883" t="s">
        <v>2948</v>
      </c>
      <c r="B80" s="1812"/>
      <c r="C80" s="1812" t="s">
        <v>2950</v>
      </c>
      <c r="D80" s="1812" t="s">
        <v>2951</v>
      </c>
      <c r="E80" s="819" t="s">
        <v>2952</v>
      </c>
      <c r="F80" s="2884" t="s">
        <v>2968</v>
      </c>
      <c r="G80" s="1812" t="s">
        <v>754</v>
      </c>
      <c r="H80" s="2885" t="s">
        <v>2954</v>
      </c>
      <c r="I80" s="1812" t="s">
        <v>2955</v>
      </c>
      <c r="J80" s="603" t="s">
        <v>2602</v>
      </c>
      <c r="K80" s="603" t="s">
        <v>2603</v>
      </c>
      <c r="L80" s="603" t="s">
        <v>2604</v>
      </c>
      <c r="M80" s="603" t="s">
        <v>2605</v>
      </c>
      <c r="N80" s="603" t="s">
        <v>2606</v>
      </c>
      <c r="Z80" s="2725"/>
      <c r="AA80" s="2801"/>
      <c r="AG80" s="1375"/>
      <c r="AK80" s="2801"/>
    </row>
    <row r="81" spans="1:37" ht="38.25">
      <c r="A81" s="2883" t="s">
        <v>2975</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2957</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2958</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2972</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2964</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2965</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2962</v>
      </c>
      <c r="B87" s="2889" t="s">
        <v>2976</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2977</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69" t="s">
        <v>2978</v>
      </c>
      <c r="B90" s="3269"/>
      <c r="C90" s="3269"/>
      <c r="D90" s="3269"/>
      <c r="E90" s="3269"/>
      <c r="F90" s="3269"/>
      <c r="G90" s="3269"/>
      <c r="H90" s="3269"/>
      <c r="I90" s="3269"/>
      <c r="J90" s="3269"/>
      <c r="K90" s="2897"/>
      <c r="L90" s="2897"/>
      <c r="M90" s="2897"/>
      <c r="N90" s="2897"/>
    </row>
    <row r="91" spans="1:37">
      <c r="A91" s="3271" t="s">
        <v>2979</v>
      </c>
      <c r="B91" s="3271" t="s">
        <v>2980</v>
      </c>
      <c r="C91" s="2851" t="s">
        <v>2981</v>
      </c>
      <c r="D91" s="2852"/>
      <c r="E91" s="2852"/>
      <c r="F91" s="2852"/>
      <c r="G91" s="2852"/>
      <c r="H91" s="2852"/>
      <c r="I91" s="2852"/>
      <c r="J91" s="2898"/>
      <c r="K91" s="2899"/>
      <c r="L91" s="2899"/>
      <c r="M91" s="2899"/>
      <c r="N91" s="2899"/>
    </row>
    <row r="92" spans="1:37">
      <c r="A92" s="3271"/>
      <c r="B92" s="3271"/>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72"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3"/>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2" t="s">
        <v>2983</v>
      </c>
      <c r="B101" s="2904" t="s">
        <v>2984</v>
      </c>
      <c r="C101" s="2905">
        <f>$G$3</f>
        <v>1.39</v>
      </c>
      <c r="D101" s="2905">
        <f t="shared" ref="D101:N101" si="31">$G$3</f>
        <v>1.39</v>
      </c>
      <c r="E101" s="2905">
        <f t="shared" si="31"/>
        <v>1.39</v>
      </c>
      <c r="F101" s="2905">
        <f t="shared" si="31"/>
        <v>1.39</v>
      </c>
      <c r="G101" s="2905">
        <f t="shared" si="31"/>
        <v>1.39</v>
      </c>
      <c r="H101" s="2905">
        <f t="shared" si="31"/>
        <v>1.39</v>
      </c>
      <c r="I101" s="2905">
        <f t="shared" si="31"/>
        <v>1.39</v>
      </c>
      <c r="J101" s="2905">
        <f t="shared" si="31"/>
        <v>1.39</v>
      </c>
      <c r="K101" s="2905">
        <f t="shared" si="31"/>
        <v>1.39</v>
      </c>
      <c r="L101" s="2905">
        <f t="shared" si="31"/>
        <v>1.39</v>
      </c>
      <c r="M101" s="2905">
        <f t="shared" si="31"/>
        <v>1.39</v>
      </c>
      <c r="N101" s="2905">
        <f t="shared" si="31"/>
        <v>1.39</v>
      </c>
    </row>
    <row r="102" spans="1:14">
      <c r="A102" s="3273"/>
      <c r="B102" s="2900">
        <v>1</v>
      </c>
      <c r="C102" s="2901">
        <f>1.9362/C101</f>
        <v>1.3929496402877699</v>
      </c>
      <c r="D102" s="2901">
        <f>1.9362/D101</f>
        <v>1.3929496402877699</v>
      </c>
      <c r="E102" s="2901">
        <f>1.8629/E101</f>
        <v>1.3402158273381295</v>
      </c>
      <c r="F102" s="2901">
        <f>1.8629/F101</f>
        <v>1.3402158273381295</v>
      </c>
      <c r="G102" s="2901">
        <f>1.8629/G101</f>
        <v>1.3402158273381295</v>
      </c>
      <c r="H102" s="2901">
        <f>1.8629/H101</f>
        <v>1.3402158273381295</v>
      </c>
      <c r="I102" s="2901">
        <f>1.8629/I101</f>
        <v>1.3402158273381295</v>
      </c>
      <c r="J102" s="2901">
        <f>1.942/J101</f>
        <v>1.3971223021582735</v>
      </c>
      <c r="K102" s="2901">
        <f>1.942/K101</f>
        <v>1.3971223021582735</v>
      </c>
      <c r="L102" s="2901">
        <f>1.942/L101</f>
        <v>1.3971223021582735</v>
      </c>
      <c r="M102" s="2901">
        <f>1.942/M101</f>
        <v>1.3971223021582735</v>
      </c>
      <c r="N102" s="2901">
        <f>1.942/N101</f>
        <v>1.3971223021582735</v>
      </c>
    </row>
    <row r="103" spans="1:14">
      <c r="A103" s="3273"/>
      <c r="B103" s="2900">
        <v>2</v>
      </c>
      <c r="C103" s="2901">
        <f>1.4198/C101</f>
        <v>1.0214388489208635</v>
      </c>
      <c r="D103" s="2901">
        <f>1.4198/D101</f>
        <v>1.0214388489208635</v>
      </c>
      <c r="E103" s="2901">
        <f>1.3372/E101</f>
        <v>0.96201438848920862</v>
      </c>
      <c r="F103" s="2901">
        <f>1.3372/F101</f>
        <v>0.96201438848920862</v>
      </c>
      <c r="G103" s="2901">
        <f>1.3372/G101</f>
        <v>0.96201438848920862</v>
      </c>
      <c r="H103" s="2901">
        <f>1.3372/H101</f>
        <v>0.96201438848920862</v>
      </c>
      <c r="I103" s="2901">
        <f>1.3372/I101</f>
        <v>0.96201438848920862</v>
      </c>
      <c r="J103" s="2901">
        <f>1.2799/J101</f>
        <v>0.9207913669064749</v>
      </c>
      <c r="K103" s="2901">
        <f>1.2799/K101</f>
        <v>0.9207913669064749</v>
      </c>
      <c r="L103" s="2901">
        <f>1.2799/L101</f>
        <v>0.9207913669064749</v>
      </c>
      <c r="M103" s="2901">
        <f>1.2799/M101</f>
        <v>0.9207913669064749</v>
      </c>
      <c r="N103" s="2901">
        <f>1.2799/N101</f>
        <v>0.9207913669064749</v>
      </c>
    </row>
    <row r="104" spans="1:14">
      <c r="A104" s="3273"/>
      <c r="B104" s="2900">
        <v>3</v>
      </c>
      <c r="C104" s="2901">
        <f>1.1594/C101</f>
        <v>0.83410071942446051</v>
      </c>
      <c r="D104" s="2901">
        <f>1.1594/D101</f>
        <v>0.83410071942446051</v>
      </c>
      <c r="E104" s="2901">
        <f>1.0788/E101</f>
        <v>0.77611510791366911</v>
      </c>
      <c r="F104" s="2901">
        <f>1.0788/F101</f>
        <v>0.77611510791366911</v>
      </c>
      <c r="G104" s="2901">
        <f>1.0788/G101</f>
        <v>0.77611510791366911</v>
      </c>
      <c r="H104" s="2901">
        <f>1.0788/H101</f>
        <v>0.77611510791366911</v>
      </c>
      <c r="I104" s="2901">
        <f>1.0788/I101</f>
        <v>0.77611510791366911</v>
      </c>
      <c r="J104" s="2901">
        <f>1.0072/J101</f>
        <v>0.72460431654676272</v>
      </c>
      <c r="K104" s="2901">
        <f>1.0072/K101</f>
        <v>0.72460431654676272</v>
      </c>
      <c r="L104" s="2901">
        <f>1.0072/L101</f>
        <v>0.72460431654676272</v>
      </c>
      <c r="M104" s="2901">
        <f>1.0072/M101</f>
        <v>0.72460431654676272</v>
      </c>
      <c r="N104" s="2901">
        <f>1.0072/N101</f>
        <v>0.72460431654676272</v>
      </c>
    </row>
    <row r="105" spans="1:14">
      <c r="A105" s="3273"/>
      <c r="B105" s="2900">
        <v>4</v>
      </c>
      <c r="C105" s="2901">
        <f>0.9622/C101</f>
        <v>0.69223021582733824</v>
      </c>
      <c r="D105" s="2901">
        <f>0.9622/D101</f>
        <v>0.69223021582733824</v>
      </c>
      <c r="E105" s="2901">
        <f>0.8656/E101</f>
        <v>0.62273381294964036</v>
      </c>
      <c r="F105" s="2901">
        <f>0.8656/F101</f>
        <v>0.62273381294964036</v>
      </c>
      <c r="G105" s="2901">
        <f>0.8656/G101</f>
        <v>0.62273381294964036</v>
      </c>
      <c r="H105" s="2901">
        <f>0.8656/H101</f>
        <v>0.62273381294964036</v>
      </c>
      <c r="I105" s="2901">
        <f>0.8656/I101</f>
        <v>0.62273381294964036</v>
      </c>
      <c r="J105" s="2901">
        <f>0.7525/J101</f>
        <v>0.54136690647482011</v>
      </c>
      <c r="K105" s="2901">
        <f>0.7525/K101</f>
        <v>0.54136690647482011</v>
      </c>
      <c r="L105" s="2901">
        <f>0.7525/L101</f>
        <v>0.54136690647482011</v>
      </c>
      <c r="M105" s="2901">
        <f>0.7525/M101</f>
        <v>0.54136690647482011</v>
      </c>
      <c r="N105" s="2901">
        <f>0.7525/N101</f>
        <v>0.54136690647482011</v>
      </c>
    </row>
    <row r="106" spans="1:14">
      <c r="A106" s="3273"/>
      <c r="B106" s="2900">
        <v>5</v>
      </c>
      <c r="C106" s="2901">
        <f>0.8417/C101</f>
        <v>0.60553956834532374</v>
      </c>
      <c r="D106" s="2901">
        <f>0.8417/D101</f>
        <v>0.60553956834532374</v>
      </c>
      <c r="E106" s="2901">
        <f>0.7371/E101</f>
        <v>0.53028776978417269</v>
      </c>
      <c r="F106" s="2901">
        <f>0.7371/F101</f>
        <v>0.53028776978417269</v>
      </c>
      <c r="G106" s="2901">
        <f>0.7371/G101</f>
        <v>0.53028776978417269</v>
      </c>
      <c r="H106" s="2901">
        <f>0.7371/H101</f>
        <v>0.53028776978417269</v>
      </c>
      <c r="I106" s="2901">
        <f>0.7371/I101</f>
        <v>0.53028776978417269</v>
      </c>
      <c r="J106" s="2901">
        <f>0.5659/J101</f>
        <v>0.40712230215827339</v>
      </c>
      <c r="K106" s="2901">
        <f>0.5659/K101</f>
        <v>0.40712230215827339</v>
      </c>
      <c r="L106" s="2901">
        <f>0.5659/L101</f>
        <v>0.40712230215827339</v>
      </c>
      <c r="M106" s="2901">
        <f>0.5659/M101</f>
        <v>0.40712230215827339</v>
      </c>
      <c r="N106" s="2901">
        <f>0.5659/N101</f>
        <v>0.40712230215827339</v>
      </c>
    </row>
    <row r="107" spans="1:14">
      <c r="A107" s="3273"/>
      <c r="B107" s="2900">
        <v>6</v>
      </c>
      <c r="C107" s="2901">
        <f>0.7608/C101</f>
        <v>0.54733812949640293</v>
      </c>
      <c r="D107" s="2901">
        <f>0.7608/D101</f>
        <v>0.54733812949640293</v>
      </c>
      <c r="E107" s="2901">
        <f>0.6482/E101</f>
        <v>0.46633093525179858</v>
      </c>
      <c r="F107" s="2901">
        <f>0.6482/F101</f>
        <v>0.46633093525179858</v>
      </c>
      <c r="G107" s="2901">
        <f>0.6482/G101</f>
        <v>0.46633093525179858</v>
      </c>
      <c r="H107" s="2901">
        <f>0.6482/H101</f>
        <v>0.46633093525179858</v>
      </c>
      <c r="I107" s="2901">
        <f>0.6482/I101</f>
        <v>0.46633093525179858</v>
      </c>
      <c r="J107" s="2901">
        <f>0.4525/J101</f>
        <v>0.32553956834532377</v>
      </c>
      <c r="K107" s="2901">
        <f>0.4525/K101</f>
        <v>0.32553956834532377</v>
      </c>
      <c r="L107" s="2901">
        <f>0.4525/L101</f>
        <v>0.32553956834532377</v>
      </c>
      <c r="M107" s="2901">
        <f>0.4525/M101</f>
        <v>0.32553956834532377</v>
      </c>
      <c r="N107" s="2901">
        <f>0.4525/N101</f>
        <v>0.32553956834532377</v>
      </c>
    </row>
    <row r="108" spans="1:14">
      <c r="A108" s="3273"/>
      <c r="B108" s="3129"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4"/>
      <c r="B109" s="3130"/>
      <c r="C109" s="2903">
        <f>(-0.163*(C108^2)-0.59*C108+7617)*(10^(-4))/C101</f>
        <v>0.54798561151079139</v>
      </c>
      <c r="D109" s="2903">
        <f>(-0.163*(D108^2)-0.59*D108+7617)*(10^(-4))/D101</f>
        <v>0.54798561151079139</v>
      </c>
      <c r="E109" s="2903">
        <f>(-0.161*(E108^2)-7.509*E108+6533)*(10^(-4))/E101</f>
        <v>0.47000000000000003</v>
      </c>
      <c r="F109" s="2903">
        <f>(-0.161*(F108^2)-7.509*F108+6533)*(10^(-4))/F101</f>
        <v>0.47000000000000003</v>
      </c>
      <c r="G109" s="2903">
        <f>(-0.161*(G108^2)-7.509*G108+6533)*(10^(-4))/G101</f>
        <v>0.47000000000000003</v>
      </c>
      <c r="H109" s="2903">
        <f>(-0.161*(H108^2)-7.509*H108+6533)*(10^(-4))/H101</f>
        <v>0.47000000000000003</v>
      </c>
      <c r="I109" s="2903">
        <f>(-0.161*(I108^2)-7.509*I108+6533)*(10^(-4))/I101</f>
        <v>0.47000000000000003</v>
      </c>
      <c r="J109" s="2903">
        <f>(-0.214*(J108^2)-21.991*J108+4665)*(10^(-4))/J101</f>
        <v>0.33561151079136697</v>
      </c>
      <c r="K109" s="2903">
        <f>(-0.214*(K108^2)-21.991*K108+4665)*(10^(-4))/K101</f>
        <v>0.33561151079136697</v>
      </c>
      <c r="L109" s="2903">
        <f>(-0.214*(L108^2)-21.991*L108+4665)*(10^(-4))/L101</f>
        <v>0.33561151079136697</v>
      </c>
      <c r="M109" s="2903">
        <f>(-0.214*(M108^2)-21.991*M108+4665)*(10^(-4))/M101</f>
        <v>0.33561151079136697</v>
      </c>
      <c r="N109" s="2903">
        <f>(-0.214*(N108^2)-21.991*N108+4665)*(10^(-4))/N101</f>
        <v>0.33561151079136697</v>
      </c>
    </row>
    <row r="110" spans="1:14">
      <c r="A110" s="3270" t="s">
        <v>2986</v>
      </c>
      <c r="B110" s="3270"/>
      <c r="C110" s="3270"/>
      <c r="D110" s="3270"/>
      <c r="E110" s="3270"/>
      <c r="F110" s="3270"/>
      <c r="G110" s="3270"/>
      <c r="H110" s="3270"/>
      <c r="I110" s="3270"/>
      <c r="J110" s="3270"/>
      <c r="K110" s="2906"/>
      <c r="L110" s="2906"/>
      <c r="M110" s="2906"/>
      <c r="N110" s="2906"/>
    </row>
    <row r="112" spans="1:14" ht="13.5" thickBot="1"/>
    <row r="113" spans="1:13" ht="25.5" thickBot="1">
      <c r="A113" s="903" t="s">
        <v>2987</v>
      </c>
      <c r="B113" s="1290">
        <f>G3</f>
        <v>1.39</v>
      </c>
      <c r="C113" s="904" t="s">
        <v>2988</v>
      </c>
      <c r="D113" s="905">
        <f>SUMPRODUCT((A115:A118=F113)*(B114:M114=H113)*B115:M118)</f>
        <v>0</v>
      </c>
      <c r="E113" s="2729" t="s">
        <v>2818</v>
      </c>
      <c r="F113" s="2908">
        <f>E2</f>
        <v>0</v>
      </c>
      <c r="G113" s="2729" t="s">
        <v>2819</v>
      </c>
      <c r="H113" s="2908" t="str">
        <f>G2</f>
        <v>五级</v>
      </c>
      <c r="I113" s="2729"/>
      <c r="J113" s="2909"/>
      <c r="K113" s="2909"/>
      <c r="L113" s="2909"/>
      <c r="M113" s="2909"/>
    </row>
    <row r="114" spans="1:13">
      <c r="A114" s="908"/>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9" t="s">
        <v>2883</v>
      </c>
      <c r="B115" s="910">
        <f>ROUND(0.9335-0.0094*B113,4)</f>
        <v>0.9204</v>
      </c>
      <c r="C115" s="910">
        <f>B115</f>
        <v>0.9204</v>
      </c>
      <c r="D115" s="910">
        <f>ROUND(0.8331-0.0109*B113,4)</f>
        <v>0.81789999999999996</v>
      </c>
      <c r="E115" s="910">
        <f>D115</f>
        <v>0.81789999999999996</v>
      </c>
      <c r="F115" s="910">
        <f>E115</f>
        <v>0.81789999999999996</v>
      </c>
      <c r="G115" s="910">
        <f>F115</f>
        <v>0.81789999999999996</v>
      </c>
      <c r="H115" s="910">
        <f>G115</f>
        <v>0.81789999999999996</v>
      </c>
      <c r="I115" s="910">
        <f>ROUND(0.689-0.0155*B113,4)</f>
        <v>0.66749999999999998</v>
      </c>
      <c r="J115" s="910">
        <f t="shared" ref="J115:M118" si="33">I115</f>
        <v>0.66749999999999998</v>
      </c>
      <c r="K115" s="910">
        <f t="shared" si="33"/>
        <v>0.66749999999999998</v>
      </c>
      <c r="L115" s="910">
        <f t="shared" si="33"/>
        <v>0.66749999999999998</v>
      </c>
      <c r="M115" s="911">
        <f t="shared" si="33"/>
        <v>0.66749999999999998</v>
      </c>
    </row>
    <row r="116" spans="1:13">
      <c r="A116" s="909" t="s">
        <v>2884</v>
      </c>
      <c r="B116" s="910">
        <f>ROUND(0.949-0.012*B113,4)</f>
        <v>0.93230000000000002</v>
      </c>
      <c r="C116" s="910">
        <f>B116</f>
        <v>0.93230000000000002</v>
      </c>
      <c r="D116" s="910">
        <f>ROUND(0.8567-0.013*B113,4)</f>
        <v>0.83860000000000001</v>
      </c>
      <c r="E116" s="910">
        <f t="shared" ref="E116:H117" si="34">D116</f>
        <v>0.83860000000000001</v>
      </c>
      <c r="F116" s="910">
        <f t="shared" si="34"/>
        <v>0.83860000000000001</v>
      </c>
      <c r="G116" s="910">
        <f t="shared" si="34"/>
        <v>0.83860000000000001</v>
      </c>
      <c r="H116" s="910">
        <f t="shared" si="34"/>
        <v>0.83860000000000001</v>
      </c>
      <c r="I116" s="910">
        <f>ROUND(0.7694-0.014*B113,4)</f>
        <v>0.74990000000000001</v>
      </c>
      <c r="J116" s="910">
        <f t="shared" si="33"/>
        <v>0.74990000000000001</v>
      </c>
      <c r="K116" s="910">
        <f t="shared" si="33"/>
        <v>0.74990000000000001</v>
      </c>
      <c r="L116" s="910">
        <f t="shared" si="33"/>
        <v>0.74990000000000001</v>
      </c>
      <c r="M116" s="911">
        <f t="shared" si="33"/>
        <v>0.74990000000000001</v>
      </c>
    </row>
    <row r="117" spans="1:13">
      <c r="A117" s="909" t="s">
        <v>2885</v>
      </c>
      <c r="B117" s="910">
        <f>ROUND(0.8808-0.006*B113,4)</f>
        <v>0.87250000000000005</v>
      </c>
      <c r="C117" s="910">
        <f>B117</f>
        <v>0.87250000000000005</v>
      </c>
      <c r="D117" s="910">
        <f>ROUND(0.8748-0.008*B113,4)</f>
        <v>0.86370000000000002</v>
      </c>
      <c r="E117" s="910">
        <f t="shared" si="34"/>
        <v>0.86370000000000002</v>
      </c>
      <c r="F117" s="910">
        <f t="shared" si="34"/>
        <v>0.86370000000000002</v>
      </c>
      <c r="G117" s="910">
        <f t="shared" si="34"/>
        <v>0.86370000000000002</v>
      </c>
      <c r="H117" s="910">
        <f t="shared" si="34"/>
        <v>0.86370000000000002</v>
      </c>
      <c r="I117" s="910">
        <f>ROUND(0.7412-0.0095*B113,4)</f>
        <v>0.72799999999999998</v>
      </c>
      <c r="J117" s="910">
        <f t="shared" si="33"/>
        <v>0.72799999999999998</v>
      </c>
      <c r="K117" s="910">
        <f t="shared" si="33"/>
        <v>0.72799999999999998</v>
      </c>
      <c r="L117" s="910">
        <f t="shared" si="33"/>
        <v>0.72799999999999998</v>
      </c>
      <c r="M117" s="911">
        <f t="shared" si="33"/>
        <v>0.72799999999999998</v>
      </c>
    </row>
    <row r="118" spans="1:13" ht="13.5" thickBot="1">
      <c r="A118" s="714" t="s">
        <v>2886</v>
      </c>
      <c r="B118" s="912">
        <f>ROUND(0.7275-0.01*B113,4)</f>
        <v>0.71360000000000001</v>
      </c>
      <c r="C118" s="912">
        <f>B118</f>
        <v>0.71360000000000001</v>
      </c>
      <c r="D118" s="912">
        <f>ROUND(0.7043-0.012*B113,4)</f>
        <v>0.68759999999999999</v>
      </c>
      <c r="E118" s="912">
        <f>D118</f>
        <v>0.68759999999999999</v>
      </c>
      <c r="F118" s="912">
        <f>E118</f>
        <v>0.68759999999999999</v>
      </c>
      <c r="G118" s="912">
        <f>ROUND(0.6299-0.0122*B113,4)</f>
        <v>0.6129</v>
      </c>
      <c r="H118" s="912">
        <f>G118</f>
        <v>0.6129</v>
      </c>
      <c r="I118" s="912">
        <f>ROUND(0.5667-0.0136*B113,4)</f>
        <v>0.54779999999999995</v>
      </c>
      <c r="J118" s="912">
        <f t="shared" si="33"/>
        <v>0.54779999999999995</v>
      </c>
      <c r="K118" s="912">
        <f t="shared" si="33"/>
        <v>0.54779999999999995</v>
      </c>
      <c r="L118" s="912">
        <f t="shared" si="33"/>
        <v>0.54779999999999995</v>
      </c>
      <c r="M118" s="913">
        <f t="shared" si="33"/>
        <v>0.54779999999999995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1.2079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33" sqref="A33:A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3009</v>
      </c>
    </row>
    <row r="2" spans="1:5" ht="15.75">
      <c r="A2" s="2915" t="s">
        <v>3001</v>
      </c>
      <c r="B2" s="2916" t="e">
        <f ca="1">SUMIF(B6:B13,"&lt;&gt;#ref!",B6:B13)</f>
        <v>#DIV/0!</v>
      </c>
      <c r="C2" s="2915" t="s">
        <v>3002</v>
      </c>
      <c r="D2" s="2915" t="s">
        <v>3003</v>
      </c>
      <c r="E2" s="2916">
        <f ca="1">SUMIF(E6:E13,"&lt;&gt;#ref!",E6:E13)</f>
        <v>0</v>
      </c>
    </row>
    <row r="3" spans="1:5" ht="15.75">
      <c r="A3" s="2915" t="s">
        <v>3004</v>
      </c>
      <c r="B3" s="2916" t="e">
        <f ca="1">ROUND(B2*10000/E2,0)</f>
        <v>#DIV/0!</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t="e">
        <f ca="1">SUMIF(INDIRECT("'"&amp;A6&amp;"'"&amp;"!A:A"),"总价",INDIRECT("'"&amp;A6&amp;"'"&amp;"!B:B"))</f>
        <v>#DIV/0!</v>
      </c>
      <c r="C6" s="2915" t="s">
        <v>3002</v>
      </c>
      <c r="D6" s="2917"/>
      <c r="E6" s="2580">
        <f ca="1">SUMIF(INDIRECT("'"&amp;A6&amp;"'"&amp;"!C:C"),"建筑面积",INDIRECT("'"&amp;A6&amp;"'"&amp;"!D:D"))</f>
        <v>0</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1630</v>
      </c>
      <c r="C4" s="2974"/>
      <c r="D4" s="2974"/>
      <c r="E4" s="1964"/>
    </row>
    <row r="5" spans="1:5" ht="16.5" thickTop="1">
      <c r="A5" s="1962"/>
      <c r="B5" s="2972" t="s">
        <v>1622</v>
      </c>
      <c r="C5" s="1965" t="s">
        <v>1623</v>
      </c>
      <c r="D5" s="1043">
        <f ca="1">结果表!H101</f>
        <v>20672</v>
      </c>
      <c r="E5" s="1962"/>
    </row>
    <row r="6" spans="1:5" ht="15.75">
      <c r="A6" s="1962"/>
      <c r="B6" s="2972"/>
      <c r="C6" s="1965" t="s">
        <v>1624</v>
      </c>
      <c r="D6" s="1043" t="str">
        <f ca="1">NUMBERSTRING(INT(D5*10000),2)&amp;"元整"</f>
        <v>贰亿零陆佰柒拾贰万元整</v>
      </c>
      <c r="E6" s="1962"/>
    </row>
    <row r="7" spans="1:5" ht="15.75">
      <c r="A7" s="1962"/>
      <c r="B7" s="2977"/>
      <c r="C7" s="1966" t="s">
        <v>1625</v>
      </c>
      <c r="D7" s="1044">
        <f ca="1">结果表!H102</f>
        <v>6346</v>
      </c>
      <c r="E7" s="1962"/>
    </row>
    <row r="8" spans="1:5" ht="15.75">
      <c r="A8" s="1962"/>
      <c r="B8" s="2978" t="str">
        <f>结果表!E103</f>
        <v>2.估价师知悉的法定优先受偿款</v>
      </c>
      <c r="C8" s="1967" t="s">
        <v>1626</v>
      </c>
      <c r="D8" s="1044">
        <f>结果表!H103</f>
        <v>0</v>
      </c>
      <c r="E8" s="1962"/>
    </row>
    <row r="9" spans="1:5" ht="15.75">
      <c r="A9" s="1962"/>
      <c r="B9" s="298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1" t="str">
        <f>结果表!E107</f>
        <v>3.房地产抵押价值</v>
      </c>
      <c r="C13" s="1970" t="s">
        <v>1623</v>
      </c>
      <c r="D13" s="1046">
        <f ca="1">结果表!H107</f>
        <v>20672</v>
      </c>
      <c r="E13" s="1962"/>
    </row>
    <row r="14" spans="1:5" ht="15.75">
      <c r="A14" s="1962"/>
      <c r="B14" s="2972"/>
      <c r="C14" s="1965" t="s">
        <v>1624</v>
      </c>
      <c r="D14" s="1043" t="str">
        <f ca="1">NUMBERSTRING(INT(D13*10000),2)&amp;"元整"</f>
        <v>贰亿零陆佰柒拾贰万元整</v>
      </c>
      <c r="E14" s="1962"/>
    </row>
    <row r="15" spans="1:5" ht="15">
      <c r="A15" s="1962"/>
      <c r="B15" s="2977"/>
      <c r="C15" s="1966" t="s">
        <v>1634</v>
      </c>
      <c r="D15" s="1055">
        <f ca="1">结果表!H108</f>
        <v>6346</v>
      </c>
      <c r="E15" s="1962"/>
    </row>
    <row r="16" spans="1:5" ht="15">
      <c r="A16" s="1962"/>
      <c r="B16" s="2978" t="str">
        <f>结果表!E109</f>
        <v>——</v>
      </c>
      <c r="C16" s="1970" t="s">
        <v>1635</v>
      </c>
      <c r="D16" s="1971" t="str">
        <f>结果表!H109</f>
        <v>——</v>
      </c>
      <c r="E16" s="1962"/>
    </row>
    <row r="17" spans="1:5" ht="15.75">
      <c r="A17" s="1962"/>
      <c r="B17" s="2979"/>
      <c r="C17" s="1965" t="s">
        <v>1636</v>
      </c>
      <c r="D17" s="1043" t="e">
        <f>NUMBERSTRING(INT(D16*10000),2)&amp;"元整"</f>
        <v>#VALUE!</v>
      </c>
      <c r="E17" s="1962"/>
    </row>
    <row r="18" spans="1:5" ht="15">
      <c r="A18" s="1962"/>
      <c r="B18" s="2980"/>
      <c r="C18" s="1966" t="s">
        <v>1625</v>
      </c>
      <c r="D18" s="1055" t="str">
        <f>结果表!H110</f>
        <v>——</v>
      </c>
      <c r="E18" s="1962"/>
    </row>
    <row r="19" spans="1:5" ht="15.75">
      <c r="A19" s="1962"/>
      <c r="B19" s="2971" t="str">
        <f>结果表!E111</f>
        <v>——</v>
      </c>
      <c r="C19" s="1970" t="s">
        <v>1623</v>
      </c>
      <c r="D19" s="1044" t="str">
        <f>结果表!H111</f>
        <v>——</v>
      </c>
      <c r="E19" s="1962"/>
    </row>
    <row r="20" spans="1:5" ht="15.75">
      <c r="A20" s="1962"/>
      <c r="B20" s="2972"/>
      <c r="C20" s="1965" t="s">
        <v>1636</v>
      </c>
      <c r="D20" s="1043" t="e">
        <f>NUMBERSTRING(INT(D19*10000),2)&amp;"元整"</f>
        <v>#VALUE!</v>
      </c>
      <c r="E20" s="1962"/>
    </row>
    <row r="21" spans="1:5" ht="15.75" thickBot="1">
      <c r="A21" s="1962"/>
      <c r="B21" s="297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A33" sqref="A33:A3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4" t="s">
        <v>1150</v>
      </c>
      <c r="C1" s="3284"/>
      <c r="D1" s="3284"/>
      <c r="E1" s="3284"/>
      <c r="F1" s="3284"/>
      <c r="G1" s="3283" t="s">
        <v>1151</v>
      </c>
      <c r="H1" s="3283"/>
      <c r="I1" s="3283"/>
      <c r="J1" s="3283"/>
      <c r="K1" s="3283"/>
      <c r="L1" s="3283"/>
      <c r="N1" s="3283" t="s">
        <v>1152</v>
      </c>
      <c r="O1" s="3283"/>
      <c r="P1" s="3283"/>
      <c r="Q1" s="3283"/>
      <c r="R1" s="1449"/>
      <c r="S1" s="3283" t="s">
        <v>1153</v>
      </c>
      <c r="T1" s="3283"/>
      <c r="U1" s="3283"/>
      <c r="V1" s="3283"/>
      <c r="X1" s="3282" t="s">
        <v>1154</v>
      </c>
      <c r="Y1" s="3283"/>
      <c r="Z1" s="3283"/>
      <c r="AA1" s="3283"/>
      <c r="AB1" s="3283"/>
      <c r="AD1" s="3282" t="s">
        <v>1155</v>
      </c>
      <c r="AE1" s="3283"/>
      <c r="AF1" s="3283"/>
      <c r="AG1" s="3283"/>
      <c r="AH1" s="328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3044</v>
      </c>
      <c r="B3" s="2935"/>
      <c r="C3" s="2935"/>
      <c r="D3" s="2936"/>
      <c r="E3" s="2936"/>
      <c r="F3" s="2935"/>
      <c r="G3" s="2937"/>
      <c r="H3" s="2938"/>
      <c r="I3" s="2939">
        <f>ROUND(AVERAGE($I7:$I22),2)</f>
        <v>2.4500000000000002</v>
      </c>
      <c r="J3" s="2939">
        <f>ROUND(AVERAGE($J7:$J22),2)</f>
        <v>1.65</v>
      </c>
      <c r="K3" s="2939">
        <f>ROUND(AVERAGE($K7:$K22),2)</f>
        <v>2.71</v>
      </c>
      <c r="L3" s="2939">
        <f>ROUND(AVERAGE($L7:$L22),2)</f>
        <v>1.39</v>
      </c>
      <c r="N3" s="2937"/>
      <c r="O3" s="2940"/>
      <c r="P3" s="2940"/>
      <c r="Q3" s="2940"/>
      <c r="R3" s="2940"/>
      <c r="S3" s="2937"/>
      <c r="T3" s="2940"/>
      <c r="U3" s="2940"/>
      <c r="V3" s="2940"/>
      <c r="W3" s="2932"/>
      <c r="X3" s="2941">
        <f>ROUND(SUMPRODUCT(PRODUCT(1+N3:N$21)),4)</f>
        <v>1.4517</v>
      </c>
      <c r="Y3" s="2941">
        <f>ROUND(SUMPRODUCT(PRODUCT(1+O3:O$21)),4)</f>
        <v>1.2928999999999999</v>
      </c>
      <c r="Z3" s="2941">
        <f t="shared" ref="Z3:Z19" si="0">Y3</f>
        <v>1.2928999999999999</v>
      </c>
      <c r="AA3" s="2941">
        <f>ROUND(SUMPRODUCT(PRODUCT(1+P3:P$21)),4)</f>
        <v>1.5068999999999999</v>
      </c>
      <c r="AB3" s="2941">
        <f>ROUND(SUMPRODUCT(PRODUCT(1+Q3:Q$21)),4)</f>
        <v>1.2557</v>
      </c>
      <c r="AD3" s="2942">
        <f>ROUND(AVERAGE(I3:I$22)/100,4)</f>
        <v>2.2800000000000001E-2</v>
      </c>
      <c r="AE3" s="2942">
        <f>ROUND(AVERAGE(J3:J$22)/100,4)</f>
        <v>1.5699999999999999E-2</v>
      </c>
      <c r="AF3" s="2942">
        <f t="shared" ref="AF3:AF20" si="1">AE3</f>
        <v>1.5699999999999999E-2</v>
      </c>
      <c r="AG3" s="2942">
        <f>ROUND(AVERAGE(K3:K$22)/100,4)</f>
        <v>2.5100000000000001E-2</v>
      </c>
      <c r="AH3" s="2942">
        <f>ROUND(AVERAGE(L3:L$22)/100,4)</f>
        <v>1.35E-2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2</v>
      </c>
      <c r="I5" s="2929">
        <v>0</v>
      </c>
      <c r="J5" s="2929">
        <v>0</v>
      </c>
      <c r="K5" s="2929">
        <v>0</v>
      </c>
      <c r="L5" s="2929">
        <v>0</v>
      </c>
      <c r="N5" s="1470">
        <f t="shared" ref="N5" si="7">I5/100</f>
        <v>0</v>
      </c>
      <c r="O5" s="1470">
        <f t="shared" ref="O5" si="8">J5/100</f>
        <v>0</v>
      </c>
      <c r="P5" s="1470">
        <f t="shared" ref="P5" si="9">K5/100</f>
        <v>0</v>
      </c>
      <c r="Q5" s="1470">
        <f t="shared" ref="Q5" si="10">L5/100</f>
        <v>0</v>
      </c>
      <c r="R5" s="1735"/>
      <c r="S5" s="1736"/>
      <c r="T5" s="1735"/>
      <c r="U5" s="1735"/>
      <c r="V5" s="1735"/>
      <c r="W5" s="2933" t="s">
        <v>3045</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3043</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5">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3040</v>
      </c>
      <c r="B7" s="1472">
        <v>439</v>
      </c>
      <c r="C7" s="1472">
        <v>327</v>
      </c>
      <c r="D7" s="1472">
        <f>C7</f>
        <v>327</v>
      </c>
      <c r="E7" s="1472">
        <v>627</v>
      </c>
      <c r="F7" s="1473">
        <v>283</v>
      </c>
      <c r="G7" s="2931">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3041</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7"/>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6"/>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7"/>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85">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0"/>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0"/>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1"/>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9">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0"/>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0"/>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1"/>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9">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0"/>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0"/>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1"/>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6">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7"/>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7"/>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8"/>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9">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0"/>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0"/>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1"/>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9">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0">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0">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1">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9">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0">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0">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1">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9">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0">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0">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1">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9">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0">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0">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1">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9">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0">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0">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1">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9">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0">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0">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1">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9">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0">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0">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1">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9">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0">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0">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1">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9">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0">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0">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1">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9">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0">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0">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1">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61" sqref="O61"/>
      <selection pane="bottomLeft" activeCell="O61" sqref="O6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290" t="s">
        <v>3012</v>
      </c>
      <c r="D1" s="3291"/>
      <c r="E1" s="3291"/>
      <c r="F1" s="3291"/>
      <c r="G1" s="3291"/>
      <c r="H1" s="3291"/>
      <c r="I1" s="3291"/>
      <c r="J1" s="3291"/>
      <c r="K1" s="3291"/>
      <c r="L1" s="3291"/>
      <c r="M1" s="3291"/>
      <c r="N1" s="3291"/>
      <c r="O1" s="3291"/>
      <c r="P1" s="3291"/>
      <c r="Q1" s="3291"/>
      <c r="R1" s="3291"/>
      <c r="S1" s="3292"/>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3021</v>
      </c>
      <c r="B17" s="2922"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3023</v>
      </c>
      <c r="E19" s="1795"/>
      <c r="F19" s="1795"/>
      <c r="G19" s="1795"/>
      <c r="H19" s="1283"/>
      <c r="I19" s="168"/>
      <c r="J19" s="168"/>
      <c r="K19" s="168"/>
      <c r="L19" s="168"/>
      <c r="M19" s="168"/>
      <c r="N19" s="168"/>
      <c r="O19" s="168"/>
      <c r="P19" s="168"/>
      <c r="Q19" s="168"/>
      <c r="R19" s="788"/>
      <c r="S19" s="138"/>
    </row>
    <row r="20" spans="1:45" ht="16.5" thickBot="1">
      <c r="A20" s="715" t="s">
        <v>3024</v>
      </c>
      <c r="B20" s="338" t="e">
        <f ca="1">IF(D20="——",S22,S22-F20)</f>
        <v>#REF!</v>
      </c>
      <c r="C20" s="168"/>
      <c r="D20" s="2924" t="s">
        <v>3025</v>
      </c>
      <c r="E20" s="1796"/>
      <c r="F20" s="1207" t="e">
        <f ca="1">SUMIF(INDIRECT("'"&amp;H20&amp;"'"&amp;"!A:A"),"承租人权益价值",INDIRECT("'"&amp;H20&amp;"'"&amp;"!c:c"))</f>
        <v>#REF!</v>
      </c>
      <c r="G20" s="1207" t="s">
        <v>3026</v>
      </c>
      <c r="H20" s="2925"/>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51" t="s">
        <v>33</v>
      </c>
      <c r="D22" s="3152"/>
      <c r="E22" s="3152"/>
      <c r="F22" s="3152"/>
      <c r="G22" s="3152"/>
      <c r="H22" s="3152"/>
      <c r="I22" s="3152"/>
      <c r="J22" s="3152"/>
      <c r="K22" s="3152"/>
      <c r="L22" s="3152"/>
      <c r="M22" s="3152"/>
      <c r="N22" s="3152"/>
      <c r="O22" s="3152"/>
      <c r="P22" s="3152"/>
      <c r="Q22" s="3289"/>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33882</v>
      </c>
      <c r="C2" s="2" t="s">
        <v>133</v>
      </c>
      <c r="D2" s="243"/>
      <c r="E2" s="243"/>
      <c r="F2" s="243"/>
      <c r="G2" s="243"/>
    </row>
    <row r="3" spans="1:7" s="244" customFormat="1" ht="18" customHeight="1" thickBot="1">
      <c r="A3" s="247" t="s">
        <v>85</v>
      </c>
      <c r="B3" s="248">
        <f ca="1">ROUND(B2*10000/'数据-汇总表'!E3,0)</f>
        <v>10402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651</v>
      </c>
      <c r="D10" s="1035">
        <f>'数据-汇总表'!E6</f>
        <v>32573.120000000003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554</v>
      </c>
      <c r="D19" s="1039">
        <f>'数据-汇总表'!E3</f>
        <v>32573.120000000003</v>
      </c>
      <c r="E19" s="255">
        <f>'数据-取费表'!B31</f>
        <v>170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1434</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1383</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37</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1964</v>
      </c>
      <c r="D27" s="279">
        <f>C29</f>
        <v>1.8E-3</v>
      </c>
      <c r="E27" s="280" t="s">
        <v>126</v>
      </c>
      <c r="F27" s="290">
        <f>'数据-取费表'!Q16</f>
        <v>0.13</v>
      </c>
      <c r="G27" s="291" t="s">
        <v>1069</v>
      </c>
    </row>
    <row r="28" spans="1:7" s="258" customFormat="1" ht="13.5" customHeight="1">
      <c r="A28" s="954" t="s">
        <v>794</v>
      </c>
      <c r="B28" s="292" t="s">
        <v>1062</v>
      </c>
      <c r="C28" s="293">
        <f>ROUND((C5+C19+C20)*F27*'数据-取费表'!B21/'数据-取费表'!B20,0)</f>
        <v>1964</v>
      </c>
      <c r="D28" s="279"/>
      <c r="E28" s="280"/>
      <c r="F28" s="290"/>
      <c r="G28" s="291"/>
    </row>
    <row r="29" spans="1:7" s="258" customFormat="1" ht="13.5" customHeight="1">
      <c r="A29" s="954" t="s">
        <v>792</v>
      </c>
      <c r="B29" s="292" t="s">
        <v>1063</v>
      </c>
      <c r="C29" s="282">
        <f>ROUND(C21*F27*'数据-取费表'!B21/'数据-取费表'!B20,4)</f>
        <v>1.8E-3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27035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4756</v>
      </c>
      <c r="D34" s="261"/>
      <c r="E34" s="264"/>
      <c r="F34" s="301">
        <f>IF('数据-取费表'!B24=0,1,'数据-取费表'!N16)</f>
        <v>0.55000000000000004</v>
      </c>
      <c r="G34" s="263" t="s">
        <v>116</v>
      </c>
    </row>
    <row r="35" spans="1:7" ht="13.5" customHeight="1">
      <c r="A35" s="954" t="s">
        <v>796</v>
      </c>
      <c r="B35" s="259" t="s">
        <v>60</v>
      </c>
      <c r="C35" s="264">
        <f>ROUND(C34*F35,0)</f>
        <v>143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358</v>
      </c>
      <c r="D37" s="261">
        <f>'数据-汇总表'!E3</f>
        <v>32573.120000000003</v>
      </c>
      <c r="E37" s="293">
        <f>'数据-取费表'!B35</f>
        <v>200</v>
      </c>
      <c r="F37" s="303"/>
      <c r="G37" s="305" t="s">
        <v>119</v>
      </c>
    </row>
    <row r="38" spans="1:7" ht="13.5" customHeight="1">
      <c r="A38" s="954" t="s">
        <v>799</v>
      </c>
      <c r="B38" s="259" t="s">
        <v>63</v>
      </c>
      <c r="C38" s="264">
        <f>ROUND(C34*F38,0)</f>
        <v>71</v>
      </c>
      <c r="D38" s="264"/>
      <c r="E38" s="264"/>
      <c r="F38" s="303">
        <f>'数据-取费表'!B36</f>
        <v>1.4999999999999999E-2</v>
      </c>
      <c r="G38" s="263" t="s">
        <v>117</v>
      </c>
    </row>
    <row r="39" spans="1:7" s="258" customFormat="1" ht="13.5" customHeight="1">
      <c r="A39" s="951" t="s">
        <v>783</v>
      </c>
      <c r="B39" s="254" t="s">
        <v>104</v>
      </c>
      <c r="C39" s="276">
        <f>ROUND(C33*F20,0)</f>
        <v>107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180</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176</v>
      </c>
      <c r="D42" s="282"/>
      <c r="E42" s="282"/>
      <c r="F42" s="283"/>
      <c r="G42" s="3156" t="s">
        <v>121</v>
      </c>
    </row>
    <row r="43" spans="1:7" ht="13.5" customHeight="1">
      <c r="A43" s="954" t="s">
        <v>792</v>
      </c>
      <c r="B43" s="259" t="s">
        <v>1064</v>
      </c>
      <c r="C43" s="282">
        <f ca="1">ROUND(IF('数据-取费表'!B22&lt;=1,C39*F22*'数据-取费表'!B21/2,C39*(POWER((1+F22),'数据-取费表'!B21/2)-1)),0)</f>
        <v>4</v>
      </c>
      <c r="D43" s="282"/>
      <c r="E43" s="282"/>
      <c r="F43" s="283"/>
      <c r="G43" s="3157"/>
    </row>
    <row r="44" spans="1:7" ht="13.5" customHeight="1">
      <c r="A44" s="954" t="s">
        <v>793</v>
      </c>
      <c r="B44" s="259" t="s">
        <v>1066</v>
      </c>
      <c r="C44" s="282">
        <f ca="1">ROUND(IF('数据-取费表'!B22&lt;=1,C40*F22*'数据-取费表'!B21/2,C40*(POWER((1+F22),'数据-取费表'!B21/2)-1)),4)</f>
        <v>6.9999999999999999E-4</v>
      </c>
      <c r="D44" s="282"/>
      <c r="E44" s="282"/>
      <c r="F44" s="283"/>
      <c r="G44" s="3158"/>
    </row>
    <row r="45" spans="1:7" s="258" customFormat="1" ht="13.5" customHeight="1">
      <c r="A45" s="951" t="s">
        <v>786</v>
      </c>
      <c r="B45" s="288" t="s">
        <v>112</v>
      </c>
      <c r="C45" s="289">
        <f>C46</f>
        <v>707</v>
      </c>
      <c r="D45" s="279">
        <f>C47</f>
        <v>2.5999999999999999E-3</v>
      </c>
      <c r="E45" s="280" t="s">
        <v>129</v>
      </c>
      <c r="F45" s="290"/>
      <c r="G45" s="291" t="s">
        <v>1072</v>
      </c>
    </row>
    <row r="46" spans="1:7" s="258" customFormat="1" ht="13.5" customHeight="1">
      <c r="A46" s="954" t="s">
        <v>794</v>
      </c>
      <c r="B46" s="292" t="s">
        <v>1065</v>
      </c>
      <c r="C46" s="293">
        <f>ROUND((C33+C39)*F27,0)</f>
        <v>707</v>
      </c>
      <c r="D46" s="307"/>
      <c r="E46" s="280"/>
      <c r="F46" s="290"/>
      <c r="G46" s="291"/>
    </row>
    <row r="47" spans="1:7" s="258" customFormat="1" ht="13.5" customHeight="1">
      <c r="A47" s="954" t="s">
        <v>792</v>
      </c>
      <c r="B47" s="292" t="s">
        <v>1067</v>
      </c>
      <c r="C47" s="282">
        <f>ROUND(C40*F27,4)</f>
        <v>2.5999999999999999E-3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6847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6847</v>
      </c>
      <c r="D51" s="276"/>
      <c r="E51" s="276"/>
      <c r="F51" s="308"/>
      <c r="G51" s="278" t="s">
        <v>64</v>
      </c>
    </row>
    <row r="52" spans="1:7" s="252" customFormat="1" ht="16.5" thickBot="1">
      <c r="A52" s="309" t="s">
        <v>65</v>
      </c>
      <c r="B52" s="310"/>
      <c r="C52" s="311">
        <f ca="1">C31+C51</f>
        <v>33882</v>
      </c>
      <c r="D52" s="310"/>
      <c r="E52" s="310"/>
      <c r="F52" s="310"/>
      <c r="G52" s="312"/>
    </row>
    <row r="55" spans="1:7" ht="15">
      <c r="B55" s="314" t="s">
        <v>66</v>
      </c>
      <c r="C55" s="315"/>
    </row>
    <row r="56" spans="1:7">
      <c r="B56" s="317" t="s">
        <v>67</v>
      </c>
      <c r="C56" s="318">
        <f ca="1">ROUND(C51/C52,3)</f>
        <v>0.20200000000000001</v>
      </c>
    </row>
    <row r="57" spans="1:7">
      <c r="B57" s="317" t="s">
        <v>68</v>
      </c>
      <c r="C57" s="319">
        <f ca="1">1-C56</f>
        <v>0.79800000000000004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871</v>
      </c>
      <c r="B1" s="329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43276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0" workbookViewId="0">
      <selection activeCell="N57" sqref="N57"/>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51"/>
  <sheetViews>
    <sheetView topLeftCell="D1" workbookViewId="0">
      <selection activeCell="B10" sqref="B10"/>
    </sheetView>
  </sheetViews>
  <sheetFormatPr defaultRowHeight="12.75"/>
  <cols>
    <col min="1" max="1" width="56.125" style="2966" customWidth="1"/>
    <col min="2" max="2" width="6.25" style="2966" customWidth="1"/>
    <col min="3" max="3" width="7.875" style="2966" customWidth="1"/>
    <col min="4" max="5" width="13.875" style="2966" customWidth="1"/>
    <col min="6" max="6" width="8.75" style="2966" customWidth="1"/>
    <col min="7" max="7" width="7.875" style="2966" customWidth="1"/>
    <col min="8" max="8" width="9" style="2966" customWidth="1"/>
    <col min="9" max="10" width="10.625" style="2966" customWidth="1"/>
    <col min="11" max="11" width="14.375" style="2966" customWidth="1"/>
    <col min="12" max="12" width="6.25" style="2966" customWidth="1"/>
    <col min="13" max="13" width="34.375" style="2966" customWidth="1"/>
    <col min="14" max="256" width="9" style="2966"/>
    <col min="257" max="257" width="56.125" style="2966" customWidth="1"/>
    <col min="258" max="258" width="6.25" style="2966" customWidth="1"/>
    <col min="259" max="259" width="7.875" style="2966" customWidth="1"/>
    <col min="260" max="261" width="13.875" style="2966" customWidth="1"/>
    <col min="262" max="262" width="8.75" style="2966" customWidth="1"/>
    <col min="263" max="263" width="7.875" style="2966" customWidth="1"/>
    <col min="264" max="264" width="9" style="2966" customWidth="1"/>
    <col min="265" max="266" width="10.625" style="2966" customWidth="1"/>
    <col min="267" max="267" width="14.375" style="2966" customWidth="1"/>
    <col min="268" max="268" width="6.25" style="2966" customWidth="1"/>
    <col min="269" max="269" width="34.375" style="2966" customWidth="1"/>
    <col min="270" max="512" width="9" style="2966"/>
    <col min="513" max="513" width="56.125" style="2966" customWidth="1"/>
    <col min="514" max="514" width="6.25" style="2966" customWidth="1"/>
    <col min="515" max="515" width="7.875" style="2966" customWidth="1"/>
    <col min="516" max="517" width="13.875" style="2966" customWidth="1"/>
    <col min="518" max="518" width="8.75" style="2966" customWidth="1"/>
    <col min="519" max="519" width="7.875" style="2966" customWidth="1"/>
    <col min="520" max="520" width="9" style="2966" customWidth="1"/>
    <col min="521" max="522" width="10.625" style="2966" customWidth="1"/>
    <col min="523" max="523" width="14.375" style="2966" customWidth="1"/>
    <col min="524" max="524" width="6.25" style="2966" customWidth="1"/>
    <col min="525" max="525" width="34.375" style="2966" customWidth="1"/>
    <col min="526" max="768" width="9" style="2966"/>
    <col min="769" max="769" width="56.125" style="2966" customWidth="1"/>
    <col min="770" max="770" width="6.25" style="2966" customWidth="1"/>
    <col min="771" max="771" width="7.875" style="2966" customWidth="1"/>
    <col min="772" max="773" width="13.875" style="2966" customWidth="1"/>
    <col min="774" max="774" width="8.75" style="2966" customWidth="1"/>
    <col min="775" max="775" width="7.875" style="2966" customWidth="1"/>
    <col min="776" max="776" width="9" style="2966" customWidth="1"/>
    <col min="777" max="778" width="10.625" style="2966" customWidth="1"/>
    <col min="779" max="779" width="14.375" style="2966" customWidth="1"/>
    <col min="780" max="780" width="6.25" style="2966" customWidth="1"/>
    <col min="781" max="781" width="34.375" style="2966" customWidth="1"/>
    <col min="782" max="1024" width="9" style="2966"/>
    <col min="1025" max="1025" width="56.125" style="2966" customWidth="1"/>
    <col min="1026" max="1026" width="6.25" style="2966" customWidth="1"/>
    <col min="1027" max="1027" width="7.875" style="2966" customWidth="1"/>
    <col min="1028" max="1029" width="13.875" style="2966" customWidth="1"/>
    <col min="1030" max="1030" width="8.75" style="2966" customWidth="1"/>
    <col min="1031" max="1031" width="7.875" style="2966" customWidth="1"/>
    <col min="1032" max="1032" width="9" style="2966" customWidth="1"/>
    <col min="1033" max="1034" width="10.625" style="2966" customWidth="1"/>
    <col min="1035" max="1035" width="14.375" style="2966" customWidth="1"/>
    <col min="1036" max="1036" width="6.25" style="2966" customWidth="1"/>
    <col min="1037" max="1037" width="34.375" style="2966" customWidth="1"/>
    <col min="1038" max="1280" width="9" style="2966"/>
    <col min="1281" max="1281" width="56.125" style="2966" customWidth="1"/>
    <col min="1282" max="1282" width="6.25" style="2966" customWidth="1"/>
    <col min="1283" max="1283" width="7.875" style="2966" customWidth="1"/>
    <col min="1284" max="1285" width="13.875" style="2966" customWidth="1"/>
    <col min="1286" max="1286" width="8.75" style="2966" customWidth="1"/>
    <col min="1287" max="1287" width="7.875" style="2966" customWidth="1"/>
    <col min="1288" max="1288" width="9" style="2966" customWidth="1"/>
    <col min="1289" max="1290" width="10.625" style="2966" customWidth="1"/>
    <col min="1291" max="1291" width="14.375" style="2966" customWidth="1"/>
    <col min="1292" max="1292" width="6.25" style="2966" customWidth="1"/>
    <col min="1293" max="1293" width="34.375" style="2966" customWidth="1"/>
    <col min="1294" max="1536" width="9" style="2966"/>
    <col min="1537" max="1537" width="56.125" style="2966" customWidth="1"/>
    <col min="1538" max="1538" width="6.25" style="2966" customWidth="1"/>
    <col min="1539" max="1539" width="7.875" style="2966" customWidth="1"/>
    <col min="1540" max="1541" width="13.875" style="2966" customWidth="1"/>
    <col min="1542" max="1542" width="8.75" style="2966" customWidth="1"/>
    <col min="1543" max="1543" width="7.875" style="2966" customWidth="1"/>
    <col min="1544" max="1544" width="9" style="2966" customWidth="1"/>
    <col min="1545" max="1546" width="10.625" style="2966" customWidth="1"/>
    <col min="1547" max="1547" width="14.375" style="2966" customWidth="1"/>
    <col min="1548" max="1548" width="6.25" style="2966" customWidth="1"/>
    <col min="1549" max="1549" width="34.375" style="2966" customWidth="1"/>
    <col min="1550" max="1792" width="9" style="2966"/>
    <col min="1793" max="1793" width="56.125" style="2966" customWidth="1"/>
    <col min="1794" max="1794" width="6.25" style="2966" customWidth="1"/>
    <col min="1795" max="1795" width="7.875" style="2966" customWidth="1"/>
    <col min="1796" max="1797" width="13.875" style="2966" customWidth="1"/>
    <col min="1798" max="1798" width="8.75" style="2966" customWidth="1"/>
    <col min="1799" max="1799" width="7.875" style="2966" customWidth="1"/>
    <col min="1800" max="1800" width="9" style="2966" customWidth="1"/>
    <col min="1801" max="1802" width="10.625" style="2966" customWidth="1"/>
    <col min="1803" max="1803" width="14.375" style="2966" customWidth="1"/>
    <col min="1804" max="1804" width="6.25" style="2966" customWidth="1"/>
    <col min="1805" max="1805" width="34.375" style="2966" customWidth="1"/>
    <col min="1806" max="2048" width="9" style="2966"/>
    <col min="2049" max="2049" width="56.125" style="2966" customWidth="1"/>
    <col min="2050" max="2050" width="6.25" style="2966" customWidth="1"/>
    <col min="2051" max="2051" width="7.875" style="2966" customWidth="1"/>
    <col min="2052" max="2053" width="13.875" style="2966" customWidth="1"/>
    <col min="2054" max="2054" width="8.75" style="2966" customWidth="1"/>
    <col min="2055" max="2055" width="7.875" style="2966" customWidth="1"/>
    <col min="2056" max="2056" width="9" style="2966" customWidth="1"/>
    <col min="2057" max="2058" width="10.625" style="2966" customWidth="1"/>
    <col min="2059" max="2059" width="14.375" style="2966" customWidth="1"/>
    <col min="2060" max="2060" width="6.25" style="2966" customWidth="1"/>
    <col min="2061" max="2061" width="34.375" style="2966" customWidth="1"/>
    <col min="2062" max="2304" width="9" style="2966"/>
    <col min="2305" max="2305" width="56.125" style="2966" customWidth="1"/>
    <col min="2306" max="2306" width="6.25" style="2966" customWidth="1"/>
    <col min="2307" max="2307" width="7.875" style="2966" customWidth="1"/>
    <col min="2308" max="2309" width="13.875" style="2966" customWidth="1"/>
    <col min="2310" max="2310" width="8.75" style="2966" customWidth="1"/>
    <col min="2311" max="2311" width="7.875" style="2966" customWidth="1"/>
    <col min="2312" max="2312" width="9" style="2966" customWidth="1"/>
    <col min="2313" max="2314" width="10.625" style="2966" customWidth="1"/>
    <col min="2315" max="2315" width="14.375" style="2966" customWidth="1"/>
    <col min="2316" max="2316" width="6.25" style="2966" customWidth="1"/>
    <col min="2317" max="2317" width="34.375" style="2966" customWidth="1"/>
    <col min="2318" max="2560" width="9" style="2966"/>
    <col min="2561" max="2561" width="56.125" style="2966" customWidth="1"/>
    <col min="2562" max="2562" width="6.25" style="2966" customWidth="1"/>
    <col min="2563" max="2563" width="7.875" style="2966" customWidth="1"/>
    <col min="2564" max="2565" width="13.875" style="2966" customWidth="1"/>
    <col min="2566" max="2566" width="8.75" style="2966" customWidth="1"/>
    <col min="2567" max="2567" width="7.875" style="2966" customWidth="1"/>
    <col min="2568" max="2568" width="9" style="2966" customWidth="1"/>
    <col min="2569" max="2570" width="10.625" style="2966" customWidth="1"/>
    <col min="2571" max="2571" width="14.375" style="2966" customWidth="1"/>
    <col min="2572" max="2572" width="6.25" style="2966" customWidth="1"/>
    <col min="2573" max="2573" width="34.375" style="2966" customWidth="1"/>
    <col min="2574" max="2816" width="9" style="2966"/>
    <col min="2817" max="2817" width="56.125" style="2966" customWidth="1"/>
    <col min="2818" max="2818" width="6.25" style="2966" customWidth="1"/>
    <col min="2819" max="2819" width="7.875" style="2966" customWidth="1"/>
    <col min="2820" max="2821" width="13.875" style="2966" customWidth="1"/>
    <col min="2822" max="2822" width="8.75" style="2966" customWidth="1"/>
    <col min="2823" max="2823" width="7.875" style="2966" customWidth="1"/>
    <col min="2824" max="2824" width="9" style="2966" customWidth="1"/>
    <col min="2825" max="2826" width="10.625" style="2966" customWidth="1"/>
    <col min="2827" max="2827" width="14.375" style="2966" customWidth="1"/>
    <col min="2828" max="2828" width="6.25" style="2966" customWidth="1"/>
    <col min="2829" max="2829" width="34.375" style="2966" customWidth="1"/>
    <col min="2830" max="3072" width="9" style="2966"/>
    <col min="3073" max="3073" width="56.125" style="2966" customWidth="1"/>
    <col min="3074" max="3074" width="6.25" style="2966" customWidth="1"/>
    <col min="3075" max="3075" width="7.875" style="2966" customWidth="1"/>
    <col min="3076" max="3077" width="13.875" style="2966" customWidth="1"/>
    <col min="3078" max="3078" width="8.75" style="2966" customWidth="1"/>
    <col min="3079" max="3079" width="7.875" style="2966" customWidth="1"/>
    <col min="3080" max="3080" width="9" style="2966" customWidth="1"/>
    <col min="3081" max="3082" width="10.625" style="2966" customWidth="1"/>
    <col min="3083" max="3083" width="14.375" style="2966" customWidth="1"/>
    <col min="3084" max="3084" width="6.25" style="2966" customWidth="1"/>
    <col min="3085" max="3085" width="34.375" style="2966" customWidth="1"/>
    <col min="3086" max="3328" width="9" style="2966"/>
    <col min="3329" max="3329" width="56.125" style="2966" customWidth="1"/>
    <col min="3330" max="3330" width="6.25" style="2966" customWidth="1"/>
    <col min="3331" max="3331" width="7.875" style="2966" customWidth="1"/>
    <col min="3332" max="3333" width="13.875" style="2966" customWidth="1"/>
    <col min="3334" max="3334" width="8.75" style="2966" customWidth="1"/>
    <col min="3335" max="3335" width="7.875" style="2966" customWidth="1"/>
    <col min="3336" max="3336" width="9" style="2966" customWidth="1"/>
    <col min="3337" max="3338" width="10.625" style="2966" customWidth="1"/>
    <col min="3339" max="3339" width="14.375" style="2966" customWidth="1"/>
    <col min="3340" max="3340" width="6.25" style="2966" customWidth="1"/>
    <col min="3341" max="3341" width="34.375" style="2966" customWidth="1"/>
    <col min="3342" max="3584" width="9" style="2966"/>
    <col min="3585" max="3585" width="56.125" style="2966" customWidth="1"/>
    <col min="3586" max="3586" width="6.25" style="2966" customWidth="1"/>
    <col min="3587" max="3587" width="7.875" style="2966" customWidth="1"/>
    <col min="3588" max="3589" width="13.875" style="2966" customWidth="1"/>
    <col min="3590" max="3590" width="8.75" style="2966" customWidth="1"/>
    <col min="3591" max="3591" width="7.875" style="2966" customWidth="1"/>
    <col min="3592" max="3592" width="9" style="2966" customWidth="1"/>
    <col min="3593" max="3594" width="10.625" style="2966" customWidth="1"/>
    <col min="3595" max="3595" width="14.375" style="2966" customWidth="1"/>
    <col min="3596" max="3596" width="6.25" style="2966" customWidth="1"/>
    <col min="3597" max="3597" width="34.375" style="2966" customWidth="1"/>
    <col min="3598" max="3840" width="9" style="2966"/>
    <col min="3841" max="3841" width="56.125" style="2966" customWidth="1"/>
    <col min="3842" max="3842" width="6.25" style="2966" customWidth="1"/>
    <col min="3843" max="3843" width="7.875" style="2966" customWidth="1"/>
    <col min="3844" max="3845" width="13.875" style="2966" customWidth="1"/>
    <col min="3846" max="3846" width="8.75" style="2966" customWidth="1"/>
    <col min="3847" max="3847" width="7.875" style="2966" customWidth="1"/>
    <col min="3848" max="3848" width="9" style="2966" customWidth="1"/>
    <col min="3849" max="3850" width="10.625" style="2966" customWidth="1"/>
    <col min="3851" max="3851" width="14.375" style="2966" customWidth="1"/>
    <col min="3852" max="3852" width="6.25" style="2966" customWidth="1"/>
    <col min="3853" max="3853" width="34.375" style="2966" customWidth="1"/>
    <col min="3854" max="4096" width="9" style="2966"/>
    <col min="4097" max="4097" width="56.125" style="2966" customWidth="1"/>
    <col min="4098" max="4098" width="6.25" style="2966" customWidth="1"/>
    <col min="4099" max="4099" width="7.875" style="2966" customWidth="1"/>
    <col min="4100" max="4101" width="13.875" style="2966" customWidth="1"/>
    <col min="4102" max="4102" width="8.75" style="2966" customWidth="1"/>
    <col min="4103" max="4103" width="7.875" style="2966" customWidth="1"/>
    <col min="4104" max="4104" width="9" style="2966" customWidth="1"/>
    <col min="4105" max="4106" width="10.625" style="2966" customWidth="1"/>
    <col min="4107" max="4107" width="14.375" style="2966" customWidth="1"/>
    <col min="4108" max="4108" width="6.25" style="2966" customWidth="1"/>
    <col min="4109" max="4109" width="34.375" style="2966" customWidth="1"/>
    <col min="4110" max="4352" width="9" style="2966"/>
    <col min="4353" max="4353" width="56.125" style="2966" customWidth="1"/>
    <col min="4354" max="4354" width="6.25" style="2966" customWidth="1"/>
    <col min="4355" max="4355" width="7.875" style="2966" customWidth="1"/>
    <col min="4356" max="4357" width="13.875" style="2966" customWidth="1"/>
    <col min="4358" max="4358" width="8.75" style="2966" customWidth="1"/>
    <col min="4359" max="4359" width="7.875" style="2966" customWidth="1"/>
    <col min="4360" max="4360" width="9" style="2966" customWidth="1"/>
    <col min="4361" max="4362" width="10.625" style="2966" customWidth="1"/>
    <col min="4363" max="4363" width="14.375" style="2966" customWidth="1"/>
    <col min="4364" max="4364" width="6.25" style="2966" customWidth="1"/>
    <col min="4365" max="4365" width="34.375" style="2966" customWidth="1"/>
    <col min="4366" max="4608" width="9" style="2966"/>
    <col min="4609" max="4609" width="56.125" style="2966" customWidth="1"/>
    <col min="4610" max="4610" width="6.25" style="2966" customWidth="1"/>
    <col min="4611" max="4611" width="7.875" style="2966" customWidth="1"/>
    <col min="4612" max="4613" width="13.875" style="2966" customWidth="1"/>
    <col min="4614" max="4614" width="8.75" style="2966" customWidth="1"/>
    <col min="4615" max="4615" width="7.875" style="2966" customWidth="1"/>
    <col min="4616" max="4616" width="9" style="2966" customWidth="1"/>
    <col min="4617" max="4618" width="10.625" style="2966" customWidth="1"/>
    <col min="4619" max="4619" width="14.375" style="2966" customWidth="1"/>
    <col min="4620" max="4620" width="6.25" style="2966" customWidth="1"/>
    <col min="4621" max="4621" width="34.375" style="2966" customWidth="1"/>
    <col min="4622" max="4864" width="9" style="2966"/>
    <col min="4865" max="4865" width="56.125" style="2966" customWidth="1"/>
    <col min="4866" max="4866" width="6.25" style="2966" customWidth="1"/>
    <col min="4867" max="4867" width="7.875" style="2966" customWidth="1"/>
    <col min="4868" max="4869" width="13.875" style="2966" customWidth="1"/>
    <col min="4870" max="4870" width="8.75" style="2966" customWidth="1"/>
    <col min="4871" max="4871" width="7.875" style="2966" customWidth="1"/>
    <col min="4872" max="4872" width="9" style="2966" customWidth="1"/>
    <col min="4873" max="4874" width="10.625" style="2966" customWidth="1"/>
    <col min="4875" max="4875" width="14.375" style="2966" customWidth="1"/>
    <col min="4876" max="4876" width="6.25" style="2966" customWidth="1"/>
    <col min="4877" max="4877" width="34.375" style="2966" customWidth="1"/>
    <col min="4878" max="5120" width="9" style="2966"/>
    <col min="5121" max="5121" width="56.125" style="2966" customWidth="1"/>
    <col min="5122" max="5122" width="6.25" style="2966" customWidth="1"/>
    <col min="5123" max="5123" width="7.875" style="2966" customWidth="1"/>
    <col min="5124" max="5125" width="13.875" style="2966" customWidth="1"/>
    <col min="5126" max="5126" width="8.75" style="2966" customWidth="1"/>
    <col min="5127" max="5127" width="7.875" style="2966" customWidth="1"/>
    <col min="5128" max="5128" width="9" style="2966" customWidth="1"/>
    <col min="5129" max="5130" width="10.625" style="2966" customWidth="1"/>
    <col min="5131" max="5131" width="14.375" style="2966" customWidth="1"/>
    <col min="5132" max="5132" width="6.25" style="2966" customWidth="1"/>
    <col min="5133" max="5133" width="34.375" style="2966" customWidth="1"/>
    <col min="5134" max="5376" width="9" style="2966"/>
    <col min="5377" max="5377" width="56.125" style="2966" customWidth="1"/>
    <col min="5378" max="5378" width="6.25" style="2966" customWidth="1"/>
    <col min="5379" max="5379" width="7.875" style="2966" customWidth="1"/>
    <col min="5380" max="5381" width="13.875" style="2966" customWidth="1"/>
    <col min="5382" max="5382" width="8.75" style="2966" customWidth="1"/>
    <col min="5383" max="5383" width="7.875" style="2966" customWidth="1"/>
    <col min="5384" max="5384" width="9" style="2966" customWidth="1"/>
    <col min="5385" max="5386" width="10.625" style="2966" customWidth="1"/>
    <col min="5387" max="5387" width="14.375" style="2966" customWidth="1"/>
    <col min="5388" max="5388" width="6.25" style="2966" customWidth="1"/>
    <col min="5389" max="5389" width="34.375" style="2966" customWidth="1"/>
    <col min="5390" max="5632" width="9" style="2966"/>
    <col min="5633" max="5633" width="56.125" style="2966" customWidth="1"/>
    <col min="5634" max="5634" width="6.25" style="2966" customWidth="1"/>
    <col min="5635" max="5635" width="7.875" style="2966" customWidth="1"/>
    <col min="5636" max="5637" width="13.875" style="2966" customWidth="1"/>
    <col min="5638" max="5638" width="8.75" style="2966" customWidth="1"/>
    <col min="5639" max="5639" width="7.875" style="2966" customWidth="1"/>
    <col min="5640" max="5640" width="9" style="2966" customWidth="1"/>
    <col min="5641" max="5642" width="10.625" style="2966" customWidth="1"/>
    <col min="5643" max="5643" width="14.375" style="2966" customWidth="1"/>
    <col min="5644" max="5644" width="6.25" style="2966" customWidth="1"/>
    <col min="5645" max="5645" width="34.375" style="2966" customWidth="1"/>
    <col min="5646" max="5888" width="9" style="2966"/>
    <col min="5889" max="5889" width="56.125" style="2966" customWidth="1"/>
    <col min="5890" max="5890" width="6.25" style="2966" customWidth="1"/>
    <col min="5891" max="5891" width="7.875" style="2966" customWidth="1"/>
    <col min="5892" max="5893" width="13.875" style="2966" customWidth="1"/>
    <col min="5894" max="5894" width="8.75" style="2966" customWidth="1"/>
    <col min="5895" max="5895" width="7.875" style="2966" customWidth="1"/>
    <col min="5896" max="5896" width="9" style="2966" customWidth="1"/>
    <col min="5897" max="5898" width="10.625" style="2966" customWidth="1"/>
    <col min="5899" max="5899" width="14.375" style="2966" customWidth="1"/>
    <col min="5900" max="5900" width="6.25" style="2966" customWidth="1"/>
    <col min="5901" max="5901" width="34.375" style="2966" customWidth="1"/>
    <col min="5902" max="6144" width="9" style="2966"/>
    <col min="6145" max="6145" width="56.125" style="2966" customWidth="1"/>
    <col min="6146" max="6146" width="6.25" style="2966" customWidth="1"/>
    <col min="6147" max="6147" width="7.875" style="2966" customWidth="1"/>
    <col min="6148" max="6149" width="13.875" style="2966" customWidth="1"/>
    <col min="6150" max="6150" width="8.75" style="2966" customWidth="1"/>
    <col min="6151" max="6151" width="7.875" style="2966" customWidth="1"/>
    <col min="6152" max="6152" width="9" style="2966" customWidth="1"/>
    <col min="6153" max="6154" width="10.625" style="2966" customWidth="1"/>
    <col min="6155" max="6155" width="14.375" style="2966" customWidth="1"/>
    <col min="6156" max="6156" width="6.25" style="2966" customWidth="1"/>
    <col min="6157" max="6157" width="34.375" style="2966" customWidth="1"/>
    <col min="6158" max="6400" width="9" style="2966"/>
    <col min="6401" max="6401" width="56.125" style="2966" customWidth="1"/>
    <col min="6402" max="6402" width="6.25" style="2966" customWidth="1"/>
    <col min="6403" max="6403" width="7.875" style="2966" customWidth="1"/>
    <col min="6404" max="6405" width="13.875" style="2966" customWidth="1"/>
    <col min="6406" max="6406" width="8.75" style="2966" customWidth="1"/>
    <col min="6407" max="6407" width="7.875" style="2966" customWidth="1"/>
    <col min="6408" max="6408" width="9" style="2966" customWidth="1"/>
    <col min="6409" max="6410" width="10.625" style="2966" customWidth="1"/>
    <col min="6411" max="6411" width="14.375" style="2966" customWidth="1"/>
    <col min="6412" max="6412" width="6.25" style="2966" customWidth="1"/>
    <col min="6413" max="6413" width="34.375" style="2966" customWidth="1"/>
    <col min="6414" max="6656" width="9" style="2966"/>
    <col min="6657" max="6657" width="56.125" style="2966" customWidth="1"/>
    <col min="6658" max="6658" width="6.25" style="2966" customWidth="1"/>
    <col min="6659" max="6659" width="7.875" style="2966" customWidth="1"/>
    <col min="6660" max="6661" width="13.875" style="2966" customWidth="1"/>
    <col min="6662" max="6662" width="8.75" style="2966" customWidth="1"/>
    <col min="6663" max="6663" width="7.875" style="2966" customWidth="1"/>
    <col min="6664" max="6664" width="9" style="2966" customWidth="1"/>
    <col min="6665" max="6666" width="10.625" style="2966" customWidth="1"/>
    <col min="6667" max="6667" width="14.375" style="2966" customWidth="1"/>
    <col min="6668" max="6668" width="6.25" style="2966" customWidth="1"/>
    <col min="6669" max="6669" width="34.375" style="2966" customWidth="1"/>
    <col min="6670" max="6912" width="9" style="2966"/>
    <col min="6913" max="6913" width="56.125" style="2966" customWidth="1"/>
    <col min="6914" max="6914" width="6.25" style="2966" customWidth="1"/>
    <col min="6915" max="6915" width="7.875" style="2966" customWidth="1"/>
    <col min="6916" max="6917" width="13.875" style="2966" customWidth="1"/>
    <col min="6918" max="6918" width="8.75" style="2966" customWidth="1"/>
    <col min="6919" max="6919" width="7.875" style="2966" customWidth="1"/>
    <col min="6920" max="6920" width="9" style="2966" customWidth="1"/>
    <col min="6921" max="6922" width="10.625" style="2966" customWidth="1"/>
    <col min="6923" max="6923" width="14.375" style="2966" customWidth="1"/>
    <col min="6924" max="6924" width="6.25" style="2966" customWidth="1"/>
    <col min="6925" max="6925" width="34.375" style="2966" customWidth="1"/>
    <col min="6926" max="7168" width="9" style="2966"/>
    <col min="7169" max="7169" width="56.125" style="2966" customWidth="1"/>
    <col min="7170" max="7170" width="6.25" style="2966" customWidth="1"/>
    <col min="7171" max="7171" width="7.875" style="2966" customWidth="1"/>
    <col min="7172" max="7173" width="13.875" style="2966" customWidth="1"/>
    <col min="7174" max="7174" width="8.75" style="2966" customWidth="1"/>
    <col min="7175" max="7175" width="7.875" style="2966" customWidth="1"/>
    <col min="7176" max="7176" width="9" style="2966" customWidth="1"/>
    <col min="7177" max="7178" width="10.625" style="2966" customWidth="1"/>
    <col min="7179" max="7179" width="14.375" style="2966" customWidth="1"/>
    <col min="7180" max="7180" width="6.25" style="2966" customWidth="1"/>
    <col min="7181" max="7181" width="34.375" style="2966" customWidth="1"/>
    <col min="7182" max="7424" width="9" style="2966"/>
    <col min="7425" max="7425" width="56.125" style="2966" customWidth="1"/>
    <col min="7426" max="7426" width="6.25" style="2966" customWidth="1"/>
    <col min="7427" max="7427" width="7.875" style="2966" customWidth="1"/>
    <col min="7428" max="7429" width="13.875" style="2966" customWidth="1"/>
    <col min="7430" max="7430" width="8.75" style="2966" customWidth="1"/>
    <col min="7431" max="7431" width="7.875" style="2966" customWidth="1"/>
    <col min="7432" max="7432" width="9" style="2966" customWidth="1"/>
    <col min="7433" max="7434" width="10.625" style="2966" customWidth="1"/>
    <col min="7435" max="7435" width="14.375" style="2966" customWidth="1"/>
    <col min="7436" max="7436" width="6.25" style="2966" customWidth="1"/>
    <col min="7437" max="7437" width="34.375" style="2966" customWidth="1"/>
    <col min="7438" max="7680" width="9" style="2966"/>
    <col min="7681" max="7681" width="56.125" style="2966" customWidth="1"/>
    <col min="7682" max="7682" width="6.25" style="2966" customWidth="1"/>
    <col min="7683" max="7683" width="7.875" style="2966" customWidth="1"/>
    <col min="7684" max="7685" width="13.875" style="2966" customWidth="1"/>
    <col min="7686" max="7686" width="8.75" style="2966" customWidth="1"/>
    <col min="7687" max="7687" width="7.875" style="2966" customWidth="1"/>
    <col min="7688" max="7688" width="9" style="2966" customWidth="1"/>
    <col min="7689" max="7690" width="10.625" style="2966" customWidth="1"/>
    <col min="7691" max="7691" width="14.375" style="2966" customWidth="1"/>
    <col min="7692" max="7692" width="6.25" style="2966" customWidth="1"/>
    <col min="7693" max="7693" width="34.375" style="2966" customWidth="1"/>
    <col min="7694" max="7936" width="9" style="2966"/>
    <col min="7937" max="7937" width="56.125" style="2966" customWidth="1"/>
    <col min="7938" max="7938" width="6.25" style="2966" customWidth="1"/>
    <col min="7939" max="7939" width="7.875" style="2966" customWidth="1"/>
    <col min="7940" max="7941" width="13.875" style="2966" customWidth="1"/>
    <col min="7942" max="7942" width="8.75" style="2966" customWidth="1"/>
    <col min="7943" max="7943" width="7.875" style="2966" customWidth="1"/>
    <col min="7944" max="7944" width="9" style="2966" customWidth="1"/>
    <col min="7945" max="7946" width="10.625" style="2966" customWidth="1"/>
    <col min="7947" max="7947" width="14.375" style="2966" customWidth="1"/>
    <col min="7948" max="7948" width="6.25" style="2966" customWidth="1"/>
    <col min="7949" max="7949" width="34.375" style="2966" customWidth="1"/>
    <col min="7950" max="8192" width="9" style="2966"/>
    <col min="8193" max="8193" width="56.125" style="2966" customWidth="1"/>
    <col min="8194" max="8194" width="6.25" style="2966" customWidth="1"/>
    <col min="8195" max="8195" width="7.875" style="2966" customWidth="1"/>
    <col min="8196" max="8197" width="13.875" style="2966" customWidth="1"/>
    <col min="8198" max="8198" width="8.75" style="2966" customWidth="1"/>
    <col min="8199" max="8199" width="7.875" style="2966" customWidth="1"/>
    <col min="8200" max="8200" width="9" style="2966" customWidth="1"/>
    <col min="8201" max="8202" width="10.625" style="2966" customWidth="1"/>
    <col min="8203" max="8203" width="14.375" style="2966" customWidth="1"/>
    <col min="8204" max="8204" width="6.25" style="2966" customWidth="1"/>
    <col min="8205" max="8205" width="34.375" style="2966" customWidth="1"/>
    <col min="8206" max="8448" width="9" style="2966"/>
    <col min="8449" max="8449" width="56.125" style="2966" customWidth="1"/>
    <col min="8450" max="8450" width="6.25" style="2966" customWidth="1"/>
    <col min="8451" max="8451" width="7.875" style="2966" customWidth="1"/>
    <col min="8452" max="8453" width="13.875" style="2966" customWidth="1"/>
    <col min="8454" max="8454" width="8.75" style="2966" customWidth="1"/>
    <col min="8455" max="8455" width="7.875" style="2966" customWidth="1"/>
    <col min="8456" max="8456" width="9" style="2966" customWidth="1"/>
    <col min="8457" max="8458" width="10.625" style="2966" customWidth="1"/>
    <col min="8459" max="8459" width="14.375" style="2966" customWidth="1"/>
    <col min="8460" max="8460" width="6.25" style="2966" customWidth="1"/>
    <col min="8461" max="8461" width="34.375" style="2966" customWidth="1"/>
    <col min="8462" max="8704" width="9" style="2966"/>
    <col min="8705" max="8705" width="56.125" style="2966" customWidth="1"/>
    <col min="8706" max="8706" width="6.25" style="2966" customWidth="1"/>
    <col min="8707" max="8707" width="7.875" style="2966" customWidth="1"/>
    <col min="8708" max="8709" width="13.875" style="2966" customWidth="1"/>
    <col min="8710" max="8710" width="8.75" style="2966" customWidth="1"/>
    <col min="8711" max="8711" width="7.875" style="2966" customWidth="1"/>
    <col min="8712" max="8712" width="9" style="2966" customWidth="1"/>
    <col min="8713" max="8714" width="10.625" style="2966" customWidth="1"/>
    <col min="8715" max="8715" width="14.375" style="2966" customWidth="1"/>
    <col min="8716" max="8716" width="6.25" style="2966" customWidth="1"/>
    <col min="8717" max="8717" width="34.375" style="2966" customWidth="1"/>
    <col min="8718" max="8960" width="9" style="2966"/>
    <col min="8961" max="8961" width="56.125" style="2966" customWidth="1"/>
    <col min="8962" max="8962" width="6.25" style="2966" customWidth="1"/>
    <col min="8963" max="8963" width="7.875" style="2966" customWidth="1"/>
    <col min="8964" max="8965" width="13.875" style="2966" customWidth="1"/>
    <col min="8966" max="8966" width="8.75" style="2966" customWidth="1"/>
    <col min="8967" max="8967" width="7.875" style="2966" customWidth="1"/>
    <col min="8968" max="8968" width="9" style="2966" customWidth="1"/>
    <col min="8969" max="8970" width="10.625" style="2966" customWidth="1"/>
    <col min="8971" max="8971" width="14.375" style="2966" customWidth="1"/>
    <col min="8972" max="8972" width="6.25" style="2966" customWidth="1"/>
    <col min="8973" max="8973" width="34.375" style="2966" customWidth="1"/>
    <col min="8974" max="9216" width="9" style="2966"/>
    <col min="9217" max="9217" width="56.125" style="2966" customWidth="1"/>
    <col min="9218" max="9218" width="6.25" style="2966" customWidth="1"/>
    <col min="9219" max="9219" width="7.875" style="2966" customWidth="1"/>
    <col min="9220" max="9221" width="13.875" style="2966" customWidth="1"/>
    <col min="9222" max="9222" width="8.75" style="2966" customWidth="1"/>
    <col min="9223" max="9223" width="7.875" style="2966" customWidth="1"/>
    <col min="9224" max="9224" width="9" style="2966" customWidth="1"/>
    <col min="9225" max="9226" width="10.625" style="2966" customWidth="1"/>
    <col min="9227" max="9227" width="14.375" style="2966" customWidth="1"/>
    <col min="9228" max="9228" width="6.25" style="2966" customWidth="1"/>
    <col min="9229" max="9229" width="34.375" style="2966" customWidth="1"/>
    <col min="9230" max="9472" width="9" style="2966"/>
    <col min="9473" max="9473" width="56.125" style="2966" customWidth="1"/>
    <col min="9474" max="9474" width="6.25" style="2966" customWidth="1"/>
    <col min="9475" max="9475" width="7.875" style="2966" customWidth="1"/>
    <col min="9476" max="9477" width="13.875" style="2966" customWidth="1"/>
    <col min="9478" max="9478" width="8.75" style="2966" customWidth="1"/>
    <col min="9479" max="9479" width="7.875" style="2966" customWidth="1"/>
    <col min="9480" max="9480" width="9" style="2966" customWidth="1"/>
    <col min="9481" max="9482" width="10.625" style="2966" customWidth="1"/>
    <col min="9483" max="9483" width="14.375" style="2966" customWidth="1"/>
    <col min="9484" max="9484" width="6.25" style="2966" customWidth="1"/>
    <col min="9485" max="9485" width="34.375" style="2966" customWidth="1"/>
    <col min="9486" max="9728" width="9" style="2966"/>
    <col min="9729" max="9729" width="56.125" style="2966" customWidth="1"/>
    <col min="9730" max="9730" width="6.25" style="2966" customWidth="1"/>
    <col min="9731" max="9731" width="7.875" style="2966" customWidth="1"/>
    <col min="9732" max="9733" width="13.875" style="2966" customWidth="1"/>
    <col min="9734" max="9734" width="8.75" style="2966" customWidth="1"/>
    <col min="9735" max="9735" width="7.875" style="2966" customWidth="1"/>
    <col min="9736" max="9736" width="9" style="2966" customWidth="1"/>
    <col min="9737" max="9738" width="10.625" style="2966" customWidth="1"/>
    <col min="9739" max="9739" width="14.375" style="2966" customWidth="1"/>
    <col min="9740" max="9740" width="6.25" style="2966" customWidth="1"/>
    <col min="9741" max="9741" width="34.375" style="2966" customWidth="1"/>
    <col min="9742" max="9984" width="9" style="2966"/>
    <col min="9985" max="9985" width="56.125" style="2966" customWidth="1"/>
    <col min="9986" max="9986" width="6.25" style="2966" customWidth="1"/>
    <col min="9987" max="9987" width="7.875" style="2966" customWidth="1"/>
    <col min="9988" max="9989" width="13.875" style="2966" customWidth="1"/>
    <col min="9990" max="9990" width="8.75" style="2966" customWidth="1"/>
    <col min="9991" max="9991" width="7.875" style="2966" customWidth="1"/>
    <col min="9992" max="9992" width="9" style="2966" customWidth="1"/>
    <col min="9993" max="9994" width="10.625" style="2966" customWidth="1"/>
    <col min="9995" max="9995" width="14.375" style="2966" customWidth="1"/>
    <col min="9996" max="9996" width="6.25" style="2966" customWidth="1"/>
    <col min="9997" max="9997" width="34.375" style="2966" customWidth="1"/>
    <col min="9998" max="10240" width="9" style="2966"/>
    <col min="10241" max="10241" width="56.125" style="2966" customWidth="1"/>
    <col min="10242" max="10242" width="6.25" style="2966" customWidth="1"/>
    <col min="10243" max="10243" width="7.875" style="2966" customWidth="1"/>
    <col min="10244" max="10245" width="13.875" style="2966" customWidth="1"/>
    <col min="10246" max="10246" width="8.75" style="2966" customWidth="1"/>
    <col min="10247" max="10247" width="7.875" style="2966" customWidth="1"/>
    <col min="10248" max="10248" width="9" style="2966" customWidth="1"/>
    <col min="10249" max="10250" width="10.625" style="2966" customWidth="1"/>
    <col min="10251" max="10251" width="14.375" style="2966" customWidth="1"/>
    <col min="10252" max="10252" width="6.25" style="2966" customWidth="1"/>
    <col min="10253" max="10253" width="34.375" style="2966" customWidth="1"/>
    <col min="10254" max="10496" width="9" style="2966"/>
    <col min="10497" max="10497" width="56.125" style="2966" customWidth="1"/>
    <col min="10498" max="10498" width="6.25" style="2966" customWidth="1"/>
    <col min="10499" max="10499" width="7.875" style="2966" customWidth="1"/>
    <col min="10500" max="10501" width="13.875" style="2966" customWidth="1"/>
    <col min="10502" max="10502" width="8.75" style="2966" customWidth="1"/>
    <col min="10503" max="10503" width="7.875" style="2966" customWidth="1"/>
    <col min="10504" max="10504" width="9" style="2966" customWidth="1"/>
    <col min="10505" max="10506" width="10.625" style="2966" customWidth="1"/>
    <col min="10507" max="10507" width="14.375" style="2966" customWidth="1"/>
    <col min="10508" max="10508" width="6.25" style="2966" customWidth="1"/>
    <col min="10509" max="10509" width="34.375" style="2966" customWidth="1"/>
    <col min="10510" max="10752" width="9" style="2966"/>
    <col min="10753" max="10753" width="56.125" style="2966" customWidth="1"/>
    <col min="10754" max="10754" width="6.25" style="2966" customWidth="1"/>
    <col min="10755" max="10755" width="7.875" style="2966" customWidth="1"/>
    <col min="10756" max="10757" width="13.875" style="2966" customWidth="1"/>
    <col min="10758" max="10758" width="8.75" style="2966" customWidth="1"/>
    <col min="10759" max="10759" width="7.875" style="2966" customWidth="1"/>
    <col min="10760" max="10760" width="9" style="2966" customWidth="1"/>
    <col min="10761" max="10762" width="10.625" style="2966" customWidth="1"/>
    <col min="10763" max="10763" width="14.375" style="2966" customWidth="1"/>
    <col min="10764" max="10764" width="6.25" style="2966" customWidth="1"/>
    <col min="10765" max="10765" width="34.375" style="2966" customWidth="1"/>
    <col min="10766" max="11008" width="9" style="2966"/>
    <col min="11009" max="11009" width="56.125" style="2966" customWidth="1"/>
    <col min="11010" max="11010" width="6.25" style="2966" customWidth="1"/>
    <col min="11011" max="11011" width="7.875" style="2966" customWidth="1"/>
    <col min="11012" max="11013" width="13.875" style="2966" customWidth="1"/>
    <col min="11014" max="11014" width="8.75" style="2966" customWidth="1"/>
    <col min="11015" max="11015" width="7.875" style="2966" customWidth="1"/>
    <col min="11016" max="11016" width="9" style="2966" customWidth="1"/>
    <col min="11017" max="11018" width="10.625" style="2966" customWidth="1"/>
    <col min="11019" max="11019" width="14.375" style="2966" customWidth="1"/>
    <col min="11020" max="11020" width="6.25" style="2966" customWidth="1"/>
    <col min="11021" max="11021" width="34.375" style="2966" customWidth="1"/>
    <col min="11022" max="11264" width="9" style="2966"/>
    <col min="11265" max="11265" width="56.125" style="2966" customWidth="1"/>
    <col min="11266" max="11266" width="6.25" style="2966" customWidth="1"/>
    <col min="11267" max="11267" width="7.875" style="2966" customWidth="1"/>
    <col min="11268" max="11269" width="13.875" style="2966" customWidth="1"/>
    <col min="11270" max="11270" width="8.75" style="2966" customWidth="1"/>
    <col min="11271" max="11271" width="7.875" style="2966" customWidth="1"/>
    <col min="11272" max="11272" width="9" style="2966" customWidth="1"/>
    <col min="11273" max="11274" width="10.625" style="2966" customWidth="1"/>
    <col min="11275" max="11275" width="14.375" style="2966" customWidth="1"/>
    <col min="11276" max="11276" width="6.25" style="2966" customWidth="1"/>
    <col min="11277" max="11277" width="34.375" style="2966" customWidth="1"/>
    <col min="11278" max="11520" width="9" style="2966"/>
    <col min="11521" max="11521" width="56.125" style="2966" customWidth="1"/>
    <col min="11522" max="11522" width="6.25" style="2966" customWidth="1"/>
    <col min="11523" max="11523" width="7.875" style="2966" customWidth="1"/>
    <col min="11524" max="11525" width="13.875" style="2966" customWidth="1"/>
    <col min="11526" max="11526" width="8.75" style="2966" customWidth="1"/>
    <col min="11527" max="11527" width="7.875" style="2966" customWidth="1"/>
    <col min="11528" max="11528" width="9" style="2966" customWidth="1"/>
    <col min="11529" max="11530" width="10.625" style="2966" customWidth="1"/>
    <col min="11531" max="11531" width="14.375" style="2966" customWidth="1"/>
    <col min="11532" max="11532" width="6.25" style="2966" customWidth="1"/>
    <col min="11533" max="11533" width="34.375" style="2966" customWidth="1"/>
    <col min="11534" max="11776" width="9" style="2966"/>
    <col min="11777" max="11777" width="56.125" style="2966" customWidth="1"/>
    <col min="11778" max="11778" width="6.25" style="2966" customWidth="1"/>
    <col min="11779" max="11779" width="7.875" style="2966" customWidth="1"/>
    <col min="11780" max="11781" width="13.875" style="2966" customWidth="1"/>
    <col min="11782" max="11782" width="8.75" style="2966" customWidth="1"/>
    <col min="11783" max="11783" width="7.875" style="2966" customWidth="1"/>
    <col min="11784" max="11784" width="9" style="2966" customWidth="1"/>
    <col min="11785" max="11786" width="10.625" style="2966" customWidth="1"/>
    <col min="11787" max="11787" width="14.375" style="2966" customWidth="1"/>
    <col min="11788" max="11788" width="6.25" style="2966" customWidth="1"/>
    <col min="11789" max="11789" width="34.375" style="2966" customWidth="1"/>
    <col min="11790" max="12032" width="9" style="2966"/>
    <col min="12033" max="12033" width="56.125" style="2966" customWidth="1"/>
    <col min="12034" max="12034" width="6.25" style="2966" customWidth="1"/>
    <col min="12035" max="12035" width="7.875" style="2966" customWidth="1"/>
    <col min="12036" max="12037" width="13.875" style="2966" customWidth="1"/>
    <col min="12038" max="12038" width="8.75" style="2966" customWidth="1"/>
    <col min="12039" max="12039" width="7.875" style="2966" customWidth="1"/>
    <col min="12040" max="12040" width="9" style="2966" customWidth="1"/>
    <col min="12041" max="12042" width="10.625" style="2966" customWidth="1"/>
    <col min="12043" max="12043" width="14.375" style="2966" customWidth="1"/>
    <col min="12044" max="12044" width="6.25" style="2966" customWidth="1"/>
    <col min="12045" max="12045" width="34.375" style="2966" customWidth="1"/>
    <col min="12046" max="12288" width="9" style="2966"/>
    <col min="12289" max="12289" width="56.125" style="2966" customWidth="1"/>
    <col min="12290" max="12290" width="6.25" style="2966" customWidth="1"/>
    <col min="12291" max="12291" width="7.875" style="2966" customWidth="1"/>
    <col min="12292" max="12293" width="13.875" style="2966" customWidth="1"/>
    <col min="12294" max="12294" width="8.75" style="2966" customWidth="1"/>
    <col min="12295" max="12295" width="7.875" style="2966" customWidth="1"/>
    <col min="12296" max="12296" width="9" style="2966" customWidth="1"/>
    <col min="12297" max="12298" width="10.625" style="2966" customWidth="1"/>
    <col min="12299" max="12299" width="14.375" style="2966" customWidth="1"/>
    <col min="12300" max="12300" width="6.25" style="2966" customWidth="1"/>
    <col min="12301" max="12301" width="34.375" style="2966" customWidth="1"/>
    <col min="12302" max="12544" width="9" style="2966"/>
    <col min="12545" max="12545" width="56.125" style="2966" customWidth="1"/>
    <col min="12546" max="12546" width="6.25" style="2966" customWidth="1"/>
    <col min="12547" max="12547" width="7.875" style="2966" customWidth="1"/>
    <col min="12548" max="12549" width="13.875" style="2966" customWidth="1"/>
    <col min="12550" max="12550" width="8.75" style="2966" customWidth="1"/>
    <col min="12551" max="12551" width="7.875" style="2966" customWidth="1"/>
    <col min="12552" max="12552" width="9" style="2966" customWidth="1"/>
    <col min="12553" max="12554" width="10.625" style="2966" customWidth="1"/>
    <col min="12555" max="12555" width="14.375" style="2966" customWidth="1"/>
    <col min="12556" max="12556" width="6.25" style="2966" customWidth="1"/>
    <col min="12557" max="12557" width="34.375" style="2966" customWidth="1"/>
    <col min="12558" max="12800" width="9" style="2966"/>
    <col min="12801" max="12801" width="56.125" style="2966" customWidth="1"/>
    <col min="12802" max="12802" width="6.25" style="2966" customWidth="1"/>
    <col min="12803" max="12803" width="7.875" style="2966" customWidth="1"/>
    <col min="12804" max="12805" width="13.875" style="2966" customWidth="1"/>
    <col min="12806" max="12806" width="8.75" style="2966" customWidth="1"/>
    <col min="12807" max="12807" width="7.875" style="2966" customWidth="1"/>
    <col min="12808" max="12808" width="9" style="2966" customWidth="1"/>
    <col min="12809" max="12810" width="10.625" style="2966" customWidth="1"/>
    <col min="12811" max="12811" width="14.375" style="2966" customWidth="1"/>
    <col min="12812" max="12812" width="6.25" style="2966" customWidth="1"/>
    <col min="12813" max="12813" width="34.375" style="2966" customWidth="1"/>
    <col min="12814" max="13056" width="9" style="2966"/>
    <col min="13057" max="13057" width="56.125" style="2966" customWidth="1"/>
    <col min="13058" max="13058" width="6.25" style="2966" customWidth="1"/>
    <col min="13059" max="13059" width="7.875" style="2966" customWidth="1"/>
    <col min="13060" max="13061" width="13.875" style="2966" customWidth="1"/>
    <col min="13062" max="13062" width="8.75" style="2966" customWidth="1"/>
    <col min="13063" max="13063" width="7.875" style="2966" customWidth="1"/>
    <col min="13064" max="13064" width="9" style="2966" customWidth="1"/>
    <col min="13065" max="13066" width="10.625" style="2966" customWidth="1"/>
    <col min="13067" max="13067" width="14.375" style="2966" customWidth="1"/>
    <col min="13068" max="13068" width="6.25" style="2966" customWidth="1"/>
    <col min="13069" max="13069" width="34.375" style="2966" customWidth="1"/>
    <col min="13070" max="13312" width="9" style="2966"/>
    <col min="13313" max="13313" width="56.125" style="2966" customWidth="1"/>
    <col min="13314" max="13314" width="6.25" style="2966" customWidth="1"/>
    <col min="13315" max="13315" width="7.875" style="2966" customWidth="1"/>
    <col min="13316" max="13317" width="13.875" style="2966" customWidth="1"/>
    <col min="13318" max="13318" width="8.75" style="2966" customWidth="1"/>
    <col min="13319" max="13319" width="7.875" style="2966" customWidth="1"/>
    <col min="13320" max="13320" width="9" style="2966" customWidth="1"/>
    <col min="13321" max="13322" width="10.625" style="2966" customWidth="1"/>
    <col min="13323" max="13323" width="14.375" style="2966" customWidth="1"/>
    <col min="13324" max="13324" width="6.25" style="2966" customWidth="1"/>
    <col min="13325" max="13325" width="34.375" style="2966" customWidth="1"/>
    <col min="13326" max="13568" width="9" style="2966"/>
    <col min="13569" max="13569" width="56.125" style="2966" customWidth="1"/>
    <col min="13570" max="13570" width="6.25" style="2966" customWidth="1"/>
    <col min="13571" max="13571" width="7.875" style="2966" customWidth="1"/>
    <col min="13572" max="13573" width="13.875" style="2966" customWidth="1"/>
    <col min="13574" max="13574" width="8.75" style="2966" customWidth="1"/>
    <col min="13575" max="13575" width="7.875" style="2966" customWidth="1"/>
    <col min="13576" max="13576" width="9" style="2966" customWidth="1"/>
    <col min="13577" max="13578" width="10.625" style="2966" customWidth="1"/>
    <col min="13579" max="13579" width="14.375" style="2966" customWidth="1"/>
    <col min="13580" max="13580" width="6.25" style="2966" customWidth="1"/>
    <col min="13581" max="13581" width="34.375" style="2966" customWidth="1"/>
    <col min="13582" max="13824" width="9" style="2966"/>
    <col min="13825" max="13825" width="56.125" style="2966" customWidth="1"/>
    <col min="13826" max="13826" width="6.25" style="2966" customWidth="1"/>
    <col min="13827" max="13827" width="7.875" style="2966" customWidth="1"/>
    <col min="13828" max="13829" width="13.875" style="2966" customWidth="1"/>
    <col min="13830" max="13830" width="8.75" style="2966" customWidth="1"/>
    <col min="13831" max="13831" width="7.875" style="2966" customWidth="1"/>
    <col min="13832" max="13832" width="9" style="2966" customWidth="1"/>
    <col min="13833" max="13834" width="10.625" style="2966" customWidth="1"/>
    <col min="13835" max="13835" width="14.375" style="2966" customWidth="1"/>
    <col min="13836" max="13836" width="6.25" style="2966" customWidth="1"/>
    <col min="13837" max="13837" width="34.375" style="2966" customWidth="1"/>
    <col min="13838" max="14080" width="9" style="2966"/>
    <col min="14081" max="14081" width="56.125" style="2966" customWidth="1"/>
    <col min="14082" max="14082" width="6.25" style="2966" customWidth="1"/>
    <col min="14083" max="14083" width="7.875" style="2966" customWidth="1"/>
    <col min="14084" max="14085" width="13.875" style="2966" customWidth="1"/>
    <col min="14086" max="14086" width="8.75" style="2966" customWidth="1"/>
    <col min="14087" max="14087" width="7.875" style="2966" customWidth="1"/>
    <col min="14088" max="14088" width="9" style="2966" customWidth="1"/>
    <col min="14089" max="14090" width="10.625" style="2966" customWidth="1"/>
    <col min="14091" max="14091" width="14.375" style="2966" customWidth="1"/>
    <col min="14092" max="14092" width="6.25" style="2966" customWidth="1"/>
    <col min="14093" max="14093" width="34.375" style="2966" customWidth="1"/>
    <col min="14094" max="14336" width="9" style="2966"/>
    <col min="14337" max="14337" width="56.125" style="2966" customWidth="1"/>
    <col min="14338" max="14338" width="6.25" style="2966" customWidth="1"/>
    <col min="14339" max="14339" width="7.875" style="2966" customWidth="1"/>
    <col min="14340" max="14341" width="13.875" style="2966" customWidth="1"/>
    <col min="14342" max="14342" width="8.75" style="2966" customWidth="1"/>
    <col min="14343" max="14343" width="7.875" style="2966" customWidth="1"/>
    <col min="14344" max="14344" width="9" style="2966" customWidth="1"/>
    <col min="14345" max="14346" width="10.625" style="2966" customWidth="1"/>
    <col min="14347" max="14347" width="14.375" style="2966" customWidth="1"/>
    <col min="14348" max="14348" width="6.25" style="2966" customWidth="1"/>
    <col min="14349" max="14349" width="34.375" style="2966" customWidth="1"/>
    <col min="14350" max="14592" width="9" style="2966"/>
    <col min="14593" max="14593" width="56.125" style="2966" customWidth="1"/>
    <col min="14594" max="14594" width="6.25" style="2966" customWidth="1"/>
    <col min="14595" max="14595" width="7.875" style="2966" customWidth="1"/>
    <col min="14596" max="14597" width="13.875" style="2966" customWidth="1"/>
    <col min="14598" max="14598" width="8.75" style="2966" customWidth="1"/>
    <col min="14599" max="14599" width="7.875" style="2966" customWidth="1"/>
    <col min="14600" max="14600" width="9" style="2966" customWidth="1"/>
    <col min="14601" max="14602" width="10.625" style="2966" customWidth="1"/>
    <col min="14603" max="14603" width="14.375" style="2966" customWidth="1"/>
    <col min="14604" max="14604" width="6.25" style="2966" customWidth="1"/>
    <col min="14605" max="14605" width="34.375" style="2966" customWidth="1"/>
    <col min="14606" max="14848" width="9" style="2966"/>
    <col min="14849" max="14849" width="56.125" style="2966" customWidth="1"/>
    <col min="14850" max="14850" width="6.25" style="2966" customWidth="1"/>
    <col min="14851" max="14851" width="7.875" style="2966" customWidth="1"/>
    <col min="14852" max="14853" width="13.875" style="2966" customWidth="1"/>
    <col min="14854" max="14854" width="8.75" style="2966" customWidth="1"/>
    <col min="14855" max="14855" width="7.875" style="2966" customWidth="1"/>
    <col min="14856" max="14856" width="9" style="2966" customWidth="1"/>
    <col min="14857" max="14858" width="10.625" style="2966" customWidth="1"/>
    <col min="14859" max="14859" width="14.375" style="2966" customWidth="1"/>
    <col min="14860" max="14860" width="6.25" style="2966" customWidth="1"/>
    <col min="14861" max="14861" width="34.375" style="2966" customWidth="1"/>
    <col min="14862" max="15104" width="9" style="2966"/>
    <col min="15105" max="15105" width="56.125" style="2966" customWidth="1"/>
    <col min="15106" max="15106" width="6.25" style="2966" customWidth="1"/>
    <col min="15107" max="15107" width="7.875" style="2966" customWidth="1"/>
    <col min="15108" max="15109" width="13.875" style="2966" customWidth="1"/>
    <col min="15110" max="15110" width="8.75" style="2966" customWidth="1"/>
    <col min="15111" max="15111" width="7.875" style="2966" customWidth="1"/>
    <col min="15112" max="15112" width="9" style="2966" customWidth="1"/>
    <col min="15113" max="15114" width="10.625" style="2966" customWidth="1"/>
    <col min="15115" max="15115" width="14.375" style="2966" customWidth="1"/>
    <col min="15116" max="15116" width="6.25" style="2966" customWidth="1"/>
    <col min="15117" max="15117" width="34.375" style="2966" customWidth="1"/>
    <col min="15118" max="15360" width="9" style="2966"/>
    <col min="15361" max="15361" width="56.125" style="2966" customWidth="1"/>
    <col min="15362" max="15362" width="6.25" style="2966" customWidth="1"/>
    <col min="15363" max="15363" width="7.875" style="2966" customWidth="1"/>
    <col min="15364" max="15365" width="13.875" style="2966" customWidth="1"/>
    <col min="15366" max="15366" width="8.75" style="2966" customWidth="1"/>
    <col min="15367" max="15367" width="7.875" style="2966" customWidth="1"/>
    <col min="15368" max="15368" width="9" style="2966" customWidth="1"/>
    <col min="15369" max="15370" width="10.625" style="2966" customWidth="1"/>
    <col min="15371" max="15371" width="14.375" style="2966" customWidth="1"/>
    <col min="15372" max="15372" width="6.25" style="2966" customWidth="1"/>
    <col min="15373" max="15373" width="34.375" style="2966" customWidth="1"/>
    <col min="15374" max="15616" width="9" style="2966"/>
    <col min="15617" max="15617" width="56.125" style="2966" customWidth="1"/>
    <col min="15618" max="15618" width="6.25" style="2966" customWidth="1"/>
    <col min="15619" max="15619" width="7.875" style="2966" customWidth="1"/>
    <col min="15620" max="15621" width="13.875" style="2966" customWidth="1"/>
    <col min="15622" max="15622" width="8.75" style="2966" customWidth="1"/>
    <col min="15623" max="15623" width="7.875" style="2966" customWidth="1"/>
    <col min="15624" max="15624" width="9" style="2966" customWidth="1"/>
    <col min="15625" max="15626" width="10.625" style="2966" customWidth="1"/>
    <col min="15627" max="15627" width="14.375" style="2966" customWidth="1"/>
    <col min="15628" max="15628" width="6.25" style="2966" customWidth="1"/>
    <col min="15629" max="15629" width="34.375" style="2966" customWidth="1"/>
    <col min="15630" max="15872" width="9" style="2966"/>
    <col min="15873" max="15873" width="56.125" style="2966" customWidth="1"/>
    <col min="15874" max="15874" width="6.25" style="2966" customWidth="1"/>
    <col min="15875" max="15875" width="7.875" style="2966" customWidth="1"/>
    <col min="15876" max="15877" width="13.875" style="2966" customWidth="1"/>
    <col min="15878" max="15878" width="8.75" style="2966" customWidth="1"/>
    <col min="15879" max="15879" width="7.875" style="2966" customWidth="1"/>
    <col min="15880" max="15880" width="9" style="2966" customWidth="1"/>
    <col min="15881" max="15882" width="10.625" style="2966" customWidth="1"/>
    <col min="15883" max="15883" width="14.375" style="2966" customWidth="1"/>
    <col min="15884" max="15884" width="6.25" style="2966" customWidth="1"/>
    <col min="15885" max="15885" width="34.375" style="2966" customWidth="1"/>
    <col min="15886" max="16128" width="9" style="2966"/>
    <col min="16129" max="16129" width="56.125" style="2966" customWidth="1"/>
    <col min="16130" max="16130" width="6.25" style="2966" customWidth="1"/>
    <col min="16131" max="16131" width="7.875" style="2966" customWidth="1"/>
    <col min="16132" max="16133" width="13.875" style="2966" customWidth="1"/>
    <col min="16134" max="16134" width="8.75" style="2966" customWidth="1"/>
    <col min="16135" max="16135" width="7.875" style="2966" customWidth="1"/>
    <col min="16136" max="16136" width="9" style="2966" customWidth="1"/>
    <col min="16137" max="16138" width="10.625" style="2966" customWidth="1"/>
    <col min="16139" max="16139" width="14.375" style="2966" customWidth="1"/>
    <col min="16140" max="16140" width="6.25" style="2966" customWidth="1"/>
    <col min="16141" max="16141" width="34.375" style="2966" customWidth="1"/>
    <col min="16142" max="16384" width="9" style="2966"/>
  </cols>
  <sheetData>
    <row r="1" spans="1:13">
      <c r="A1" s="2966" t="s">
        <v>3142</v>
      </c>
      <c r="B1" s="2966" t="s">
        <v>3143</v>
      </c>
      <c r="C1" s="2966" t="s">
        <v>3144</v>
      </c>
      <c r="D1" s="2966" t="s">
        <v>3145</v>
      </c>
      <c r="E1" s="2966" t="s">
        <v>3146</v>
      </c>
      <c r="F1" s="2966" t="s">
        <v>3147</v>
      </c>
      <c r="G1" s="2966" t="s">
        <v>3148</v>
      </c>
      <c r="H1" s="2966" t="s">
        <v>3149</v>
      </c>
      <c r="I1" s="2966" t="s">
        <v>3150</v>
      </c>
      <c r="J1" s="2966" t="s">
        <v>3151</v>
      </c>
      <c r="K1" s="2966" t="s">
        <v>3152</v>
      </c>
      <c r="L1" s="2966" t="s">
        <v>3153</v>
      </c>
      <c r="M1" s="2966" t="s">
        <v>3154</v>
      </c>
    </row>
    <row r="2" spans="1:13">
      <c r="A2" s="2966" t="s">
        <v>3155</v>
      </c>
      <c r="B2" s="2966" t="s">
        <v>3055</v>
      </c>
      <c r="C2" s="2966" t="s">
        <v>3059</v>
      </c>
      <c r="D2" s="2966">
        <v>73230.3</v>
      </c>
      <c r="E2" s="2966">
        <v>124491.5</v>
      </c>
      <c r="F2" s="2966" t="s">
        <v>3156</v>
      </c>
      <c r="G2" s="2966" t="s">
        <v>3157</v>
      </c>
      <c r="H2" s="2966" t="s">
        <v>3158</v>
      </c>
      <c r="I2" s="2966">
        <v>9038.07</v>
      </c>
      <c r="J2" s="2966">
        <v>9038.07</v>
      </c>
      <c r="K2" s="2966">
        <v>726</v>
      </c>
      <c r="L2" s="2966">
        <v>0</v>
      </c>
      <c r="M2" s="2966" t="s">
        <v>3159</v>
      </c>
    </row>
    <row r="3" spans="1:13">
      <c r="A3" s="2966" t="s">
        <v>3160</v>
      </c>
      <c r="B3" s="2966" t="s">
        <v>3055</v>
      </c>
      <c r="C3" s="2966" t="s">
        <v>3059</v>
      </c>
      <c r="D3" s="2966">
        <v>11958.6</v>
      </c>
      <c r="E3" s="2966">
        <v>17937.900000000001</v>
      </c>
      <c r="F3" s="2966">
        <v>1.5</v>
      </c>
      <c r="G3" s="2966" t="s">
        <v>3157</v>
      </c>
      <c r="H3" s="2966" t="s">
        <v>3158</v>
      </c>
      <c r="I3" s="2966">
        <v>1302.28</v>
      </c>
      <c r="J3" s="2966">
        <v>1302.28</v>
      </c>
      <c r="K3" s="2966">
        <v>726</v>
      </c>
      <c r="L3" s="2966">
        <v>0</v>
      </c>
      <c r="M3" s="2966" t="s">
        <v>3161</v>
      </c>
    </row>
    <row r="4" spans="1:13">
      <c r="A4" s="2966" t="s">
        <v>3162</v>
      </c>
      <c r="B4" s="2966" t="s">
        <v>3055</v>
      </c>
      <c r="C4" s="2966" t="s">
        <v>3059</v>
      </c>
      <c r="D4" s="2966">
        <v>23044.5</v>
      </c>
      <c r="E4" s="2966">
        <v>46089</v>
      </c>
      <c r="F4" s="2966">
        <v>2</v>
      </c>
      <c r="G4" s="2966" t="s">
        <v>3157</v>
      </c>
      <c r="H4" s="2966" t="s">
        <v>3163</v>
      </c>
      <c r="I4" s="2966">
        <v>4977.6000000000004</v>
      </c>
      <c r="J4" s="2966">
        <v>4977.6000000000004</v>
      </c>
      <c r="K4" s="2966">
        <v>1080</v>
      </c>
      <c r="L4" s="2966">
        <v>0</v>
      </c>
      <c r="M4" s="2966" t="s">
        <v>3164</v>
      </c>
    </row>
    <row r="5" spans="1:13" s="2968" customFormat="1">
      <c r="A5" s="2968" t="s">
        <v>3295</v>
      </c>
      <c r="B5" s="2968" t="s">
        <v>3055</v>
      </c>
      <c r="C5" s="2968" t="s">
        <v>3059</v>
      </c>
      <c r="D5" s="2968">
        <v>4280.58</v>
      </c>
      <c r="E5" s="2968">
        <v>3424</v>
      </c>
      <c r="F5" s="2968">
        <v>0.8</v>
      </c>
      <c r="G5" s="2968" t="s">
        <v>3157</v>
      </c>
      <c r="H5" s="2968" t="s">
        <v>3165</v>
      </c>
      <c r="I5" s="2968">
        <v>642.09</v>
      </c>
      <c r="J5" s="2968">
        <v>642.09</v>
      </c>
      <c r="K5" s="2968">
        <v>1875.25</v>
      </c>
      <c r="L5" s="2968">
        <v>0</v>
      </c>
      <c r="M5" s="2968" t="s">
        <v>3166</v>
      </c>
    </row>
    <row r="6" spans="1:13">
      <c r="A6" s="2966" t="s">
        <v>3167</v>
      </c>
      <c r="B6" s="2966" t="s">
        <v>3055</v>
      </c>
      <c r="C6" s="2966" t="s">
        <v>3059</v>
      </c>
      <c r="D6" s="2966">
        <v>82687.360000000001</v>
      </c>
      <c r="E6" s="2966">
        <v>157106</v>
      </c>
      <c r="F6" s="2966">
        <v>1.9</v>
      </c>
      <c r="G6" s="2966" t="s">
        <v>3157</v>
      </c>
      <c r="H6" s="2966" t="s">
        <v>3168</v>
      </c>
      <c r="I6" s="2966">
        <v>14688.07</v>
      </c>
      <c r="J6" s="2966">
        <v>14688.07</v>
      </c>
      <c r="K6" s="2966">
        <v>934.91</v>
      </c>
      <c r="L6" s="2966">
        <v>0</v>
      </c>
      <c r="M6" s="2966" t="s">
        <v>3169</v>
      </c>
    </row>
    <row r="7" spans="1:13" s="2967" customFormat="1">
      <c r="A7" s="2967" t="s">
        <v>3290</v>
      </c>
      <c r="B7" s="2967" t="s">
        <v>3055</v>
      </c>
      <c r="C7" s="2967" t="s">
        <v>3059</v>
      </c>
      <c r="D7" s="2967">
        <v>791422.1</v>
      </c>
      <c r="E7" s="2967">
        <v>1187133</v>
      </c>
      <c r="F7" s="2967">
        <v>1.5</v>
      </c>
      <c r="G7" s="2967" t="s">
        <v>3157</v>
      </c>
      <c r="H7" s="2967" t="s">
        <v>3170</v>
      </c>
      <c r="I7" s="2967">
        <v>187820</v>
      </c>
      <c r="J7" s="2967">
        <v>187820</v>
      </c>
      <c r="K7" s="2967">
        <v>1582.13</v>
      </c>
      <c r="L7" s="2967">
        <v>0</v>
      </c>
      <c r="M7" s="2967" t="s">
        <v>3171</v>
      </c>
    </row>
    <row r="8" spans="1:13">
      <c r="A8" s="2966" t="s">
        <v>3172</v>
      </c>
      <c r="B8" s="2966" t="s">
        <v>3055</v>
      </c>
      <c r="C8" s="2966" t="s">
        <v>3059</v>
      </c>
      <c r="D8" s="2966">
        <v>23308.3</v>
      </c>
      <c r="E8" s="2966">
        <v>34962.449999999997</v>
      </c>
      <c r="F8" s="2966">
        <v>1.5</v>
      </c>
      <c r="G8" s="2966" t="s">
        <v>3157</v>
      </c>
      <c r="H8" s="2966" t="s">
        <v>3173</v>
      </c>
      <c r="I8" s="2966">
        <v>5244.36</v>
      </c>
      <c r="J8" s="2966">
        <v>5244.36</v>
      </c>
      <c r="K8" s="2966">
        <v>1500</v>
      </c>
      <c r="L8" s="2966">
        <v>0</v>
      </c>
      <c r="M8" s="2966" t="s">
        <v>3174</v>
      </c>
    </row>
    <row r="9" spans="1:13">
      <c r="A9" s="2966" t="s">
        <v>3175</v>
      </c>
      <c r="B9" s="2966" t="s">
        <v>3055</v>
      </c>
      <c r="C9" s="2966" t="s">
        <v>3059</v>
      </c>
      <c r="D9" s="2966">
        <v>19655.95</v>
      </c>
      <c r="E9" s="2966">
        <v>39312</v>
      </c>
      <c r="F9" s="2966">
        <v>8.3000000000000007</v>
      </c>
      <c r="G9" s="2966" t="s">
        <v>3157</v>
      </c>
      <c r="H9" s="2966" t="s">
        <v>3176</v>
      </c>
      <c r="I9" s="2966">
        <v>2634.78</v>
      </c>
      <c r="J9" s="2966">
        <v>2634.78</v>
      </c>
      <c r="K9" s="2966">
        <v>670.22</v>
      </c>
      <c r="L9" s="2966">
        <v>0</v>
      </c>
      <c r="M9" s="2966" t="s">
        <v>3177</v>
      </c>
    </row>
    <row r="10" spans="1:13">
      <c r="A10" s="2966" t="s">
        <v>3178</v>
      </c>
      <c r="B10" s="2966" t="s">
        <v>3055</v>
      </c>
      <c r="C10" s="2966" t="s">
        <v>3059</v>
      </c>
      <c r="D10" s="2966">
        <v>31386.9</v>
      </c>
      <c r="E10" s="2966">
        <v>25110</v>
      </c>
      <c r="F10" s="2966">
        <v>0.8</v>
      </c>
      <c r="G10" s="2966" t="s">
        <v>3157</v>
      </c>
      <c r="H10" s="2966" t="s">
        <v>3179</v>
      </c>
      <c r="I10" s="2966">
        <v>11547.52</v>
      </c>
      <c r="J10" s="2966">
        <v>11547.52</v>
      </c>
      <c r="K10" s="2966">
        <v>4598.7700000000004</v>
      </c>
      <c r="L10" s="2966">
        <v>0</v>
      </c>
      <c r="M10" s="2966" t="s">
        <v>3180</v>
      </c>
    </row>
    <row r="11" spans="1:13">
      <c r="A11" s="2966" t="s">
        <v>3181</v>
      </c>
      <c r="B11" s="2966" t="s">
        <v>3055</v>
      </c>
      <c r="C11" s="2966" t="s">
        <v>3059</v>
      </c>
      <c r="D11" s="2966">
        <v>45231.1</v>
      </c>
      <c r="E11" s="2966">
        <v>36185</v>
      </c>
      <c r="F11" s="2966">
        <v>0.8</v>
      </c>
      <c r="G11" s="2966" t="s">
        <v>3157</v>
      </c>
      <c r="H11" s="2966" t="s">
        <v>3182</v>
      </c>
      <c r="I11" s="2966">
        <v>13943.25</v>
      </c>
      <c r="J11" s="2966">
        <v>13943.25</v>
      </c>
      <c r="K11" s="2966">
        <v>3853.32</v>
      </c>
      <c r="L11" s="2966">
        <v>0</v>
      </c>
      <c r="M11" s="2966" t="s">
        <v>3183</v>
      </c>
    </row>
    <row r="12" spans="1:13">
      <c r="A12" s="2966" t="s">
        <v>3184</v>
      </c>
      <c r="B12" s="2966" t="s">
        <v>3055</v>
      </c>
      <c r="C12" s="2966" t="s">
        <v>3059</v>
      </c>
      <c r="D12" s="2966">
        <v>401615.3</v>
      </c>
      <c r="E12" s="2966">
        <v>401615</v>
      </c>
      <c r="F12" s="2966">
        <v>1</v>
      </c>
      <c r="G12" s="2966" t="s">
        <v>3157</v>
      </c>
      <c r="H12" s="2966" t="s">
        <v>3182</v>
      </c>
      <c r="I12" s="2966">
        <v>109378.8</v>
      </c>
      <c r="J12" s="2966">
        <v>109378.8</v>
      </c>
      <c r="K12" s="2966">
        <v>2723.46</v>
      </c>
      <c r="L12" s="2966">
        <v>0</v>
      </c>
      <c r="M12" s="2966" t="s">
        <v>3185</v>
      </c>
    </row>
    <row r="13" spans="1:13">
      <c r="A13" s="2966" t="s">
        <v>3186</v>
      </c>
      <c r="B13" s="2966" t="s">
        <v>3055</v>
      </c>
      <c r="C13" s="2966" t="s">
        <v>3059</v>
      </c>
      <c r="D13" s="2966">
        <v>72743.12</v>
      </c>
      <c r="E13" s="2966">
        <v>109114.7</v>
      </c>
      <c r="F13" s="2966" t="s">
        <v>3187</v>
      </c>
      <c r="G13" s="2966" t="s">
        <v>3157</v>
      </c>
      <c r="H13" s="2966" t="s">
        <v>3188</v>
      </c>
      <c r="I13" s="2966">
        <v>11784.38</v>
      </c>
      <c r="J13" s="2966">
        <v>11784.38</v>
      </c>
      <c r="K13" s="2966">
        <v>1080</v>
      </c>
      <c r="L13" s="2966">
        <v>0</v>
      </c>
      <c r="M13" s="2966" t="s">
        <v>3189</v>
      </c>
    </row>
    <row r="14" spans="1:13">
      <c r="A14" s="2966" t="s">
        <v>3190</v>
      </c>
      <c r="B14" s="2966" t="s">
        <v>3055</v>
      </c>
      <c r="C14" s="2966" t="s">
        <v>3059</v>
      </c>
      <c r="D14" s="2966">
        <v>20000.599999999999</v>
      </c>
      <c r="E14" s="2966">
        <v>30000.9</v>
      </c>
      <c r="F14" s="2966" t="s">
        <v>3191</v>
      </c>
      <c r="G14" s="2966" t="s">
        <v>3157</v>
      </c>
      <c r="H14" s="2966" t="s">
        <v>3188</v>
      </c>
      <c r="I14" s="2966">
        <v>3240.09</v>
      </c>
      <c r="J14" s="2966">
        <v>3240.09</v>
      </c>
      <c r="K14" s="2966">
        <v>1080</v>
      </c>
      <c r="L14" s="2966">
        <v>0</v>
      </c>
      <c r="M14" s="2966" t="s">
        <v>3192</v>
      </c>
    </row>
    <row r="15" spans="1:13">
      <c r="A15" s="2966" t="s">
        <v>3193</v>
      </c>
      <c r="B15" s="2966" t="s">
        <v>3055</v>
      </c>
      <c r="C15" s="2966" t="s">
        <v>3059</v>
      </c>
      <c r="D15" s="2966">
        <v>34726.1</v>
      </c>
      <c r="E15" s="2966">
        <v>52089.15</v>
      </c>
      <c r="F15" s="2966" t="s">
        <v>3187</v>
      </c>
      <c r="G15" s="2966" t="s">
        <v>3157</v>
      </c>
      <c r="H15" s="2966" t="s">
        <v>3194</v>
      </c>
      <c r="I15" s="2966">
        <v>5625.63</v>
      </c>
      <c r="J15" s="2966">
        <v>5625.63</v>
      </c>
      <c r="K15" s="2966">
        <v>1080</v>
      </c>
      <c r="L15" s="2966">
        <v>0</v>
      </c>
      <c r="M15" s="2966" t="s">
        <v>3195</v>
      </c>
    </row>
    <row r="16" spans="1:13" s="2967" customFormat="1">
      <c r="A16" s="2967" t="s">
        <v>3315</v>
      </c>
      <c r="B16" s="2967" t="s">
        <v>3055</v>
      </c>
      <c r="C16" s="2967" t="s">
        <v>3059</v>
      </c>
      <c r="D16" s="2967">
        <v>11912.8</v>
      </c>
      <c r="E16" s="2967">
        <v>9530</v>
      </c>
      <c r="F16" s="2967">
        <v>0.8</v>
      </c>
      <c r="G16" s="2967" t="s">
        <v>3157</v>
      </c>
      <c r="H16" s="2967" t="s">
        <v>3196</v>
      </c>
      <c r="I16" s="2967">
        <v>1798</v>
      </c>
      <c r="J16" s="2967">
        <v>1798</v>
      </c>
      <c r="K16" s="2967">
        <v>1886.67</v>
      </c>
      <c r="L16" s="2967">
        <v>0</v>
      </c>
      <c r="M16" s="2967" t="s">
        <v>3197</v>
      </c>
    </row>
    <row r="17" spans="1:13">
      <c r="A17" s="2966" t="s">
        <v>3198</v>
      </c>
      <c r="B17" s="2966" t="s">
        <v>3055</v>
      </c>
      <c r="C17" s="2966" t="s">
        <v>3059</v>
      </c>
      <c r="D17" s="2966">
        <v>103751.8</v>
      </c>
      <c r="E17" s="2966">
        <v>155627.70000000001</v>
      </c>
      <c r="F17" s="2966" t="s">
        <v>3187</v>
      </c>
      <c r="G17" s="2966" t="s">
        <v>3157</v>
      </c>
      <c r="H17" s="2966" t="s">
        <v>3199</v>
      </c>
      <c r="I17" s="2966">
        <v>16807.79</v>
      </c>
      <c r="J17" s="2966">
        <v>16807.79</v>
      </c>
      <c r="K17" s="2966">
        <v>1080</v>
      </c>
      <c r="L17" s="2966">
        <v>0</v>
      </c>
      <c r="M17" s="2966" t="s">
        <v>3200</v>
      </c>
    </row>
    <row r="18" spans="1:13">
      <c r="A18" s="2966" t="s">
        <v>3201</v>
      </c>
      <c r="B18" s="2966" t="s">
        <v>3055</v>
      </c>
      <c r="C18" s="2966" t="s">
        <v>3059</v>
      </c>
      <c r="D18" s="2966">
        <v>61106.9</v>
      </c>
      <c r="E18" s="2966">
        <v>122213.8</v>
      </c>
      <c r="F18" s="2966" t="s">
        <v>3202</v>
      </c>
      <c r="G18" s="2966" t="s">
        <v>3157</v>
      </c>
      <c r="H18" s="2966" t="s">
        <v>3203</v>
      </c>
      <c r="I18" s="2966">
        <v>13199.09</v>
      </c>
      <c r="J18" s="2966">
        <v>13199.09</v>
      </c>
      <c r="K18" s="2966">
        <v>1080</v>
      </c>
      <c r="L18" s="2966">
        <v>0</v>
      </c>
      <c r="M18" s="2966" t="s">
        <v>3204</v>
      </c>
    </row>
    <row r="19" spans="1:13" s="2968" customFormat="1">
      <c r="A19" s="2968" t="s">
        <v>3291</v>
      </c>
      <c r="B19" s="2968" t="s">
        <v>3055</v>
      </c>
      <c r="C19" s="2968" t="s">
        <v>3059</v>
      </c>
      <c r="D19" s="2968">
        <v>2718.4</v>
      </c>
      <c r="E19" s="2968">
        <v>4077.6</v>
      </c>
      <c r="F19" s="2968" t="s">
        <v>3191</v>
      </c>
      <c r="G19" s="2968" t="s">
        <v>3157</v>
      </c>
      <c r="H19" s="2968" t="s">
        <v>3205</v>
      </c>
      <c r="I19" s="2968">
        <v>611.63</v>
      </c>
      <c r="J19" s="2968">
        <v>611.63</v>
      </c>
      <c r="K19" s="2968">
        <v>1500</v>
      </c>
      <c r="L19" s="2968">
        <v>0</v>
      </c>
      <c r="M19" s="2968" t="s">
        <v>3206</v>
      </c>
    </row>
    <row r="20" spans="1:13" s="2968" customFormat="1">
      <c r="A20" s="2968" t="s">
        <v>3293</v>
      </c>
      <c r="B20" s="2968" t="s">
        <v>3055</v>
      </c>
      <c r="C20" s="2968" t="s">
        <v>3059</v>
      </c>
      <c r="D20" s="2968">
        <v>11807.8</v>
      </c>
      <c r="E20" s="2968">
        <v>17711.7</v>
      </c>
      <c r="F20" s="2968" t="s">
        <v>3187</v>
      </c>
      <c r="G20" s="2968" t="s">
        <v>3157</v>
      </c>
      <c r="H20" s="2968" t="s">
        <v>3207</v>
      </c>
      <c r="I20" s="2968">
        <v>2656.76</v>
      </c>
      <c r="J20" s="2968">
        <v>2656.76</v>
      </c>
      <c r="K20" s="2968">
        <v>1500</v>
      </c>
      <c r="L20" s="2968">
        <v>0</v>
      </c>
      <c r="M20" s="2968" t="s">
        <v>3208</v>
      </c>
    </row>
    <row r="21" spans="1:13">
      <c r="A21" s="2966" t="s">
        <v>3209</v>
      </c>
      <c r="B21" s="2966" t="s">
        <v>3055</v>
      </c>
      <c r="C21" s="2966" t="s">
        <v>3059</v>
      </c>
      <c r="D21" s="2966">
        <v>40514.6</v>
      </c>
      <c r="E21" s="2966">
        <v>81029.2</v>
      </c>
      <c r="F21" s="2966" t="s">
        <v>3202</v>
      </c>
      <c r="G21" s="2966" t="s">
        <v>3157</v>
      </c>
      <c r="H21" s="2966" t="s">
        <v>3207</v>
      </c>
      <c r="I21" s="2966">
        <v>7049.53</v>
      </c>
      <c r="J21" s="2966">
        <v>7049.53</v>
      </c>
      <c r="K21" s="2966">
        <v>870</v>
      </c>
      <c r="L21" s="2966">
        <v>0</v>
      </c>
      <c r="M21" s="2966" t="s">
        <v>3210</v>
      </c>
    </row>
    <row r="22" spans="1:13">
      <c r="A22" s="2966" t="s">
        <v>3211</v>
      </c>
      <c r="B22" s="2966" t="s">
        <v>3055</v>
      </c>
      <c r="C22" s="2966" t="s">
        <v>3059</v>
      </c>
      <c r="D22" s="2966">
        <v>31860</v>
      </c>
      <c r="E22" s="2966">
        <v>63720</v>
      </c>
      <c r="F22" s="2966" t="s">
        <v>3202</v>
      </c>
      <c r="G22" s="2966" t="s">
        <v>3157</v>
      </c>
      <c r="H22" s="2966" t="s">
        <v>3212</v>
      </c>
      <c r="I22" s="2966">
        <v>5543.64</v>
      </c>
      <c r="J22" s="2966">
        <v>5543.64</v>
      </c>
      <c r="K22" s="2966">
        <v>870</v>
      </c>
      <c r="L22" s="2966">
        <v>0</v>
      </c>
      <c r="M22" s="2966" t="s">
        <v>3213</v>
      </c>
    </row>
    <row r="23" spans="1:13">
      <c r="A23" s="2966" t="s">
        <v>3214</v>
      </c>
      <c r="B23" s="2966" t="s">
        <v>3055</v>
      </c>
      <c r="C23" s="2966" t="s">
        <v>3059</v>
      </c>
      <c r="D23" s="2966">
        <v>233050</v>
      </c>
      <c r="E23" s="2966">
        <v>279660</v>
      </c>
      <c r="F23" s="2966" t="s">
        <v>3215</v>
      </c>
      <c r="G23" s="2966" t="s">
        <v>3157</v>
      </c>
      <c r="H23" s="2966" t="s">
        <v>3216</v>
      </c>
      <c r="I23" s="2966">
        <v>21533.81</v>
      </c>
      <c r="J23" s="2966">
        <v>21533.81</v>
      </c>
      <c r="K23" s="2966">
        <v>770</v>
      </c>
      <c r="L23" s="2966">
        <v>0</v>
      </c>
      <c r="M23" s="2966" t="s">
        <v>3171</v>
      </c>
    </row>
    <row r="24" spans="1:13">
      <c r="A24" s="2966" t="s">
        <v>3217</v>
      </c>
      <c r="B24" s="2966" t="s">
        <v>3055</v>
      </c>
      <c r="C24" s="2966" t="s">
        <v>3059</v>
      </c>
      <c r="D24" s="2966">
        <v>26676.58</v>
      </c>
      <c r="E24" s="2966">
        <v>37347</v>
      </c>
      <c r="F24" s="2966" t="s">
        <v>3218</v>
      </c>
      <c r="G24" s="2966" t="s">
        <v>3157</v>
      </c>
      <c r="H24" s="2966" t="s">
        <v>3219</v>
      </c>
      <c r="I24" s="2966">
        <v>3035</v>
      </c>
      <c r="J24" s="2966">
        <v>3035</v>
      </c>
      <c r="K24" s="2966">
        <v>812.64</v>
      </c>
      <c r="L24" s="2966">
        <v>0</v>
      </c>
      <c r="M24" s="2966" t="s">
        <v>3220</v>
      </c>
    </row>
    <row r="25" spans="1:13">
      <c r="A25" s="2966" t="s">
        <v>3221</v>
      </c>
      <c r="B25" s="2966" t="s">
        <v>3055</v>
      </c>
      <c r="C25" s="2966" t="s">
        <v>3059</v>
      </c>
      <c r="D25" s="2966">
        <v>50030.87</v>
      </c>
      <c r="E25" s="2966">
        <v>75046</v>
      </c>
      <c r="F25" s="2966" t="s">
        <v>3191</v>
      </c>
      <c r="G25" s="2966" t="s">
        <v>3157</v>
      </c>
      <c r="H25" s="2966" t="s">
        <v>3222</v>
      </c>
      <c r="I25" s="2966">
        <v>5951</v>
      </c>
      <c r="J25" s="2966">
        <v>5951</v>
      </c>
      <c r="K25" s="2966">
        <v>792.98</v>
      </c>
      <c r="L25" s="2966">
        <v>0</v>
      </c>
      <c r="M25" s="2966" t="s">
        <v>3223</v>
      </c>
    </row>
    <row r="26" spans="1:13">
      <c r="A26" s="2966" t="s">
        <v>3224</v>
      </c>
      <c r="B26" s="2966" t="s">
        <v>3055</v>
      </c>
      <c r="C26" s="2966" t="s">
        <v>3059</v>
      </c>
      <c r="D26" s="2966">
        <v>49648.1</v>
      </c>
      <c r="E26" s="2966">
        <v>99296.2</v>
      </c>
      <c r="F26" s="2966" t="s">
        <v>3202</v>
      </c>
      <c r="G26" s="2966" t="s">
        <v>3157</v>
      </c>
      <c r="H26" s="2966" t="s">
        <v>3225</v>
      </c>
      <c r="I26" s="2966">
        <v>8638.77</v>
      </c>
      <c r="J26" s="2966">
        <v>8638.77</v>
      </c>
      <c r="K26" s="2966">
        <v>870</v>
      </c>
      <c r="L26" s="2966">
        <v>0</v>
      </c>
      <c r="M26" s="2966" t="s">
        <v>3226</v>
      </c>
    </row>
    <row r="27" spans="1:13">
      <c r="A27" s="2966" t="s">
        <v>3227</v>
      </c>
      <c r="B27" s="2966" t="s">
        <v>3055</v>
      </c>
      <c r="C27" s="2966" t="s">
        <v>3059</v>
      </c>
      <c r="D27" s="2966">
        <v>11642.35</v>
      </c>
      <c r="E27" s="2966">
        <v>23285</v>
      </c>
      <c r="F27" s="2966" t="s">
        <v>3202</v>
      </c>
      <c r="G27" s="2966" t="s">
        <v>3157</v>
      </c>
      <c r="H27" s="2966" t="s">
        <v>3228</v>
      </c>
      <c r="I27" s="2966">
        <v>1635</v>
      </c>
      <c r="J27" s="2966">
        <v>1635</v>
      </c>
      <c r="K27" s="2966">
        <v>702.16</v>
      </c>
      <c r="L27" s="2966">
        <v>0</v>
      </c>
      <c r="M27" s="2966" t="s">
        <v>3229</v>
      </c>
    </row>
    <row r="28" spans="1:13">
      <c r="A28" s="2966" t="s">
        <v>3230</v>
      </c>
      <c r="B28" s="2966" t="s">
        <v>3055</v>
      </c>
      <c r="C28" s="2966" t="s">
        <v>3059</v>
      </c>
      <c r="D28" s="2966">
        <v>5352.49</v>
      </c>
      <c r="E28" s="2966">
        <v>7493</v>
      </c>
      <c r="F28" s="2966" t="s">
        <v>3218</v>
      </c>
      <c r="G28" s="2966" t="s">
        <v>3157</v>
      </c>
      <c r="H28" s="2966" t="s">
        <v>3228</v>
      </c>
      <c r="I28" s="2966">
        <v>613</v>
      </c>
      <c r="J28" s="2966">
        <v>613</v>
      </c>
      <c r="K28" s="2966">
        <v>818.1</v>
      </c>
      <c r="L28" s="2966">
        <v>0</v>
      </c>
      <c r="M28" s="2966" t="s">
        <v>3231</v>
      </c>
    </row>
    <row r="29" spans="1:13">
      <c r="A29" s="2966" t="s">
        <v>3232</v>
      </c>
      <c r="B29" s="2966" t="s">
        <v>3055</v>
      </c>
      <c r="C29" s="2966" t="s">
        <v>3059</v>
      </c>
      <c r="D29" s="2966">
        <v>11276.71</v>
      </c>
      <c r="E29" s="2966">
        <v>16915</v>
      </c>
      <c r="F29" s="2966" t="s">
        <v>3191</v>
      </c>
      <c r="G29" s="2966" t="s">
        <v>3157</v>
      </c>
      <c r="H29" s="2966" t="s">
        <v>3228</v>
      </c>
      <c r="I29" s="2966">
        <v>1346</v>
      </c>
      <c r="J29" s="2966">
        <v>1346</v>
      </c>
      <c r="K29" s="2966">
        <v>795.74</v>
      </c>
      <c r="L29" s="2966">
        <v>0</v>
      </c>
      <c r="M29" s="2966" t="s">
        <v>3233</v>
      </c>
    </row>
    <row r="30" spans="1:13">
      <c r="A30" s="2966" t="s">
        <v>3234</v>
      </c>
      <c r="B30" s="2966" t="s">
        <v>3055</v>
      </c>
      <c r="C30" s="2966" t="s">
        <v>3059</v>
      </c>
      <c r="D30" s="2966">
        <v>11295.39</v>
      </c>
      <c r="E30" s="2966">
        <v>16943</v>
      </c>
      <c r="F30" s="2966" t="s">
        <v>3191</v>
      </c>
      <c r="G30" s="2966" t="s">
        <v>3157</v>
      </c>
      <c r="H30" s="2966" t="s">
        <v>3235</v>
      </c>
      <c r="I30" s="2966">
        <v>1347</v>
      </c>
      <c r="J30" s="2966">
        <v>1347</v>
      </c>
      <c r="K30" s="2966">
        <v>795.01</v>
      </c>
      <c r="L30" s="2966">
        <v>0</v>
      </c>
      <c r="M30" s="2966" t="s">
        <v>3236</v>
      </c>
    </row>
    <row r="31" spans="1:13">
      <c r="A31" s="2966" t="s">
        <v>3237</v>
      </c>
      <c r="B31" s="2966" t="s">
        <v>3055</v>
      </c>
      <c r="C31" s="2966" t="s">
        <v>3059</v>
      </c>
      <c r="D31" s="2966">
        <v>66765.320000000007</v>
      </c>
      <c r="E31" s="2966">
        <v>100148</v>
      </c>
      <c r="F31" s="2966" t="s">
        <v>3191</v>
      </c>
      <c r="G31" s="2966" t="s">
        <v>3157</v>
      </c>
      <c r="H31" s="2966" t="s">
        <v>3235</v>
      </c>
      <c r="I31" s="2966">
        <v>11186</v>
      </c>
      <c r="J31" s="2966">
        <v>11186</v>
      </c>
      <c r="K31" s="2966">
        <v>1116.95</v>
      </c>
      <c r="L31" s="2966">
        <v>0</v>
      </c>
      <c r="M31" s="2966" t="s">
        <v>3238</v>
      </c>
    </row>
    <row r="32" spans="1:13">
      <c r="A32" s="2966" t="s">
        <v>3239</v>
      </c>
      <c r="B32" s="2966" t="s">
        <v>3055</v>
      </c>
      <c r="C32" s="2966" t="s">
        <v>3059</v>
      </c>
      <c r="D32" s="2966">
        <v>109617.1</v>
      </c>
      <c r="E32" s="2966">
        <v>164426</v>
      </c>
      <c r="F32" s="2966" t="s">
        <v>3191</v>
      </c>
      <c r="G32" s="2966" t="s">
        <v>3157</v>
      </c>
      <c r="H32" s="2966" t="s">
        <v>3240</v>
      </c>
      <c r="I32" s="2966">
        <v>13011</v>
      </c>
      <c r="J32" s="2966">
        <v>13011</v>
      </c>
      <c r="K32" s="2966">
        <v>791.29</v>
      </c>
      <c r="L32" s="2966">
        <v>0</v>
      </c>
      <c r="M32" s="2966" t="s">
        <v>3241</v>
      </c>
    </row>
    <row r="33" spans="1:13">
      <c r="A33" s="2966" t="s">
        <v>3242</v>
      </c>
      <c r="B33" s="2966" t="s">
        <v>3055</v>
      </c>
      <c r="C33" s="2966" t="s">
        <v>3059</v>
      </c>
      <c r="D33" s="2966">
        <v>82247.570000000007</v>
      </c>
      <c r="E33" s="2966">
        <v>123371</v>
      </c>
      <c r="F33" s="2966" t="s">
        <v>3191</v>
      </c>
      <c r="G33" s="2966" t="s">
        <v>3157</v>
      </c>
      <c r="H33" s="2966" t="s">
        <v>3240</v>
      </c>
      <c r="I33" s="2966">
        <v>9770</v>
      </c>
      <c r="J33" s="2966">
        <v>9770</v>
      </c>
      <c r="K33" s="2966">
        <v>791.91</v>
      </c>
      <c r="L33" s="2966">
        <v>0</v>
      </c>
      <c r="M33" s="2966" t="s">
        <v>3243</v>
      </c>
    </row>
    <row r="34" spans="1:13">
      <c r="A34" s="2966" t="s">
        <v>3244</v>
      </c>
      <c r="B34" s="2966" t="s">
        <v>3055</v>
      </c>
      <c r="C34" s="2966" t="s">
        <v>3059</v>
      </c>
      <c r="D34" s="2966">
        <v>15638.6</v>
      </c>
      <c r="E34" s="2966">
        <v>21894</v>
      </c>
      <c r="F34" s="2966" t="s">
        <v>3218</v>
      </c>
      <c r="G34" s="2966" t="s">
        <v>3157</v>
      </c>
      <c r="H34" s="2966" t="s">
        <v>3240</v>
      </c>
      <c r="I34" s="2966">
        <v>1780</v>
      </c>
      <c r="J34" s="2966">
        <v>1780</v>
      </c>
      <c r="K34" s="2966">
        <v>813</v>
      </c>
      <c r="L34" s="2966">
        <v>0</v>
      </c>
      <c r="M34" s="2966" t="s">
        <v>3245</v>
      </c>
    </row>
    <row r="35" spans="1:13">
      <c r="A35" s="2966" t="s">
        <v>3246</v>
      </c>
      <c r="B35" s="2966" t="s">
        <v>3055</v>
      </c>
      <c r="C35" s="2966" t="s">
        <v>3059</v>
      </c>
      <c r="D35" s="2966">
        <v>42702.82</v>
      </c>
      <c r="E35" s="2966">
        <v>85406</v>
      </c>
      <c r="F35" s="2966" t="s">
        <v>3202</v>
      </c>
      <c r="G35" s="2966" t="s">
        <v>3157</v>
      </c>
      <c r="H35" s="2966" t="s">
        <v>3240</v>
      </c>
      <c r="I35" s="2966">
        <v>5984</v>
      </c>
      <c r="J35" s="2966">
        <v>5984</v>
      </c>
      <c r="K35" s="2966">
        <v>700.64</v>
      </c>
      <c r="L35" s="2966">
        <v>0</v>
      </c>
      <c r="M35" s="2966" t="s">
        <v>3247</v>
      </c>
    </row>
    <row r="36" spans="1:13">
      <c r="A36" s="2966" t="s">
        <v>3248</v>
      </c>
      <c r="B36" s="2966" t="s">
        <v>3055</v>
      </c>
      <c r="C36" s="2966" t="s">
        <v>3059</v>
      </c>
      <c r="D36" s="2966">
        <v>24937.14</v>
      </c>
      <c r="E36" s="2966">
        <v>49874</v>
      </c>
      <c r="F36" s="2966" t="s">
        <v>3202</v>
      </c>
      <c r="G36" s="2966" t="s">
        <v>3157</v>
      </c>
      <c r="H36" s="2966" t="s">
        <v>3240</v>
      </c>
      <c r="I36" s="2966">
        <v>3495</v>
      </c>
      <c r="J36" s="2966">
        <v>3495</v>
      </c>
      <c r="K36" s="2966">
        <v>700.76</v>
      </c>
      <c r="L36" s="2966">
        <v>0</v>
      </c>
      <c r="M36" s="2966" t="s">
        <v>3249</v>
      </c>
    </row>
    <row r="37" spans="1:13">
      <c r="A37" s="2966" t="s">
        <v>3250</v>
      </c>
      <c r="B37" s="2966" t="s">
        <v>3055</v>
      </c>
      <c r="C37" s="2966" t="s">
        <v>3059</v>
      </c>
      <c r="D37" s="2966">
        <v>47274.78</v>
      </c>
      <c r="E37" s="2966">
        <v>70912</v>
      </c>
      <c r="F37" s="2966" t="s">
        <v>3191</v>
      </c>
      <c r="G37" s="2966" t="s">
        <v>3157</v>
      </c>
      <c r="H37" s="2966" t="s">
        <v>3240</v>
      </c>
      <c r="I37" s="2966">
        <v>5615</v>
      </c>
      <c r="J37" s="2966">
        <v>5615</v>
      </c>
      <c r="K37" s="2966">
        <v>791.83</v>
      </c>
      <c r="L37" s="2966">
        <v>0</v>
      </c>
      <c r="M37" s="2966" t="s">
        <v>3251</v>
      </c>
    </row>
    <row r="38" spans="1:13">
      <c r="A38" s="2966" t="s">
        <v>3252</v>
      </c>
      <c r="B38" s="2966" t="s">
        <v>3055</v>
      </c>
      <c r="C38" s="2966" t="s">
        <v>3059</v>
      </c>
      <c r="D38" s="2966">
        <v>106517.9</v>
      </c>
      <c r="E38" s="2966">
        <v>213035.8</v>
      </c>
      <c r="F38" s="2966" t="s">
        <v>3202</v>
      </c>
      <c r="G38" s="2966" t="s">
        <v>3157</v>
      </c>
      <c r="H38" s="2966" t="s">
        <v>3253</v>
      </c>
      <c r="I38" s="2966">
        <v>18534.11</v>
      </c>
      <c r="J38" s="2966">
        <v>18534.11</v>
      </c>
      <c r="K38" s="2966">
        <v>870</v>
      </c>
      <c r="L38" s="2966">
        <v>0</v>
      </c>
      <c r="M38" s="2966" t="s">
        <v>3254</v>
      </c>
    </row>
    <row r="39" spans="1:13">
      <c r="A39" s="2966" t="s">
        <v>3255</v>
      </c>
      <c r="B39" s="2966" t="s">
        <v>3055</v>
      </c>
      <c r="C39" s="2966" t="s">
        <v>3059</v>
      </c>
      <c r="D39" s="2966">
        <v>13289.21</v>
      </c>
      <c r="E39" s="2966">
        <v>10631</v>
      </c>
      <c r="F39" s="2966">
        <v>0.8</v>
      </c>
      <c r="G39" s="2966" t="s">
        <v>3157</v>
      </c>
      <c r="H39" s="2966" t="s">
        <v>3256</v>
      </c>
      <c r="I39" s="2966">
        <v>1597.44</v>
      </c>
      <c r="J39" s="2966">
        <v>1597.44</v>
      </c>
      <c r="K39" s="2966">
        <v>1502.61</v>
      </c>
      <c r="L39" s="2966">
        <v>0</v>
      </c>
      <c r="M39" s="2966" t="s">
        <v>3257</v>
      </c>
    </row>
    <row r="40" spans="1:13">
      <c r="A40" s="2966" t="s">
        <v>3258</v>
      </c>
      <c r="B40" s="2966" t="s">
        <v>3055</v>
      </c>
      <c r="C40" s="2966" t="s">
        <v>3059</v>
      </c>
      <c r="D40" s="2966">
        <v>56802.68</v>
      </c>
      <c r="E40" s="2966">
        <v>45442</v>
      </c>
      <c r="F40" s="2966">
        <v>0.8</v>
      </c>
      <c r="G40" s="2966" t="s">
        <v>3157</v>
      </c>
      <c r="H40" s="2966" t="s">
        <v>3256</v>
      </c>
      <c r="I40" s="2966">
        <v>7121.07</v>
      </c>
      <c r="J40" s="2966">
        <v>7121.07</v>
      </c>
      <c r="K40" s="2966">
        <v>1567.06</v>
      </c>
      <c r="L40" s="2966">
        <v>0</v>
      </c>
      <c r="M40" s="2966" t="s">
        <v>3259</v>
      </c>
    </row>
    <row r="41" spans="1:13">
      <c r="A41" s="2966" t="s">
        <v>3260</v>
      </c>
      <c r="B41" s="2966" t="s">
        <v>3055</v>
      </c>
      <c r="C41" s="2966" t="s">
        <v>3059</v>
      </c>
      <c r="D41" s="2966">
        <v>71328.36</v>
      </c>
      <c r="E41" s="2966">
        <v>57063</v>
      </c>
      <c r="F41" s="2966">
        <v>0.8</v>
      </c>
      <c r="G41" s="2966" t="s">
        <v>3157</v>
      </c>
      <c r="H41" s="2966" t="s">
        <v>3261</v>
      </c>
      <c r="I41" s="2966">
        <v>8967.77</v>
      </c>
      <c r="J41" s="2966">
        <v>8967.77</v>
      </c>
      <c r="K41" s="2966">
        <v>1571.55</v>
      </c>
      <c r="L41" s="2966">
        <v>0</v>
      </c>
      <c r="M41" s="2966" t="s">
        <v>3262</v>
      </c>
    </row>
    <row r="42" spans="1:13">
      <c r="A42" s="2966" t="s">
        <v>3263</v>
      </c>
      <c r="B42" s="2966" t="s">
        <v>3055</v>
      </c>
      <c r="C42" s="2966" t="s">
        <v>3059</v>
      </c>
      <c r="D42" s="2966">
        <v>41930.26</v>
      </c>
      <c r="E42" s="2966">
        <v>33544</v>
      </c>
      <c r="F42" s="2966">
        <v>0.8</v>
      </c>
      <c r="G42" s="2966" t="s">
        <v>3157</v>
      </c>
      <c r="H42" s="2966" t="s">
        <v>3264</v>
      </c>
      <c r="I42" s="2966">
        <v>5256.6</v>
      </c>
      <c r="J42" s="2966">
        <v>5256.6</v>
      </c>
      <c r="K42" s="2966">
        <v>1567.07</v>
      </c>
      <c r="L42" s="2966">
        <v>0</v>
      </c>
      <c r="M42" s="2966" t="s">
        <v>3265</v>
      </c>
    </row>
    <row r="43" spans="1:13">
      <c r="A43" s="2966" t="s">
        <v>3266</v>
      </c>
      <c r="B43" s="2966" t="s">
        <v>3055</v>
      </c>
      <c r="C43" s="2966" t="s">
        <v>3059</v>
      </c>
      <c r="D43" s="2966">
        <v>19503.599999999999</v>
      </c>
      <c r="E43" s="2966">
        <v>29255.4</v>
      </c>
      <c r="F43" s="2966" t="s">
        <v>3187</v>
      </c>
      <c r="G43" s="2966" t="s">
        <v>3157</v>
      </c>
      <c r="H43" s="2966" t="s">
        <v>3267</v>
      </c>
      <c r="I43" s="2966">
        <v>2145.4</v>
      </c>
      <c r="J43" s="2966">
        <v>2145.4</v>
      </c>
      <c r="K43" s="2966">
        <v>733.33</v>
      </c>
      <c r="L43" s="2966">
        <v>0</v>
      </c>
      <c r="M43" s="2966" t="s">
        <v>3268</v>
      </c>
    </row>
    <row r="44" spans="1:13">
      <c r="A44" s="2966" t="s">
        <v>3269</v>
      </c>
      <c r="B44" s="2966" t="s">
        <v>3055</v>
      </c>
      <c r="C44" s="2966" t="s">
        <v>3059</v>
      </c>
      <c r="D44" s="2966">
        <v>20637.13</v>
      </c>
      <c r="E44" s="2966">
        <v>41274</v>
      </c>
      <c r="F44" s="2966" t="s">
        <v>3202</v>
      </c>
      <c r="G44" s="2966" t="s">
        <v>3157</v>
      </c>
      <c r="H44" s="2966" t="s">
        <v>3270</v>
      </c>
      <c r="I44" s="2966">
        <v>2360</v>
      </c>
      <c r="J44" s="2966">
        <v>2360</v>
      </c>
      <c r="K44" s="2966">
        <v>571.78</v>
      </c>
      <c r="L44" s="2966">
        <v>0</v>
      </c>
      <c r="M44" s="2966" t="s">
        <v>3271</v>
      </c>
    </row>
    <row r="45" spans="1:13">
      <c r="A45" s="2966" t="s">
        <v>3272</v>
      </c>
      <c r="B45" s="2966" t="s">
        <v>3055</v>
      </c>
      <c r="C45" s="2966" t="s">
        <v>3059</v>
      </c>
      <c r="D45" s="2966">
        <v>43210.55</v>
      </c>
      <c r="E45" s="2966">
        <v>86421</v>
      </c>
      <c r="F45" s="2966" t="s">
        <v>3202</v>
      </c>
      <c r="G45" s="2966" t="s">
        <v>3157</v>
      </c>
      <c r="H45" s="2966" t="s">
        <v>3273</v>
      </c>
      <c r="I45" s="2966">
        <v>4128</v>
      </c>
      <c r="J45" s="2966">
        <v>4128</v>
      </c>
      <c r="K45" s="2966">
        <v>477.66</v>
      </c>
      <c r="L45" s="2966">
        <v>0</v>
      </c>
      <c r="M45" s="2966" t="s">
        <v>3274</v>
      </c>
    </row>
    <row r="46" spans="1:13">
      <c r="A46" s="2966" t="s">
        <v>3275</v>
      </c>
      <c r="B46" s="2966" t="s">
        <v>3055</v>
      </c>
      <c r="C46" s="2966" t="s">
        <v>3059</v>
      </c>
      <c r="D46" s="2966">
        <v>9391.2999999999993</v>
      </c>
      <c r="E46" s="2966">
        <v>14087</v>
      </c>
      <c r="F46" s="2966" t="s">
        <v>3191</v>
      </c>
      <c r="G46" s="2966" t="s">
        <v>3157</v>
      </c>
      <c r="H46" s="2966" t="s">
        <v>3273</v>
      </c>
      <c r="I46" s="2966">
        <v>1025</v>
      </c>
      <c r="J46" s="2966">
        <v>1025</v>
      </c>
      <c r="K46" s="2966">
        <v>727.62</v>
      </c>
      <c r="L46" s="2966">
        <v>0</v>
      </c>
      <c r="M46" s="2966" t="s">
        <v>3276</v>
      </c>
    </row>
    <row r="47" spans="1:13">
      <c r="A47" s="2966" t="s">
        <v>3277</v>
      </c>
      <c r="B47" s="2966" t="s">
        <v>3055</v>
      </c>
      <c r="C47" s="2966" t="s">
        <v>3059</v>
      </c>
      <c r="D47" s="2966">
        <v>21332.080000000002</v>
      </c>
      <c r="E47" s="2966">
        <v>42664</v>
      </c>
      <c r="F47" s="2966" t="s">
        <v>3278</v>
      </c>
      <c r="G47" s="2966" t="s">
        <v>3157</v>
      </c>
      <c r="H47" s="2966" t="s">
        <v>3273</v>
      </c>
      <c r="I47" s="2966">
        <v>1509</v>
      </c>
      <c r="J47" s="2966">
        <v>1509</v>
      </c>
      <c r="K47" s="2966">
        <v>353.68</v>
      </c>
      <c r="L47" s="2966">
        <v>0</v>
      </c>
      <c r="M47" s="2966" t="s">
        <v>3279</v>
      </c>
    </row>
    <row r="48" spans="1:13">
      <c r="A48" s="2966" t="s">
        <v>3280</v>
      </c>
      <c r="B48" s="2966" t="s">
        <v>3055</v>
      </c>
      <c r="C48" s="2966" t="s">
        <v>3059</v>
      </c>
      <c r="D48" s="2966">
        <v>8666</v>
      </c>
      <c r="E48" s="2966">
        <v>17332</v>
      </c>
      <c r="F48" s="2966" t="s">
        <v>3202</v>
      </c>
      <c r="G48" s="2966" t="s">
        <v>3157</v>
      </c>
      <c r="H48" s="2966" t="s">
        <v>3273</v>
      </c>
      <c r="I48" s="2966">
        <v>1094</v>
      </c>
      <c r="J48" s="2966">
        <v>1094</v>
      </c>
      <c r="K48" s="2966">
        <v>631.20000000000005</v>
      </c>
      <c r="L48" s="2966">
        <v>0</v>
      </c>
      <c r="M48" s="2966" t="s">
        <v>3281</v>
      </c>
    </row>
    <row r="49" spans="1:13">
      <c r="A49" s="2966" t="s">
        <v>3282</v>
      </c>
      <c r="B49" s="2966" t="s">
        <v>3055</v>
      </c>
      <c r="C49" s="2966" t="s">
        <v>3059</v>
      </c>
      <c r="D49" s="2966">
        <v>5513.1</v>
      </c>
      <c r="E49" s="2966">
        <v>8269.65</v>
      </c>
      <c r="F49" s="2966" t="s">
        <v>3187</v>
      </c>
      <c r="G49" s="2966" t="s">
        <v>3157</v>
      </c>
      <c r="H49" s="2966" t="s">
        <v>3283</v>
      </c>
      <c r="I49" s="2966">
        <v>826.97</v>
      </c>
      <c r="J49" s="2966">
        <v>826.97</v>
      </c>
      <c r="K49" s="2966">
        <v>1000</v>
      </c>
      <c r="L49" s="2966">
        <v>0</v>
      </c>
      <c r="M49" s="2966" t="s">
        <v>3284</v>
      </c>
    </row>
    <row r="50" spans="1:13">
      <c r="A50" s="2966" t="s">
        <v>3285</v>
      </c>
      <c r="B50" s="2966" t="s">
        <v>3055</v>
      </c>
      <c r="C50" s="2966" t="s">
        <v>3059</v>
      </c>
      <c r="D50" s="2966">
        <v>8849.2000000000007</v>
      </c>
      <c r="E50" s="2966">
        <v>17698.400000000001</v>
      </c>
      <c r="F50" s="2966" t="s">
        <v>3286</v>
      </c>
      <c r="G50" s="2966" t="s">
        <v>3157</v>
      </c>
      <c r="H50" s="2966" t="s">
        <v>3283</v>
      </c>
      <c r="I50" s="2966">
        <v>1327.38</v>
      </c>
      <c r="J50" s="2966">
        <v>1327.38</v>
      </c>
      <c r="K50" s="2966">
        <v>750</v>
      </c>
      <c r="L50" s="2966">
        <v>0</v>
      </c>
      <c r="M50" s="2966" t="s">
        <v>3287</v>
      </c>
    </row>
    <row r="51" spans="1:13">
      <c r="A51" s="2966" t="s">
        <v>3288</v>
      </c>
      <c r="B51" s="2966" t="s">
        <v>3055</v>
      </c>
      <c r="C51" s="2966" t="s">
        <v>3059</v>
      </c>
      <c r="D51" s="2966">
        <v>9956.2999999999993</v>
      </c>
      <c r="E51" s="2966">
        <v>14934.45</v>
      </c>
      <c r="F51" s="2966" t="s">
        <v>3191</v>
      </c>
      <c r="G51" s="2966" t="s">
        <v>3157</v>
      </c>
      <c r="H51" s="2966" t="s">
        <v>3283</v>
      </c>
      <c r="I51" s="2966">
        <v>1493.45</v>
      </c>
      <c r="J51" s="2966">
        <v>1493.45</v>
      </c>
      <c r="K51" s="2966">
        <v>1000</v>
      </c>
      <c r="L51" s="2966">
        <v>0</v>
      </c>
      <c r="M51" s="2966" t="s">
        <v>3289</v>
      </c>
    </row>
  </sheetData>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1641</v>
      </c>
      <c r="B2" s="2991" t="s">
        <v>1642</v>
      </c>
      <c r="C2" s="2991" t="s">
        <v>1643</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7" t="s">
        <v>1638</v>
      </c>
      <c r="E3" s="1047" t="s">
        <v>1644</v>
      </c>
      <c r="F3" s="1047" t="s">
        <v>1638</v>
      </c>
      <c r="G3" s="1047" t="s">
        <v>1639</v>
      </c>
      <c r="H3" s="1047" t="s">
        <v>1638</v>
      </c>
      <c r="I3" s="1047" t="s">
        <v>1639</v>
      </c>
    </row>
    <row r="4" spans="1:9" ht="60">
      <c r="A4" s="1976" t="str">
        <f>项目基本情况!S2</f>
        <v>北京市北京市海淀区永丰产业基地Ⅱ-4-C地段出让国有建设用地使用权及在建建筑物房地产</v>
      </c>
      <c r="B4" s="1047">
        <f>项目基本情况!C17</f>
        <v>32573.120000000003</v>
      </c>
      <c r="C4" s="1047">
        <f>项目基本情况!C18</f>
        <v>12753.9</v>
      </c>
      <c r="D4" s="1047" t="e">
        <f ca="1">结果表!D118</f>
        <v>#REF!</v>
      </c>
      <c r="E4" s="1047" t="e">
        <f ca="1">结果表!E118</f>
        <v>#REF!</v>
      </c>
      <c r="F4" s="1047" t="e">
        <f ca="1">结果表!F118</f>
        <v>#REF!</v>
      </c>
      <c r="G4" s="1047" t="e">
        <f ca="1">结果表!G118</f>
        <v>#REF!</v>
      </c>
      <c r="H4" s="1047">
        <f ca="1">结果表!H118</f>
        <v>20672</v>
      </c>
      <c r="I4" s="1047">
        <f ca="1">结果表!I118</f>
        <v>6346</v>
      </c>
    </row>
    <row r="5" spans="1:9" ht="30" customHeight="1">
      <c r="A5" s="2985" t="s">
        <v>1640</v>
      </c>
      <c r="B5" s="2985"/>
      <c r="C5" s="2985"/>
      <c r="D5" s="2986" t="e">
        <f ca="1">结果表!D119</f>
        <v>#REF!</v>
      </c>
      <c r="E5" s="2986"/>
      <c r="F5" s="2986" t="e">
        <f ca="1">结果表!F119</f>
        <v>#REF!</v>
      </c>
      <c r="G5" s="2986"/>
      <c r="H5" s="2986" t="str">
        <f ca="1">结果表!H119</f>
        <v>贰亿零陆佰柒拾贰万元整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1640</v>
      </c>
      <c r="B7" s="2985"/>
      <c r="C7" s="2985"/>
      <c r="D7" s="2987" t="str">
        <f>结果表!D121</f>
        <v>零元整</v>
      </c>
      <c r="E7" s="2988"/>
      <c r="F7" s="2988"/>
      <c r="G7" s="2988"/>
      <c r="H7" s="2988"/>
      <c r="I7" s="2989"/>
    </row>
    <row r="8" spans="1:9" ht="15.75">
      <c r="A8" s="2984" t="str">
        <f>结果表!A122</f>
        <v>房地产抵押价值</v>
      </c>
      <c r="B8" s="2984"/>
      <c r="C8" s="2984"/>
      <c r="D8" s="2984">
        <f ca="1">结果表!D122</f>
        <v>20672</v>
      </c>
      <c r="E8" s="2984"/>
      <c r="F8" s="2984"/>
      <c r="G8" s="2984"/>
      <c r="H8" s="2984"/>
      <c r="I8" s="2984"/>
    </row>
    <row r="9" spans="1:9" ht="15">
      <c r="A9" s="2985" t="s">
        <v>1640</v>
      </c>
      <c r="B9" s="2985"/>
      <c r="C9" s="2985"/>
      <c r="D9" s="2986" t="str">
        <f ca="1">结果表!D123</f>
        <v>贰亿零陆佰柒拾贰万元整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1640</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8" t="s">
        <v>1662</v>
      </c>
      <c r="B1" s="2998"/>
      <c r="C1" s="2998"/>
      <c r="D1" s="2998"/>
    </row>
    <row r="2" spans="1:4" ht="18">
      <c r="A2" s="2999" t="s">
        <v>1646</v>
      </c>
      <c r="B2" s="2999"/>
      <c r="C2" s="2999"/>
      <c r="D2" s="2999"/>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99" t="s">
        <v>1652</v>
      </c>
      <c r="B6" s="2999"/>
      <c r="C6" s="2999"/>
      <c r="D6" s="299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0" t="s">
        <v>1655</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1656</v>
      </c>
      <c r="B16" s="2994"/>
      <c r="C16" s="2994"/>
      <c r="D16" s="2994"/>
    </row>
    <row r="17" spans="1:4" ht="144" customHeight="1">
      <c r="A17" s="2994" t="s">
        <v>1657</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5"/>
      <c r="C21" s="2995"/>
      <c r="D21" s="2995"/>
    </row>
    <row r="22" spans="1:4" ht="18.75" customHeight="1">
      <c r="A22" s="2996" t="s">
        <v>1658</v>
      </c>
      <c r="B22" s="2996"/>
      <c r="C22" s="2996"/>
      <c r="D22" s="299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5" sqref="A35"/>
      <selection pane="bottomLeft" activeCell="A35" sqref="A35"/>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6" t="s">
        <v>1669</v>
      </c>
      <c r="B15" s="3001" t="s">
        <v>136</v>
      </c>
      <c r="C15" s="3002"/>
    </row>
    <row r="16" spans="1:7" ht="13.5">
      <c r="A16" s="3007"/>
      <c r="B16" s="3001" t="s">
        <v>69</v>
      </c>
      <c r="C16" s="3002"/>
    </row>
    <row r="17" spans="1:3" ht="13.5">
      <c r="A17" s="3007"/>
      <c r="B17" s="3004" t="s">
        <v>1670</v>
      </c>
      <c r="C17" s="2003" t="s">
        <v>1669</v>
      </c>
    </row>
    <row r="18" spans="1:3" ht="13.5">
      <c r="A18" s="3007"/>
      <c r="B18" s="3004"/>
      <c r="C18" s="2003" t="s">
        <v>1671</v>
      </c>
    </row>
    <row r="19" spans="1:3" ht="13.5">
      <c r="A19" s="3007"/>
      <c r="B19" s="3004"/>
      <c r="C19" s="2003" t="s">
        <v>1672</v>
      </c>
    </row>
    <row r="20" spans="1:3" ht="13.5">
      <c r="A20" s="3008"/>
      <c r="B20" s="3003" t="s">
        <v>1673</v>
      </c>
      <c r="C20" s="3002"/>
    </row>
    <row r="21" spans="1:3" ht="13.5">
      <c r="A21" s="2004" t="s">
        <v>1674</v>
      </c>
      <c r="B21" s="2005"/>
      <c r="C21" s="2006"/>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2003" t="s">
        <v>1680</v>
      </c>
    </row>
    <row r="26" spans="1:3" ht="13.5">
      <c r="A26" s="3005"/>
      <c r="B26" s="3004"/>
      <c r="C26" s="2003" t="s">
        <v>1681</v>
      </c>
    </row>
    <row r="27" spans="1:3" ht="13.5">
      <c r="A27" s="3005"/>
      <c r="B27" s="3004"/>
      <c r="C27" s="2003" t="s">
        <v>1682</v>
      </c>
    </row>
    <row r="28" spans="1:3" ht="13.5">
      <c r="A28" s="3005"/>
      <c r="B28" s="3004"/>
      <c r="C28" s="2003" t="s">
        <v>1683</v>
      </c>
    </row>
    <row r="29" spans="1:3" ht="13.5">
      <c r="A29" s="3005"/>
      <c r="B29" s="3004"/>
      <c r="C29" s="2003" t="s">
        <v>1684</v>
      </c>
    </row>
    <row r="30" spans="1:3" ht="13.5">
      <c r="A30" s="3005"/>
      <c r="B30" s="3004"/>
      <c r="C30" s="2003" t="s">
        <v>1685</v>
      </c>
    </row>
    <row r="31" spans="1:3" ht="13.5">
      <c r="A31" s="3005"/>
      <c r="B31" s="3004"/>
      <c r="C31" s="2003" t="s">
        <v>1686</v>
      </c>
    </row>
    <row r="32" spans="1:3" ht="13.5">
      <c r="A32" s="3005"/>
      <c r="B32" s="3004"/>
      <c r="C32" s="2003" t="s">
        <v>1687</v>
      </c>
    </row>
    <row r="33" spans="1:3" ht="13.5">
      <c r="A33" s="3005"/>
      <c r="B33" s="300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A35" sqref="A3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43277</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3051</v>
      </c>
      <c r="B12" s="1025">
        <v>1120110054</v>
      </c>
      <c r="C12" s="2946">
        <v>43937</v>
      </c>
      <c r="D12" s="1705" t="s">
        <v>3051</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09" t="s">
        <v>846</v>
      </c>
      <c r="B25" s="3009"/>
      <c r="C25" s="3009"/>
      <c r="D25" s="3009"/>
      <c r="E25" s="3009"/>
      <c r="F25" s="3009"/>
      <c r="G25" s="3009"/>
    </row>
    <row r="26" spans="1:7" s="1028" customFormat="1" ht="24" customHeight="1">
      <c r="A26" s="3010" t="s">
        <v>847</v>
      </c>
      <c r="B26" s="3010"/>
      <c r="C26" s="3011"/>
      <c r="D26" s="3012" t="s">
        <v>848</v>
      </c>
      <c r="E26" s="3010"/>
      <c r="F26" s="3010"/>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比较法（套用）</vt:lpstr>
      <vt:lpstr>收益法（办公）</vt:lpstr>
      <vt:lpstr>收益法 (元)</vt:lpstr>
      <vt:lpstr>收益法 (车库)</vt:lpstr>
      <vt:lpstr>收益法（仓储）</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地价案例</vt:lpstr>
      <vt:lpstr>估价师及机构信息!Print_Area</vt:lpstr>
      <vt:lpstr>'收益法 (车库)'!Print_Area</vt:lpstr>
      <vt:lpstr>'收益法 (元)'!Print_Area</vt:lpstr>
      <vt:lpstr>'收益法（办公）'!Print_Area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2018-06-26T02:54:36Z</dcterms:modified>
</cp:coreProperties>
</file>