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state="hidden" r:id="rId21"/>
    <sheet name="假设开发法" sheetId="12" r:id="rId22"/>
    <sheet name="比较法（套用）" sheetId="34"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I27" i="1" l="1"/>
  <c r="R41" i="40"/>
  <c r="D3" i="4"/>
  <c r="B2" i="1"/>
  <c r="C7" i="40" s="1"/>
  <c r="C63" i="40" s="1"/>
  <c r="G19" i="43"/>
  <c r="I3" i="71"/>
  <c r="AD3" i="71"/>
  <c r="J3" i="71"/>
  <c r="AE3" i="71"/>
  <c r="AF3" i="71" s="1"/>
  <c r="K3" i="71"/>
  <c r="AG3" i="71" s="1"/>
  <c r="L3" i="71"/>
  <c r="AH3" i="71" s="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F8" i="40"/>
  <c r="AA8" i="40"/>
  <c r="F9" i="40"/>
  <c r="AA9" i="40"/>
  <c r="F11" i="40"/>
  <c r="AA11" i="40"/>
  <c r="B77" i="40"/>
  <c r="F12" i="40"/>
  <c r="AA12" i="40" s="1"/>
  <c r="B79" i="40"/>
  <c r="F13" i="40" s="1"/>
  <c r="AA13" i="40" s="1"/>
  <c r="B81" i="40"/>
  <c r="F14" i="40"/>
  <c r="AA14" i="40" s="1"/>
  <c r="D84" i="40"/>
  <c r="E84" i="40" s="1"/>
  <c r="F15" i="40" s="1"/>
  <c r="AA15" i="40" s="1"/>
  <c r="D86" i="40"/>
  <c r="E86" i="40" s="1"/>
  <c r="F17" i="40" s="1"/>
  <c r="AA17" i="40" s="1"/>
  <c r="D88" i="40"/>
  <c r="F19" i="40" s="1"/>
  <c r="AA19" i="40" s="1"/>
  <c r="D90" i="40"/>
  <c r="E90" i="40"/>
  <c r="F21" i="40" s="1"/>
  <c r="AA21" i="40" s="1"/>
  <c r="D92" i="40"/>
  <c r="E92" i="40"/>
  <c r="F23" i="40" s="1"/>
  <c r="AA23" i="40" s="1"/>
  <c r="D94" i="40"/>
  <c r="F25" i="40"/>
  <c r="AA25" i="40" s="1"/>
  <c r="B95" i="40"/>
  <c r="D96" i="40"/>
  <c r="F27" i="40"/>
  <c r="AA27" i="40" s="1"/>
  <c r="D98" i="40"/>
  <c r="E98" i="40" s="1"/>
  <c r="F98" i="40" s="1"/>
  <c r="G98" i="40" s="1"/>
  <c r="F28" i="40" s="1"/>
  <c r="AA28" i="40" s="1"/>
  <c r="C30" i="40"/>
  <c r="F30" i="40" s="1"/>
  <c r="AA30" i="40" s="1"/>
  <c r="B101" i="40"/>
  <c r="F31" i="40" s="1"/>
  <c r="AA31" i="40" s="1"/>
  <c r="B103" i="40"/>
  <c r="F32" i="40"/>
  <c r="AA32" i="40" s="1"/>
  <c r="B105" i="40"/>
  <c r="F33" i="40" s="1"/>
  <c r="AA33" i="40" s="1"/>
  <c r="F34" i="40"/>
  <c r="AA34" i="40"/>
  <c r="D111" i="40"/>
  <c r="F35" i="40"/>
  <c r="AA35" i="40" s="1"/>
  <c r="D113" i="40"/>
  <c r="E113" i="40" s="1"/>
  <c r="F36" i="40" s="1"/>
  <c r="AA36" i="40" s="1"/>
  <c r="D115" i="40"/>
  <c r="F37" i="40" s="1"/>
  <c r="AA37" i="40" s="1"/>
  <c r="B116" i="40"/>
  <c r="F38" i="40"/>
  <c r="AA38" i="40" s="1"/>
  <c r="B118" i="40"/>
  <c r="F39" i="40" s="1"/>
  <c r="AA39" i="40" s="1"/>
  <c r="B120" i="40"/>
  <c r="F40" i="40"/>
  <c r="AA40" i="40" s="1"/>
  <c r="H35" i="40"/>
  <c r="AB35" i="40" s="1"/>
  <c r="T41" i="40"/>
  <c r="H34" i="40"/>
  <c r="AB34" i="40"/>
  <c r="H11" i="40"/>
  <c r="AB11" i="40"/>
  <c r="H8" i="40"/>
  <c r="AB8" i="40"/>
  <c r="H9" i="40"/>
  <c r="AB9" i="40"/>
  <c r="J25" i="40"/>
  <c r="AC25" i="40"/>
  <c r="J35" i="40"/>
  <c r="AC35" i="40"/>
  <c r="J11" i="40"/>
  <c r="AC11" i="40"/>
  <c r="V41" i="40"/>
  <c r="J8" i="40"/>
  <c r="AC8" i="40" s="1"/>
  <c r="J9" i="40"/>
  <c r="AC9" i="40" s="1"/>
  <c r="A6" i="1"/>
  <c r="A7" i="1"/>
  <c r="A8" i="1"/>
  <c r="G21" i="6"/>
  <c r="D39" i="43" s="1"/>
  <c r="H39" i="43" s="1"/>
  <c r="C1" i="73"/>
  <c r="L1" i="73" s="1"/>
  <c r="B43" i="1"/>
  <c r="B41" i="1" s="1"/>
  <c r="F32" i="79" s="1"/>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F19" i="6"/>
  <c r="D29" i="43" s="1"/>
  <c r="E19" i="6"/>
  <c r="G20" i="6"/>
  <c r="D38" i="43" s="1"/>
  <c r="H38" i="43" s="1"/>
  <c r="E20" i="6"/>
  <c r="K7" i="1" s="1"/>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C21" i="3"/>
  <c r="BD21" i="3"/>
  <c r="BE21" i="3"/>
  <c r="BF21" i="3"/>
  <c r="BG21" i="3"/>
  <c r="BH21" i="3"/>
  <c r="BI21" i="3"/>
  <c r="BJ21" i="3"/>
  <c r="BK21" i="3"/>
  <c r="BA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A85" i="3" s="1"/>
  <c r="BD85" i="3"/>
  <c r="BE85" i="3"/>
  <c r="BF85" i="3"/>
  <c r="BG85" i="3"/>
  <c r="BH85" i="3"/>
  <c r="BI85" i="3"/>
  <c r="BJ85" i="3"/>
  <c r="BK85" i="3"/>
  <c r="BB86" i="3"/>
  <c r="BC86" i="3"/>
  <c r="BD86" i="3"/>
  <c r="BE86" i="3"/>
  <c r="BF86" i="3"/>
  <c r="BG86" i="3"/>
  <c r="BH86" i="3"/>
  <c r="BI86" i="3"/>
  <c r="BJ86" i="3"/>
  <c r="BK86" i="3"/>
  <c r="BA86" i="3"/>
  <c r="BB87" i="3"/>
  <c r="BC87" i="3"/>
  <c r="BA87" i="3" s="1"/>
  <c r="BD87" i="3"/>
  <c r="BE87" i="3"/>
  <c r="BF87" i="3"/>
  <c r="BG87" i="3"/>
  <c r="BH87" i="3"/>
  <c r="BI87" i="3"/>
  <c r="BJ87" i="3"/>
  <c r="BK87" i="3"/>
  <c r="BB88" i="3"/>
  <c r="BC88" i="3"/>
  <c r="BD88" i="3"/>
  <c r="BE88" i="3"/>
  <c r="BF88" i="3"/>
  <c r="BG88" i="3"/>
  <c r="BH88" i="3"/>
  <c r="BI88" i="3"/>
  <c r="BJ88" i="3"/>
  <c r="BK88" i="3"/>
  <c r="BA88" i="3"/>
  <c r="BB89" i="3"/>
  <c r="BC89" i="3"/>
  <c r="BA89" i="3" s="1"/>
  <c r="BD89" i="3"/>
  <c r="BE89" i="3"/>
  <c r="BF89" i="3"/>
  <c r="BG89" i="3"/>
  <c r="BH89" i="3"/>
  <c r="BI89" i="3"/>
  <c r="BJ89" i="3"/>
  <c r="BK89" i="3"/>
  <c r="BB90" i="3"/>
  <c r="BC90" i="3"/>
  <c r="BD90" i="3"/>
  <c r="BE90" i="3"/>
  <c r="BF90" i="3"/>
  <c r="BG90" i="3"/>
  <c r="BH90" i="3"/>
  <c r="BI90" i="3"/>
  <c r="BJ90" i="3"/>
  <c r="BK90" i="3"/>
  <c r="BA90" i="3"/>
  <c r="BB91" i="3"/>
  <c r="BC91" i="3"/>
  <c r="BA91" i="3" s="1"/>
  <c r="BD91" i="3"/>
  <c r="BE91" i="3"/>
  <c r="BF91" i="3"/>
  <c r="BG91" i="3"/>
  <c r="BH91" i="3"/>
  <c r="BI91" i="3"/>
  <c r="BJ91" i="3"/>
  <c r="BK91" i="3"/>
  <c r="BB92" i="3"/>
  <c r="BC92" i="3"/>
  <c r="BD92" i="3"/>
  <c r="BE92" i="3"/>
  <c r="BF92" i="3"/>
  <c r="BG92" i="3"/>
  <c r="BH92" i="3"/>
  <c r="BI92" i="3"/>
  <c r="BJ92" i="3"/>
  <c r="BK92" i="3"/>
  <c r="BA92" i="3"/>
  <c r="BB93" i="3"/>
  <c r="BC93" i="3"/>
  <c r="BA93" i="3" s="1"/>
  <c r="BD93" i="3"/>
  <c r="BE93" i="3"/>
  <c r="BF93" i="3"/>
  <c r="BG93" i="3"/>
  <c r="BH93" i="3"/>
  <c r="BI93" i="3"/>
  <c r="BJ93" i="3"/>
  <c r="BK93" i="3"/>
  <c r="BB94" i="3"/>
  <c r="BC94" i="3"/>
  <c r="BD94" i="3"/>
  <c r="BE94" i="3"/>
  <c r="BF94" i="3"/>
  <c r="BG94" i="3"/>
  <c r="BH94" i="3"/>
  <c r="BI94" i="3"/>
  <c r="BJ94" i="3"/>
  <c r="BK94" i="3"/>
  <c r="BA94" i="3"/>
  <c r="BB95" i="3"/>
  <c r="BC95" i="3"/>
  <c r="BA95" i="3" s="1"/>
  <c r="BD95" i="3"/>
  <c r="BE95" i="3"/>
  <c r="BF95" i="3"/>
  <c r="BG95" i="3"/>
  <c r="BH95" i="3"/>
  <c r="BI95" i="3"/>
  <c r="BJ95" i="3"/>
  <c r="BK95" i="3"/>
  <c r="BB96" i="3"/>
  <c r="BC96" i="3"/>
  <c r="BD96" i="3"/>
  <c r="BE96" i="3"/>
  <c r="BF96" i="3"/>
  <c r="BG96" i="3"/>
  <c r="BH96" i="3"/>
  <c r="BI96" i="3"/>
  <c r="BJ96" i="3"/>
  <c r="BK96" i="3"/>
  <c r="BA96" i="3"/>
  <c r="BB97" i="3"/>
  <c r="BC97" i="3"/>
  <c r="BA97" i="3" s="1"/>
  <c r="BD97" i="3"/>
  <c r="BE97" i="3"/>
  <c r="BF97" i="3"/>
  <c r="BG97" i="3"/>
  <c r="BH97" i="3"/>
  <c r="BI97" i="3"/>
  <c r="BJ97" i="3"/>
  <c r="BK97" i="3"/>
  <c r="BB98" i="3"/>
  <c r="BC98" i="3"/>
  <c r="BD98" i="3"/>
  <c r="BE98" i="3"/>
  <c r="BF98" i="3"/>
  <c r="BG98" i="3"/>
  <c r="BH98" i="3"/>
  <c r="BI98" i="3"/>
  <c r="BJ98" i="3"/>
  <c r="BK98" i="3"/>
  <c r="BA98" i="3"/>
  <c r="BB99" i="3"/>
  <c r="BC99" i="3"/>
  <c r="BA99" i="3" s="1"/>
  <c r="BD99" i="3"/>
  <c r="BE99" i="3"/>
  <c r="BF99" i="3"/>
  <c r="BG99" i="3"/>
  <c r="BH99" i="3"/>
  <c r="BI99" i="3"/>
  <c r="BJ99" i="3"/>
  <c r="BK99" i="3"/>
  <c r="BB100" i="3"/>
  <c r="BC100" i="3"/>
  <c r="BD100" i="3"/>
  <c r="BE100" i="3"/>
  <c r="BF100" i="3"/>
  <c r="BG100" i="3"/>
  <c r="BH100" i="3"/>
  <c r="BI100" i="3"/>
  <c r="BJ100" i="3"/>
  <c r="BK100" i="3"/>
  <c r="BA100" i="3"/>
  <c r="BB101" i="3"/>
  <c r="BC101" i="3"/>
  <c r="BA101" i="3" s="1"/>
  <c r="BD101" i="3"/>
  <c r="BE101" i="3"/>
  <c r="BF101" i="3"/>
  <c r="BG101" i="3"/>
  <c r="BH101" i="3"/>
  <c r="BI101" i="3"/>
  <c r="BJ101" i="3"/>
  <c r="BK101" i="3"/>
  <c r="BB102" i="3"/>
  <c r="BC102" i="3"/>
  <c r="BD102" i="3"/>
  <c r="BE102" i="3"/>
  <c r="BF102" i="3"/>
  <c r="BG102" i="3"/>
  <c r="BH102" i="3"/>
  <c r="BI102" i="3"/>
  <c r="BJ102" i="3"/>
  <c r="BK102" i="3"/>
  <c r="BA102" i="3"/>
  <c r="BB103" i="3"/>
  <c r="BC103" i="3"/>
  <c r="BA103" i="3" s="1"/>
  <c r="BD103" i="3"/>
  <c r="BE103" i="3"/>
  <c r="BF103" i="3"/>
  <c r="BG103" i="3"/>
  <c r="BH103" i="3"/>
  <c r="BI103" i="3"/>
  <c r="BJ103" i="3"/>
  <c r="BK103" i="3"/>
  <c r="BB104" i="3"/>
  <c r="BC104" i="3"/>
  <c r="BD104" i="3"/>
  <c r="BE104" i="3"/>
  <c r="BF104" i="3"/>
  <c r="BG104" i="3"/>
  <c r="BH104" i="3"/>
  <c r="BI104" i="3"/>
  <c r="BJ104" i="3"/>
  <c r="BK104" i="3"/>
  <c r="BA104" i="3"/>
  <c r="BB105" i="3"/>
  <c r="BC105" i="3"/>
  <c r="BA105" i="3" s="1"/>
  <c r="BD105" i="3"/>
  <c r="BE105" i="3"/>
  <c r="BF105" i="3"/>
  <c r="BG105" i="3"/>
  <c r="BH105" i="3"/>
  <c r="BI105" i="3"/>
  <c r="BJ105" i="3"/>
  <c r="BK105" i="3"/>
  <c r="BB106" i="3"/>
  <c r="BC106" i="3"/>
  <c r="BD106" i="3"/>
  <c r="BE106" i="3"/>
  <c r="BF106" i="3"/>
  <c r="BG106" i="3"/>
  <c r="BH106" i="3"/>
  <c r="BI106" i="3"/>
  <c r="BJ106" i="3"/>
  <c r="BK106" i="3"/>
  <c r="BA106" i="3"/>
  <c r="BB107" i="3"/>
  <c r="BC107" i="3"/>
  <c r="BA107" i="3" s="1"/>
  <c r="BD107" i="3"/>
  <c r="BE107" i="3"/>
  <c r="BF107" i="3"/>
  <c r="BG107" i="3"/>
  <c r="BH107" i="3"/>
  <c r="BI107" i="3"/>
  <c r="BJ107" i="3"/>
  <c r="BK107" i="3"/>
  <c r="BB108" i="3"/>
  <c r="BC108" i="3"/>
  <c r="BD108" i="3"/>
  <c r="BE108" i="3"/>
  <c r="BF108" i="3"/>
  <c r="BG108" i="3"/>
  <c r="BH108" i="3"/>
  <c r="BI108" i="3"/>
  <c r="BJ108" i="3"/>
  <c r="BK108" i="3"/>
  <c r="BA108" i="3"/>
  <c r="BB109" i="3"/>
  <c r="BC109" i="3"/>
  <c r="BA109" i="3" s="1"/>
  <c r="BD109" i="3"/>
  <c r="BE109" i="3"/>
  <c r="BF109" i="3"/>
  <c r="BG109" i="3"/>
  <c r="BH109" i="3"/>
  <c r="BI109" i="3"/>
  <c r="BJ109" i="3"/>
  <c r="BK109" i="3"/>
  <c r="BB110" i="3"/>
  <c r="BC110" i="3"/>
  <c r="BD110" i="3"/>
  <c r="BE110" i="3"/>
  <c r="BF110" i="3"/>
  <c r="BG110" i="3"/>
  <c r="BH110" i="3"/>
  <c r="BI110" i="3"/>
  <c r="BJ110" i="3"/>
  <c r="BK110" i="3"/>
  <c r="BA110" i="3"/>
  <c r="BB111" i="3"/>
  <c r="BC111" i="3"/>
  <c r="BA111" i="3" s="1"/>
  <c r="BD111" i="3"/>
  <c r="BE111" i="3"/>
  <c r="BF111" i="3"/>
  <c r="BG111" i="3"/>
  <c r="BH111" i="3"/>
  <c r="BI111" i="3"/>
  <c r="BJ111" i="3"/>
  <c r="BK111" i="3"/>
  <c r="BB112" i="3"/>
  <c r="BC112" i="3"/>
  <c r="BD112" i="3"/>
  <c r="BE112" i="3"/>
  <c r="BF112" i="3"/>
  <c r="BG112" i="3"/>
  <c r="BH112" i="3"/>
  <c r="BI112" i="3"/>
  <c r="BJ112" i="3"/>
  <c r="BK112" i="3"/>
  <c r="BA112" i="3"/>
  <c r="BB113" i="3"/>
  <c r="BC113" i="3"/>
  <c r="BA113" i="3" s="1"/>
  <c r="BD113" i="3"/>
  <c r="BE113" i="3"/>
  <c r="BF113" i="3"/>
  <c r="BG113" i="3"/>
  <c r="BH113" i="3"/>
  <c r="BI113" i="3"/>
  <c r="BJ113" i="3"/>
  <c r="BK113" i="3"/>
  <c r="BB114" i="3"/>
  <c r="BC114" i="3"/>
  <c r="BD114" i="3"/>
  <c r="BE114" i="3"/>
  <c r="BF114" i="3"/>
  <c r="BG114" i="3"/>
  <c r="BH114" i="3"/>
  <c r="BI114" i="3"/>
  <c r="BJ114" i="3"/>
  <c r="BK114" i="3"/>
  <c r="BA114" i="3"/>
  <c r="BB115" i="3"/>
  <c r="BC115" i="3"/>
  <c r="BA115" i="3" s="1"/>
  <c r="BD115" i="3"/>
  <c r="BE115" i="3"/>
  <c r="BF115" i="3"/>
  <c r="BG115" i="3"/>
  <c r="BH115" i="3"/>
  <c r="BI115" i="3"/>
  <c r="BJ115" i="3"/>
  <c r="BK115" i="3"/>
  <c r="BB116" i="3"/>
  <c r="BC116" i="3"/>
  <c r="BD116" i="3"/>
  <c r="BE116" i="3"/>
  <c r="BF116" i="3"/>
  <c r="BG116" i="3"/>
  <c r="BH116" i="3"/>
  <c r="BI116" i="3"/>
  <c r="BJ116" i="3"/>
  <c r="BK116" i="3"/>
  <c r="BA116" i="3"/>
  <c r="BB117" i="3"/>
  <c r="BC117" i="3"/>
  <c r="BA117" i="3" s="1"/>
  <c r="BD117" i="3"/>
  <c r="BE117" i="3"/>
  <c r="BF117" i="3"/>
  <c r="BG117" i="3"/>
  <c r="BH117" i="3"/>
  <c r="BI117" i="3"/>
  <c r="BJ117" i="3"/>
  <c r="BK117" i="3"/>
  <c r="BB118" i="3"/>
  <c r="BC118" i="3"/>
  <c r="BD118" i="3"/>
  <c r="BE118" i="3"/>
  <c r="BF118" i="3"/>
  <c r="BG118" i="3"/>
  <c r="BH118" i="3"/>
  <c r="BI118" i="3"/>
  <c r="BJ118" i="3"/>
  <c r="BK118" i="3"/>
  <c r="BA118" i="3"/>
  <c r="BB119" i="3"/>
  <c r="BC119" i="3"/>
  <c r="BA119" i="3" s="1"/>
  <c r="BD119" i="3"/>
  <c r="BE119" i="3"/>
  <c r="BF119" i="3"/>
  <c r="BG119" i="3"/>
  <c r="BH119" i="3"/>
  <c r="BI119" i="3"/>
  <c r="BJ119" i="3"/>
  <c r="BK119" i="3"/>
  <c r="BB120" i="3"/>
  <c r="BC120" i="3"/>
  <c r="BD120" i="3"/>
  <c r="BE120" i="3"/>
  <c r="BF120" i="3"/>
  <c r="BG120" i="3"/>
  <c r="BH120" i="3"/>
  <c r="BI120" i="3"/>
  <c r="BJ120" i="3"/>
  <c r="BK120" i="3"/>
  <c r="BA120" i="3"/>
  <c r="BB121" i="3"/>
  <c r="BC121" i="3"/>
  <c r="BA121" i="3" s="1"/>
  <c r="BD121" i="3"/>
  <c r="BE121" i="3"/>
  <c r="BF121" i="3"/>
  <c r="BG121" i="3"/>
  <c r="BH121" i="3"/>
  <c r="BI121" i="3"/>
  <c r="BJ121" i="3"/>
  <c r="BK121" i="3"/>
  <c r="BB122" i="3"/>
  <c r="BC122" i="3"/>
  <c r="BD122" i="3"/>
  <c r="BE122" i="3"/>
  <c r="BF122" i="3"/>
  <c r="BG122" i="3"/>
  <c r="BH122" i="3"/>
  <c r="BI122" i="3"/>
  <c r="BJ122" i="3"/>
  <c r="BK122" i="3"/>
  <c r="BA122" i="3"/>
  <c r="BB123" i="3"/>
  <c r="BC123" i="3"/>
  <c r="BA123" i="3" s="1"/>
  <c r="BD123" i="3"/>
  <c r="BE123" i="3"/>
  <c r="BF123" i="3"/>
  <c r="BG123" i="3"/>
  <c r="BH123" i="3"/>
  <c r="BI123" i="3"/>
  <c r="BJ123" i="3"/>
  <c r="BK123" i="3"/>
  <c r="BB124" i="3"/>
  <c r="BC124" i="3"/>
  <c r="BD124" i="3"/>
  <c r="BE124" i="3"/>
  <c r="BF124" i="3"/>
  <c r="BG124" i="3"/>
  <c r="BH124" i="3"/>
  <c r="BI124" i="3"/>
  <c r="BJ124" i="3"/>
  <c r="BK124" i="3"/>
  <c r="BA124" i="3"/>
  <c r="BB125" i="3"/>
  <c r="BC125" i="3"/>
  <c r="BA125" i="3" s="1"/>
  <c r="BD125" i="3"/>
  <c r="BE125" i="3"/>
  <c r="BF125" i="3"/>
  <c r="BG125" i="3"/>
  <c r="BH125" i="3"/>
  <c r="BI125" i="3"/>
  <c r="BJ125" i="3"/>
  <c r="BK125" i="3"/>
  <c r="BB126" i="3"/>
  <c r="BC126" i="3"/>
  <c r="BD126" i="3"/>
  <c r="BE126" i="3"/>
  <c r="BF126" i="3"/>
  <c r="BG126" i="3"/>
  <c r="BH126" i="3"/>
  <c r="BI126" i="3"/>
  <c r="BJ126" i="3"/>
  <c r="BK126" i="3"/>
  <c r="BA126" i="3"/>
  <c r="BB127" i="3"/>
  <c r="BC127" i="3"/>
  <c r="BA127" i="3" s="1"/>
  <c r="BD127" i="3"/>
  <c r="BE127" i="3"/>
  <c r="BF127" i="3"/>
  <c r="BG127" i="3"/>
  <c r="BH127" i="3"/>
  <c r="BI127" i="3"/>
  <c r="BJ127" i="3"/>
  <c r="BK127" i="3"/>
  <c r="BB128" i="3"/>
  <c r="BC128" i="3"/>
  <c r="BD128" i="3"/>
  <c r="BE128" i="3"/>
  <c r="BF128" i="3"/>
  <c r="BG128" i="3"/>
  <c r="BH128" i="3"/>
  <c r="BI128" i="3"/>
  <c r="BJ128" i="3"/>
  <c r="BK128" i="3"/>
  <c r="BA128" i="3"/>
  <c r="BB129" i="3"/>
  <c r="BC129" i="3"/>
  <c r="BA129" i="3" s="1"/>
  <c r="BD129" i="3"/>
  <c r="BE129" i="3"/>
  <c r="BF129" i="3"/>
  <c r="BG129" i="3"/>
  <c r="BH129" i="3"/>
  <c r="BI129" i="3"/>
  <c r="BJ129" i="3"/>
  <c r="BK129" i="3"/>
  <c r="BB130" i="3"/>
  <c r="BC130" i="3"/>
  <c r="BD130" i="3"/>
  <c r="BE130" i="3"/>
  <c r="BF130" i="3"/>
  <c r="BG130" i="3"/>
  <c r="BH130" i="3"/>
  <c r="BI130" i="3"/>
  <c r="BJ130" i="3"/>
  <c r="BK130" i="3"/>
  <c r="BA130" i="3"/>
  <c r="BB131" i="3"/>
  <c r="BC131" i="3"/>
  <c r="BA131" i="3" s="1"/>
  <c r="BD131" i="3"/>
  <c r="BE131" i="3"/>
  <c r="BF131" i="3"/>
  <c r="BG131" i="3"/>
  <c r="BH131" i="3"/>
  <c r="BI131" i="3"/>
  <c r="BJ131" i="3"/>
  <c r="BK131" i="3"/>
  <c r="BB132" i="3"/>
  <c r="BC132" i="3"/>
  <c r="BD132" i="3"/>
  <c r="BE132" i="3"/>
  <c r="BF132" i="3"/>
  <c r="BG132" i="3"/>
  <c r="BH132" i="3"/>
  <c r="BI132" i="3"/>
  <c r="BJ132" i="3"/>
  <c r="BK132" i="3"/>
  <c r="BA132" i="3"/>
  <c r="BB133" i="3"/>
  <c r="BC133" i="3"/>
  <c r="BA133" i="3" s="1"/>
  <c r="BD133" i="3"/>
  <c r="BE133" i="3"/>
  <c r="BF133" i="3"/>
  <c r="BG133" i="3"/>
  <c r="BH133" i="3"/>
  <c r="BI133" i="3"/>
  <c r="BJ133" i="3"/>
  <c r="BK133" i="3"/>
  <c r="BB134" i="3"/>
  <c r="BC134" i="3"/>
  <c r="BD134" i="3"/>
  <c r="BE134" i="3"/>
  <c r="BF134" i="3"/>
  <c r="BG134" i="3"/>
  <c r="BH134" i="3"/>
  <c r="BI134" i="3"/>
  <c r="BJ134" i="3"/>
  <c r="BK134" i="3"/>
  <c r="BA134" i="3"/>
  <c r="BB135" i="3"/>
  <c r="BC135" i="3"/>
  <c r="BA135" i="3" s="1"/>
  <c r="BD135" i="3"/>
  <c r="BE135" i="3"/>
  <c r="BF135" i="3"/>
  <c r="BG135" i="3"/>
  <c r="BH135" i="3"/>
  <c r="BI135" i="3"/>
  <c r="BJ135" i="3"/>
  <c r="BK135" i="3"/>
  <c r="BB136" i="3"/>
  <c r="BC136" i="3"/>
  <c r="BD136" i="3"/>
  <c r="BE136" i="3"/>
  <c r="BF136" i="3"/>
  <c r="BG136" i="3"/>
  <c r="BH136" i="3"/>
  <c r="BI136" i="3"/>
  <c r="BJ136" i="3"/>
  <c r="BK136" i="3"/>
  <c r="BA136" i="3"/>
  <c r="BB137" i="3"/>
  <c r="BC137" i="3"/>
  <c r="BA137" i="3" s="1"/>
  <c r="BD137" i="3"/>
  <c r="BE137" i="3"/>
  <c r="BF137" i="3"/>
  <c r="BG137" i="3"/>
  <c r="BH137" i="3"/>
  <c r="BI137" i="3"/>
  <c r="BJ137" i="3"/>
  <c r="BK137" i="3"/>
  <c r="BB138" i="3"/>
  <c r="BC138" i="3"/>
  <c r="BD138" i="3"/>
  <c r="BE138" i="3"/>
  <c r="BF138" i="3"/>
  <c r="BG138" i="3"/>
  <c r="BH138" i="3"/>
  <c r="BI138" i="3"/>
  <c r="BJ138" i="3"/>
  <c r="BK138" i="3"/>
  <c r="BA138" i="3"/>
  <c r="BB139" i="3"/>
  <c r="BC139" i="3"/>
  <c r="BA139" i="3" s="1"/>
  <c r="BD139" i="3"/>
  <c r="BE139" i="3"/>
  <c r="BF139" i="3"/>
  <c r="BG139" i="3"/>
  <c r="BH139" i="3"/>
  <c r="BI139" i="3"/>
  <c r="BJ139" i="3"/>
  <c r="BK139" i="3"/>
  <c r="BB140" i="3"/>
  <c r="BC140" i="3"/>
  <c r="BD140" i="3"/>
  <c r="BE140" i="3"/>
  <c r="BF140" i="3"/>
  <c r="BG140" i="3"/>
  <c r="BH140" i="3"/>
  <c r="BI140" i="3"/>
  <c r="BJ140" i="3"/>
  <c r="BK140" i="3"/>
  <c r="BA140" i="3"/>
  <c r="BB141" i="3"/>
  <c r="BC141" i="3"/>
  <c r="BA141" i="3" s="1"/>
  <c r="BD141" i="3"/>
  <c r="BE141" i="3"/>
  <c r="BF141" i="3"/>
  <c r="BG141" i="3"/>
  <c r="BH141" i="3"/>
  <c r="BI141" i="3"/>
  <c r="BJ141" i="3"/>
  <c r="BK141" i="3"/>
  <c r="BB142" i="3"/>
  <c r="BC142" i="3"/>
  <c r="BD142" i="3"/>
  <c r="BE142" i="3"/>
  <c r="BF142" i="3"/>
  <c r="BG142" i="3"/>
  <c r="BH142" i="3"/>
  <c r="BI142" i="3"/>
  <c r="BJ142" i="3"/>
  <c r="BK142" i="3"/>
  <c r="BA142" i="3"/>
  <c r="BB143" i="3"/>
  <c r="BC143" i="3"/>
  <c r="BA143" i="3" s="1"/>
  <c r="BD143" i="3"/>
  <c r="BE143" i="3"/>
  <c r="BF143" i="3"/>
  <c r="BG143" i="3"/>
  <c r="BH143" i="3"/>
  <c r="BI143" i="3"/>
  <c r="BJ143" i="3"/>
  <c r="BK143" i="3"/>
  <c r="BB144" i="3"/>
  <c r="BC144" i="3"/>
  <c r="BD144" i="3"/>
  <c r="BE144" i="3"/>
  <c r="BF144" i="3"/>
  <c r="BG144" i="3"/>
  <c r="BH144" i="3"/>
  <c r="BI144" i="3"/>
  <c r="BJ144" i="3"/>
  <c r="BK144" i="3"/>
  <c r="BA144" i="3"/>
  <c r="BB145" i="3"/>
  <c r="BC145" i="3"/>
  <c r="BA145" i="3" s="1"/>
  <c r="BD145" i="3"/>
  <c r="BE145" i="3"/>
  <c r="BF145" i="3"/>
  <c r="BG145" i="3"/>
  <c r="BH145" i="3"/>
  <c r="BI145" i="3"/>
  <c r="BJ145" i="3"/>
  <c r="BK145" i="3"/>
  <c r="BB146" i="3"/>
  <c r="BC146" i="3"/>
  <c r="BD146" i="3"/>
  <c r="BE146" i="3"/>
  <c r="BF146" i="3"/>
  <c r="BG146" i="3"/>
  <c r="BH146" i="3"/>
  <c r="BI146" i="3"/>
  <c r="BJ146" i="3"/>
  <c r="BK146" i="3"/>
  <c r="BA146" i="3"/>
  <c r="BB147" i="3"/>
  <c r="BC147" i="3"/>
  <c r="BA147" i="3" s="1"/>
  <c r="BD147" i="3"/>
  <c r="BE147" i="3"/>
  <c r="BF147" i="3"/>
  <c r="BG147" i="3"/>
  <c r="BH147" i="3"/>
  <c r="BI147" i="3"/>
  <c r="BJ147" i="3"/>
  <c r="BK147" i="3"/>
  <c r="BB148" i="3"/>
  <c r="BC148" i="3"/>
  <c r="BD148" i="3"/>
  <c r="BE148" i="3"/>
  <c r="BF148" i="3"/>
  <c r="BG148" i="3"/>
  <c r="BH148" i="3"/>
  <c r="BI148" i="3"/>
  <c r="BJ148" i="3"/>
  <c r="BK148" i="3"/>
  <c r="BA148" i="3"/>
  <c r="BB149" i="3"/>
  <c r="BC149" i="3"/>
  <c r="BA149" i="3" s="1"/>
  <c r="BD149" i="3"/>
  <c r="BE149" i="3"/>
  <c r="BF149" i="3"/>
  <c r="BG149" i="3"/>
  <c r="BH149" i="3"/>
  <c r="BI149" i="3"/>
  <c r="BJ149" i="3"/>
  <c r="BK149" i="3"/>
  <c r="BB150" i="3"/>
  <c r="BC150" i="3"/>
  <c r="BD150" i="3"/>
  <c r="BE150" i="3"/>
  <c r="BF150" i="3"/>
  <c r="BG150" i="3"/>
  <c r="BH150" i="3"/>
  <c r="BI150" i="3"/>
  <c r="BJ150" i="3"/>
  <c r="BK150" i="3"/>
  <c r="BA150" i="3"/>
  <c r="BB151" i="3"/>
  <c r="BC151" i="3"/>
  <c r="BA151" i="3" s="1"/>
  <c r="BD151" i="3"/>
  <c r="BE151" i="3"/>
  <c r="BF151" i="3"/>
  <c r="BG151" i="3"/>
  <c r="BH151" i="3"/>
  <c r="BI151" i="3"/>
  <c r="BJ151" i="3"/>
  <c r="BK151" i="3"/>
  <c r="BB152" i="3"/>
  <c r="BC152" i="3"/>
  <c r="BD152" i="3"/>
  <c r="BE152" i="3"/>
  <c r="BF152" i="3"/>
  <c r="BG152" i="3"/>
  <c r="BH152" i="3"/>
  <c r="BI152" i="3"/>
  <c r="BJ152" i="3"/>
  <c r="BK152" i="3"/>
  <c r="BA152" i="3"/>
  <c r="BB153" i="3"/>
  <c r="BC153" i="3"/>
  <c r="BA153" i="3" s="1"/>
  <c r="BD153" i="3"/>
  <c r="BE153" i="3"/>
  <c r="BF153" i="3"/>
  <c r="BG153" i="3"/>
  <c r="BH153" i="3"/>
  <c r="BI153" i="3"/>
  <c r="BJ153" i="3"/>
  <c r="BK153" i="3"/>
  <c r="BB154" i="3"/>
  <c r="BC154" i="3"/>
  <c r="BD154" i="3"/>
  <c r="BE154" i="3"/>
  <c r="BF154" i="3"/>
  <c r="BG154" i="3"/>
  <c r="BH154" i="3"/>
  <c r="BI154" i="3"/>
  <c r="BJ154" i="3"/>
  <c r="BK154" i="3"/>
  <c r="BA154" i="3"/>
  <c r="BB155" i="3"/>
  <c r="BC155" i="3"/>
  <c r="BA155" i="3" s="1"/>
  <c r="BD155" i="3"/>
  <c r="BE155" i="3"/>
  <c r="BF155" i="3"/>
  <c r="BG155" i="3"/>
  <c r="BH155" i="3"/>
  <c r="BI155" i="3"/>
  <c r="BJ155" i="3"/>
  <c r="BK155" i="3"/>
  <c r="BB156" i="3"/>
  <c r="BC156" i="3"/>
  <c r="BD156" i="3"/>
  <c r="BE156" i="3"/>
  <c r="BF156" i="3"/>
  <c r="BG156" i="3"/>
  <c r="BH156" i="3"/>
  <c r="BI156" i="3"/>
  <c r="BJ156" i="3"/>
  <c r="BK156" i="3"/>
  <c r="BA156" i="3"/>
  <c r="BB157" i="3"/>
  <c r="BC157" i="3"/>
  <c r="BA157" i="3" s="1"/>
  <c r="BD157" i="3"/>
  <c r="BE157" i="3"/>
  <c r="BF157" i="3"/>
  <c r="BG157" i="3"/>
  <c r="BH157" i="3"/>
  <c r="BI157" i="3"/>
  <c r="BJ157" i="3"/>
  <c r="BK157" i="3"/>
  <c r="BB158" i="3"/>
  <c r="BC158" i="3"/>
  <c r="BD158" i="3"/>
  <c r="BE158" i="3"/>
  <c r="BF158" i="3"/>
  <c r="BG158" i="3"/>
  <c r="BH158" i="3"/>
  <c r="BI158" i="3"/>
  <c r="BJ158" i="3"/>
  <c r="BK158" i="3"/>
  <c r="BA158" i="3"/>
  <c r="BB159" i="3"/>
  <c r="BC159" i="3"/>
  <c r="BA159" i="3" s="1"/>
  <c r="BD159" i="3"/>
  <c r="BE159" i="3"/>
  <c r="BF159" i="3"/>
  <c r="BG159" i="3"/>
  <c r="BH159" i="3"/>
  <c r="BI159" i="3"/>
  <c r="BJ159" i="3"/>
  <c r="BK159" i="3"/>
  <c r="BB160" i="3"/>
  <c r="BC160" i="3"/>
  <c r="BD160" i="3"/>
  <c r="BE160" i="3"/>
  <c r="BF160" i="3"/>
  <c r="BG160" i="3"/>
  <c r="BH160" i="3"/>
  <c r="BI160" i="3"/>
  <c r="BJ160" i="3"/>
  <c r="BK160" i="3"/>
  <c r="BA160" i="3"/>
  <c r="BB161" i="3"/>
  <c r="BC161" i="3"/>
  <c r="BA161" i="3" s="1"/>
  <c r="BD161" i="3"/>
  <c r="BE161" i="3"/>
  <c r="BF161" i="3"/>
  <c r="BG161" i="3"/>
  <c r="BH161" i="3"/>
  <c r="BI161" i="3"/>
  <c r="BJ161" i="3"/>
  <c r="BK161" i="3"/>
  <c r="BB162" i="3"/>
  <c r="BC162" i="3"/>
  <c r="BD162" i="3"/>
  <c r="BE162" i="3"/>
  <c r="BF162" i="3"/>
  <c r="BG162" i="3"/>
  <c r="BH162" i="3"/>
  <c r="BI162" i="3"/>
  <c r="BJ162" i="3"/>
  <c r="BK162" i="3"/>
  <c r="BA162" i="3"/>
  <c r="BB163" i="3"/>
  <c r="BC163" i="3"/>
  <c r="BA163" i="3" s="1"/>
  <c r="BD163" i="3"/>
  <c r="BE163" i="3"/>
  <c r="BF163" i="3"/>
  <c r="BG163" i="3"/>
  <c r="BH163" i="3"/>
  <c r="BI163" i="3"/>
  <c r="BJ163" i="3"/>
  <c r="BK163" i="3"/>
  <c r="BB164" i="3"/>
  <c r="BC164" i="3"/>
  <c r="BD164" i="3"/>
  <c r="BE164" i="3"/>
  <c r="BF164" i="3"/>
  <c r="BG164" i="3"/>
  <c r="BH164" i="3"/>
  <c r="BI164" i="3"/>
  <c r="BJ164" i="3"/>
  <c r="BK164" i="3"/>
  <c r="BA164" i="3"/>
  <c r="BB165" i="3"/>
  <c r="BC165" i="3"/>
  <c r="BA165" i="3" s="1"/>
  <c r="BD165" i="3"/>
  <c r="BE165" i="3"/>
  <c r="BF165" i="3"/>
  <c r="BG165" i="3"/>
  <c r="BH165" i="3"/>
  <c r="BI165" i="3"/>
  <c r="BJ165" i="3"/>
  <c r="BK165" i="3"/>
  <c r="BB166" i="3"/>
  <c r="BC166" i="3"/>
  <c r="BD166" i="3"/>
  <c r="BE166" i="3"/>
  <c r="BF166" i="3"/>
  <c r="BG166" i="3"/>
  <c r="BH166" i="3"/>
  <c r="BI166" i="3"/>
  <c r="BJ166" i="3"/>
  <c r="BK166" i="3"/>
  <c r="BA166" i="3"/>
  <c r="BB167" i="3"/>
  <c r="BC167" i="3"/>
  <c r="BA167" i="3" s="1"/>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A419" i="3"/>
  <c r="BB420" i="3"/>
  <c r="BC420" i="3"/>
  <c r="BA420" i="3" s="1"/>
  <c r="BD420" i="3"/>
  <c r="BE420" i="3"/>
  <c r="BF420" i="3"/>
  <c r="BG420" i="3"/>
  <c r="BH420" i="3"/>
  <c r="BI420" i="3"/>
  <c r="BJ420" i="3"/>
  <c r="BK420" i="3"/>
  <c r="BB421" i="3"/>
  <c r="BC421" i="3"/>
  <c r="BD421" i="3"/>
  <c r="BE421" i="3"/>
  <c r="BF421" i="3"/>
  <c r="BG421" i="3"/>
  <c r="BH421" i="3"/>
  <c r="BI421" i="3"/>
  <c r="BJ421" i="3"/>
  <c r="BK421" i="3"/>
  <c r="BA421" i="3"/>
  <c r="BB422" i="3"/>
  <c r="BC422" i="3"/>
  <c r="BA422" i="3" s="1"/>
  <c r="BD422" i="3"/>
  <c r="BE422" i="3"/>
  <c r="BF422" i="3"/>
  <c r="BG422" i="3"/>
  <c r="BH422" i="3"/>
  <c r="BI422" i="3"/>
  <c r="BJ422" i="3"/>
  <c r="BK422" i="3"/>
  <c r="BB423" i="3"/>
  <c r="BC423" i="3"/>
  <c r="BD423" i="3"/>
  <c r="BE423" i="3"/>
  <c r="BF423" i="3"/>
  <c r="BG423" i="3"/>
  <c r="BH423" i="3"/>
  <c r="BI423" i="3"/>
  <c r="BJ423" i="3"/>
  <c r="BK423" i="3"/>
  <c r="BA423" i="3"/>
  <c r="BB424" i="3"/>
  <c r="BC424" i="3"/>
  <c r="BA424" i="3" s="1"/>
  <c r="BD424" i="3"/>
  <c r="BE424" i="3"/>
  <c r="BF424" i="3"/>
  <c r="BG424" i="3"/>
  <c r="BH424" i="3"/>
  <c r="BI424" i="3"/>
  <c r="BJ424" i="3"/>
  <c r="BK424" i="3"/>
  <c r="BB425" i="3"/>
  <c r="BC425" i="3"/>
  <c r="BD425" i="3"/>
  <c r="BE425" i="3"/>
  <c r="BF425" i="3"/>
  <c r="BG425" i="3"/>
  <c r="BH425" i="3"/>
  <c r="BI425" i="3"/>
  <c r="BJ425" i="3"/>
  <c r="BK425" i="3"/>
  <c r="BA425" i="3"/>
  <c r="BB426" i="3"/>
  <c r="BC426" i="3"/>
  <c r="BA426" i="3" s="1"/>
  <c r="BD426" i="3"/>
  <c r="BE426" i="3"/>
  <c r="BF426" i="3"/>
  <c r="BG426" i="3"/>
  <c r="BH426" i="3"/>
  <c r="BI426" i="3"/>
  <c r="BJ426" i="3"/>
  <c r="BK426" i="3"/>
  <c r="BB427" i="3"/>
  <c r="BC427" i="3"/>
  <c r="BD427" i="3"/>
  <c r="BE427" i="3"/>
  <c r="BF427" i="3"/>
  <c r="BG427" i="3"/>
  <c r="BH427" i="3"/>
  <c r="BI427" i="3"/>
  <c r="BJ427" i="3"/>
  <c r="BK427" i="3"/>
  <c r="BA427" i="3"/>
  <c r="BB428" i="3"/>
  <c r="BC428" i="3"/>
  <c r="BA428" i="3" s="1"/>
  <c r="BD428" i="3"/>
  <c r="BE428" i="3"/>
  <c r="BF428" i="3"/>
  <c r="BG428" i="3"/>
  <c r="BH428" i="3"/>
  <c r="BI428" i="3"/>
  <c r="BJ428" i="3"/>
  <c r="BK428" i="3"/>
  <c r="BB429" i="3"/>
  <c r="BC429" i="3"/>
  <c r="BD429" i="3"/>
  <c r="BE429" i="3"/>
  <c r="BF429" i="3"/>
  <c r="BG429" i="3"/>
  <c r="BH429" i="3"/>
  <c r="BI429" i="3"/>
  <c r="BJ429" i="3"/>
  <c r="BK429" i="3"/>
  <c r="BA429" i="3"/>
  <c r="BB430" i="3"/>
  <c r="BC430" i="3"/>
  <c r="BA430" i="3" s="1"/>
  <c r="BD430" i="3"/>
  <c r="BE430" i="3"/>
  <c r="BF430" i="3"/>
  <c r="BG430" i="3"/>
  <c r="BH430" i="3"/>
  <c r="BI430" i="3"/>
  <c r="BJ430" i="3"/>
  <c r="BK430" i="3"/>
  <c r="BB431" i="3"/>
  <c r="BC431" i="3"/>
  <c r="BD431" i="3"/>
  <c r="BE431" i="3"/>
  <c r="BF431" i="3"/>
  <c r="BG431" i="3"/>
  <c r="BH431" i="3"/>
  <c r="BI431" i="3"/>
  <c r="BJ431" i="3"/>
  <c r="BK431" i="3"/>
  <c r="BA431" i="3"/>
  <c r="BB432" i="3"/>
  <c r="BC432" i="3"/>
  <c r="BA432" i="3" s="1"/>
  <c r="BD432" i="3"/>
  <c r="BE432" i="3"/>
  <c r="BF432" i="3"/>
  <c r="BG432" i="3"/>
  <c r="BH432" i="3"/>
  <c r="BI432" i="3"/>
  <c r="BJ432" i="3"/>
  <c r="BK432" i="3"/>
  <c r="BB433" i="3"/>
  <c r="BC433" i="3"/>
  <c r="BD433" i="3"/>
  <c r="BE433" i="3"/>
  <c r="BF433" i="3"/>
  <c r="BG433" i="3"/>
  <c r="BH433" i="3"/>
  <c r="BI433" i="3"/>
  <c r="BJ433" i="3"/>
  <c r="BK433" i="3"/>
  <c r="BA433" i="3"/>
  <c r="BB434" i="3"/>
  <c r="BC434" i="3"/>
  <c r="BA434" i="3" s="1"/>
  <c r="BD434" i="3"/>
  <c r="BE434" i="3"/>
  <c r="BF434" i="3"/>
  <c r="BG434" i="3"/>
  <c r="BH434" i="3"/>
  <c r="BI434" i="3"/>
  <c r="BJ434" i="3"/>
  <c r="BK434" i="3"/>
  <c r="BB435" i="3"/>
  <c r="BC435" i="3"/>
  <c r="BD435" i="3"/>
  <c r="BE435" i="3"/>
  <c r="BF435" i="3"/>
  <c r="BG435" i="3"/>
  <c r="BH435" i="3"/>
  <c r="BI435" i="3"/>
  <c r="BJ435" i="3"/>
  <c r="BK435" i="3"/>
  <c r="BA435" i="3"/>
  <c r="BB436" i="3"/>
  <c r="BC436" i="3"/>
  <c r="BA436" i="3" s="1"/>
  <c r="BD436" i="3"/>
  <c r="BE436" i="3"/>
  <c r="BF436" i="3"/>
  <c r="BG436" i="3"/>
  <c r="BH436" i="3"/>
  <c r="BI436" i="3"/>
  <c r="BJ436" i="3"/>
  <c r="BK436" i="3"/>
  <c r="BB437" i="3"/>
  <c r="BC437" i="3"/>
  <c r="BD437" i="3"/>
  <c r="BE437" i="3"/>
  <c r="BF437" i="3"/>
  <c r="BG437" i="3"/>
  <c r="BH437" i="3"/>
  <c r="BI437" i="3"/>
  <c r="BJ437" i="3"/>
  <c r="BK437" i="3"/>
  <c r="BA437" i="3"/>
  <c r="BB438" i="3"/>
  <c r="BC438" i="3"/>
  <c r="BA438" i="3" s="1"/>
  <c r="BD438" i="3"/>
  <c r="BE438" i="3"/>
  <c r="BF438" i="3"/>
  <c r="BG438" i="3"/>
  <c r="BH438" i="3"/>
  <c r="BI438" i="3"/>
  <c r="BJ438" i="3"/>
  <c r="BK438" i="3"/>
  <c r="BB439" i="3"/>
  <c r="BC439" i="3"/>
  <c r="BD439" i="3"/>
  <c r="BE439" i="3"/>
  <c r="BF439" i="3"/>
  <c r="BG439" i="3"/>
  <c r="BH439" i="3"/>
  <c r="BI439" i="3"/>
  <c r="BJ439" i="3"/>
  <c r="BK439" i="3"/>
  <c r="BA439" i="3"/>
  <c r="BB440" i="3"/>
  <c r="BC440" i="3"/>
  <c r="BA440" i="3" s="1"/>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A483" i="3"/>
  <c r="BB484" i="3"/>
  <c r="BC484" i="3"/>
  <c r="BA484" i="3" s="1"/>
  <c r="BD484" i="3"/>
  <c r="BE484" i="3"/>
  <c r="BF484" i="3"/>
  <c r="BG484" i="3"/>
  <c r="BH484" i="3"/>
  <c r="BI484" i="3"/>
  <c r="BJ484" i="3"/>
  <c r="BK484" i="3"/>
  <c r="BB485" i="3"/>
  <c r="BC485" i="3"/>
  <c r="BD485" i="3"/>
  <c r="BE485" i="3"/>
  <c r="BF485" i="3"/>
  <c r="BG485" i="3"/>
  <c r="BH485" i="3"/>
  <c r="BI485" i="3"/>
  <c r="BJ485" i="3"/>
  <c r="BK485" i="3"/>
  <c r="BA485" i="3"/>
  <c r="BB486" i="3"/>
  <c r="BC486" i="3"/>
  <c r="BA486" i="3" s="1"/>
  <c r="BD486" i="3"/>
  <c r="BE486" i="3"/>
  <c r="BF486" i="3"/>
  <c r="BG486" i="3"/>
  <c r="BH486" i="3"/>
  <c r="BI486" i="3"/>
  <c r="BJ486" i="3"/>
  <c r="BK486" i="3"/>
  <c r="BB487" i="3"/>
  <c r="BC487" i="3"/>
  <c r="BD487" i="3"/>
  <c r="BE487" i="3"/>
  <c r="BF487" i="3"/>
  <c r="BG487" i="3"/>
  <c r="BH487" i="3"/>
  <c r="BI487" i="3"/>
  <c r="BJ487" i="3"/>
  <c r="BK487" i="3"/>
  <c r="BA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A490" i="3" s="1"/>
  <c r="BD490" i="3"/>
  <c r="BE490" i="3"/>
  <c r="BF490" i="3"/>
  <c r="BG490" i="3"/>
  <c r="BH490" i="3"/>
  <c r="BI490" i="3"/>
  <c r="BJ490" i="3"/>
  <c r="BK490" i="3"/>
  <c r="BB491" i="3"/>
  <c r="BC491" i="3"/>
  <c r="BD491" i="3"/>
  <c r="BE491" i="3"/>
  <c r="BF491" i="3"/>
  <c r="BG491" i="3"/>
  <c r="BH491" i="3"/>
  <c r="BI491" i="3"/>
  <c r="BJ491" i="3"/>
  <c r="BK491" i="3"/>
  <c r="BA491" i="3"/>
  <c r="BB492" i="3"/>
  <c r="BC492" i="3"/>
  <c r="BA492" i="3" s="1"/>
  <c r="BD492" i="3"/>
  <c r="BE492" i="3"/>
  <c r="BF492" i="3"/>
  <c r="BG492" i="3"/>
  <c r="BH492" i="3"/>
  <c r="BI492" i="3"/>
  <c r="BJ492" i="3"/>
  <c r="BK492" i="3"/>
  <c r="BB493" i="3"/>
  <c r="BC493" i="3"/>
  <c r="BD493" i="3"/>
  <c r="BE493" i="3"/>
  <c r="BF493" i="3"/>
  <c r="BG493" i="3"/>
  <c r="BH493" i="3"/>
  <c r="BI493" i="3"/>
  <c r="BJ493" i="3"/>
  <c r="BK493" i="3"/>
  <c r="BA493" i="3"/>
  <c r="BB494" i="3"/>
  <c r="BC494" i="3"/>
  <c r="BA494" i="3" s="1"/>
  <c r="BD494" i="3"/>
  <c r="BE494" i="3"/>
  <c r="BF494" i="3"/>
  <c r="BG494" i="3"/>
  <c r="BH494" i="3"/>
  <c r="BI494" i="3"/>
  <c r="BJ494" i="3"/>
  <c r="BK494" i="3"/>
  <c r="BB495" i="3"/>
  <c r="BC495" i="3"/>
  <c r="BD495" i="3"/>
  <c r="BE495" i="3"/>
  <c r="BF495" i="3"/>
  <c r="BG495" i="3"/>
  <c r="BH495" i="3"/>
  <c r="BI495" i="3"/>
  <c r="BJ495" i="3"/>
  <c r="BK495" i="3"/>
  <c r="BA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A498" i="3" s="1"/>
  <c r="BD498" i="3"/>
  <c r="BE498" i="3"/>
  <c r="BF498" i="3"/>
  <c r="BG498" i="3"/>
  <c r="BH498" i="3"/>
  <c r="BI498" i="3"/>
  <c r="BJ498" i="3"/>
  <c r="BK498" i="3"/>
  <c r="BB499" i="3"/>
  <c r="BC499" i="3"/>
  <c r="BD499" i="3"/>
  <c r="BE499" i="3"/>
  <c r="BF499" i="3"/>
  <c r="BG499" i="3"/>
  <c r="BH499" i="3"/>
  <c r="BI499" i="3"/>
  <c r="BJ499" i="3"/>
  <c r="BK499" i="3"/>
  <c r="BA499" i="3"/>
  <c r="BB500" i="3"/>
  <c r="BC500" i="3"/>
  <c r="BA500" i="3" s="1"/>
  <c r="BD500" i="3"/>
  <c r="BE500" i="3"/>
  <c r="BF500" i="3"/>
  <c r="BG500" i="3"/>
  <c r="BH500" i="3"/>
  <c r="BI500" i="3"/>
  <c r="BJ500" i="3"/>
  <c r="BK500" i="3"/>
  <c r="BB501" i="3"/>
  <c r="BC501" i="3"/>
  <c r="BD501" i="3"/>
  <c r="BE501" i="3"/>
  <c r="BF501" i="3"/>
  <c r="BG501" i="3"/>
  <c r="BH501" i="3"/>
  <c r="BI501" i="3"/>
  <c r="BJ501" i="3"/>
  <c r="BK501" i="3"/>
  <c r="BA501" i="3"/>
  <c r="BB502" i="3"/>
  <c r="BC502" i="3"/>
  <c r="BA502" i="3" s="1"/>
  <c r="BD502" i="3"/>
  <c r="BE502" i="3"/>
  <c r="BF502" i="3"/>
  <c r="BG502" i="3"/>
  <c r="BH502" i="3"/>
  <c r="BI502" i="3"/>
  <c r="BJ502" i="3"/>
  <c r="BK502" i="3"/>
  <c r="BB503" i="3"/>
  <c r="BC503" i="3"/>
  <c r="BD503" i="3"/>
  <c r="BE503" i="3"/>
  <c r="BF503" i="3"/>
  <c r="BG503" i="3"/>
  <c r="BH503" i="3"/>
  <c r="BI503" i="3"/>
  <c r="BJ503" i="3"/>
  <c r="BK503" i="3"/>
  <c r="BA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A507" i="3"/>
  <c r="BB508" i="3"/>
  <c r="BC508" i="3"/>
  <c r="BA508" i="3" s="1"/>
  <c r="BD508" i="3"/>
  <c r="BE508" i="3"/>
  <c r="BF508" i="3"/>
  <c r="BG508" i="3"/>
  <c r="BH508" i="3"/>
  <c r="BI508" i="3"/>
  <c r="BJ508" i="3"/>
  <c r="BK508" i="3"/>
  <c r="BB509" i="3"/>
  <c r="BC509" i="3"/>
  <c r="BD509" i="3"/>
  <c r="BE509" i="3"/>
  <c r="BF509" i="3"/>
  <c r="BG509" i="3"/>
  <c r="BH509" i="3"/>
  <c r="BI509" i="3"/>
  <c r="BJ509" i="3"/>
  <c r="BK509" i="3"/>
  <c r="BA509" i="3"/>
  <c r="BB510" i="3"/>
  <c r="BC510" i="3"/>
  <c r="BA510" i="3" s="1"/>
  <c r="BD510" i="3"/>
  <c r="BE510" i="3"/>
  <c r="BF510" i="3"/>
  <c r="BG510" i="3"/>
  <c r="BH510" i="3"/>
  <c r="BI510" i="3"/>
  <c r="BJ510" i="3"/>
  <c r="BK510" i="3"/>
  <c r="BB511" i="3"/>
  <c r="BC511" i="3"/>
  <c r="BD511" i="3"/>
  <c r="BE511" i="3"/>
  <c r="BF511" i="3"/>
  <c r="BG511" i="3"/>
  <c r="BH511" i="3"/>
  <c r="BI511" i="3"/>
  <c r="BJ511" i="3"/>
  <c r="BK511" i="3"/>
  <c r="BA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C515" i="3"/>
  <c r="BD515" i="3"/>
  <c r="BE515" i="3"/>
  <c r="BF515" i="3"/>
  <c r="BG515" i="3"/>
  <c r="BH515" i="3"/>
  <c r="BI515" i="3"/>
  <c r="BJ515" i="3"/>
  <c r="BK515" i="3"/>
  <c r="BA515" i="3"/>
  <c r="BB516" i="3"/>
  <c r="BC516" i="3"/>
  <c r="BA516" i="3" s="1"/>
  <c r="BD516" i="3"/>
  <c r="BE516" i="3"/>
  <c r="BF516" i="3"/>
  <c r="BG516" i="3"/>
  <c r="BH516" i="3"/>
  <c r="BI516" i="3"/>
  <c r="BJ516" i="3"/>
  <c r="BK516" i="3"/>
  <c r="BB517" i="3"/>
  <c r="BC517" i="3"/>
  <c r="BD517" i="3"/>
  <c r="BE517" i="3"/>
  <c r="BF517" i="3"/>
  <c r="BG517" i="3"/>
  <c r="BH517" i="3"/>
  <c r="BI517" i="3"/>
  <c r="BJ517" i="3"/>
  <c r="BK517" i="3"/>
  <c r="BA517" i="3"/>
  <c r="BB518" i="3"/>
  <c r="BC518" i="3"/>
  <c r="BA518" i="3" s="1"/>
  <c r="BD518" i="3"/>
  <c r="BE518" i="3"/>
  <c r="BF518" i="3"/>
  <c r="BG518" i="3"/>
  <c r="BH518" i="3"/>
  <c r="BI518" i="3"/>
  <c r="BJ518" i="3"/>
  <c r="BK518" i="3"/>
  <c r="BB519" i="3"/>
  <c r="BC519" i="3"/>
  <c r="BD519" i="3"/>
  <c r="BE519" i="3"/>
  <c r="BF519" i="3"/>
  <c r="BG519" i="3"/>
  <c r="BH519" i="3"/>
  <c r="BI519" i="3"/>
  <c r="BJ519" i="3"/>
  <c r="BK519" i="3"/>
  <c r="BA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A522" i="3" s="1"/>
  <c r="BD522" i="3"/>
  <c r="BE522" i="3"/>
  <c r="BF522" i="3"/>
  <c r="BG522" i="3"/>
  <c r="BH522" i="3"/>
  <c r="BI522" i="3"/>
  <c r="BJ522" i="3"/>
  <c r="BK522" i="3"/>
  <c r="BB523" i="3"/>
  <c r="BC523" i="3"/>
  <c r="BD523" i="3"/>
  <c r="BE523" i="3"/>
  <c r="BF523" i="3"/>
  <c r="BG523" i="3"/>
  <c r="BH523" i="3"/>
  <c r="BI523" i="3"/>
  <c r="BJ523" i="3"/>
  <c r="BK523" i="3"/>
  <c r="BA523" i="3"/>
  <c r="BB524" i="3"/>
  <c r="BC524" i="3"/>
  <c r="BD524" i="3"/>
  <c r="BE524" i="3"/>
  <c r="BF524" i="3"/>
  <c r="BG524" i="3"/>
  <c r="BH524" i="3"/>
  <c r="BI524" i="3"/>
  <c r="BJ524" i="3"/>
  <c r="BK524" i="3"/>
  <c r="BB525" i="3"/>
  <c r="BC525" i="3"/>
  <c r="BD525" i="3"/>
  <c r="BE525" i="3"/>
  <c r="BF525" i="3"/>
  <c r="BG525" i="3"/>
  <c r="BH525" i="3"/>
  <c r="BI525" i="3"/>
  <c r="BJ525" i="3"/>
  <c r="BK525" i="3"/>
  <c r="BA525" i="3"/>
  <c r="BB526" i="3"/>
  <c r="BC526" i="3"/>
  <c r="BD526" i="3"/>
  <c r="BE526" i="3"/>
  <c r="BF526" i="3"/>
  <c r="BG526" i="3"/>
  <c r="BH526" i="3"/>
  <c r="BI526" i="3"/>
  <c r="BJ526" i="3"/>
  <c r="BK526" i="3"/>
  <c r="BB527" i="3"/>
  <c r="BC527" i="3"/>
  <c r="BD527" i="3"/>
  <c r="BE527" i="3"/>
  <c r="BF527" i="3"/>
  <c r="BG527" i="3"/>
  <c r="BH527" i="3"/>
  <c r="BI527" i="3"/>
  <c r="BJ527" i="3"/>
  <c r="BK527" i="3"/>
  <c r="BA527" i="3"/>
  <c r="BB528" i="3"/>
  <c r="BC528" i="3"/>
  <c r="BD528" i="3"/>
  <c r="BE528" i="3"/>
  <c r="BF528" i="3"/>
  <c r="BG528" i="3"/>
  <c r="BH528" i="3"/>
  <c r="BI528" i="3"/>
  <c r="BJ528" i="3"/>
  <c r="BK528" i="3"/>
  <c r="BB529" i="3"/>
  <c r="BC529" i="3"/>
  <c r="BA529" i="3" s="1"/>
  <c r="BD529" i="3"/>
  <c r="BE529" i="3"/>
  <c r="BF529" i="3"/>
  <c r="BG529" i="3"/>
  <c r="BH529" i="3"/>
  <c r="BI529" i="3"/>
  <c r="BJ529" i="3"/>
  <c r="BK529" i="3"/>
  <c r="BB530" i="3"/>
  <c r="BC530" i="3"/>
  <c r="BD530" i="3"/>
  <c r="BE530" i="3"/>
  <c r="BF530" i="3"/>
  <c r="BG530" i="3"/>
  <c r="BH530" i="3"/>
  <c r="BI530" i="3"/>
  <c r="BJ530" i="3"/>
  <c r="BK530" i="3"/>
  <c r="BA530" i="3"/>
  <c r="BB531" i="3"/>
  <c r="BC531" i="3"/>
  <c r="BA531" i="3" s="1"/>
  <c r="BD531" i="3"/>
  <c r="BE531" i="3"/>
  <c r="BF531" i="3"/>
  <c r="BG531" i="3"/>
  <c r="BH531" i="3"/>
  <c r="BI531" i="3"/>
  <c r="BJ531" i="3"/>
  <c r="BK531" i="3"/>
  <c r="BB532" i="3"/>
  <c r="BC532" i="3"/>
  <c r="BD532" i="3"/>
  <c r="BE532" i="3"/>
  <c r="BF532" i="3"/>
  <c r="BG532" i="3"/>
  <c r="BH532" i="3"/>
  <c r="BI532" i="3"/>
  <c r="BJ532" i="3"/>
  <c r="BK532" i="3"/>
  <c r="BA532" i="3"/>
  <c r="BB533" i="3"/>
  <c r="BC533" i="3"/>
  <c r="BA533" i="3" s="1"/>
  <c r="BD533" i="3"/>
  <c r="BE533" i="3"/>
  <c r="BF533" i="3"/>
  <c r="BG533" i="3"/>
  <c r="BH533" i="3"/>
  <c r="BI533" i="3"/>
  <c r="BJ533" i="3"/>
  <c r="BK533" i="3"/>
  <c r="BB534" i="3"/>
  <c r="BC534" i="3"/>
  <c r="BD534" i="3"/>
  <c r="BE534" i="3"/>
  <c r="BF534" i="3"/>
  <c r="BG534" i="3"/>
  <c r="BH534" i="3"/>
  <c r="BI534" i="3"/>
  <c r="BJ534" i="3"/>
  <c r="BK534" i="3"/>
  <c r="BA534" i="3"/>
  <c r="BB535" i="3"/>
  <c r="BC535" i="3"/>
  <c r="BA535" i="3" s="1"/>
  <c r="BD535" i="3"/>
  <c r="BE535" i="3"/>
  <c r="BF535" i="3"/>
  <c r="BG535" i="3"/>
  <c r="BH535" i="3"/>
  <c r="BI535" i="3"/>
  <c r="BJ535" i="3"/>
  <c r="BK535" i="3"/>
  <c r="BB536" i="3"/>
  <c r="BC536" i="3"/>
  <c r="BD536" i="3"/>
  <c r="BE536" i="3"/>
  <c r="BF536" i="3"/>
  <c r="BG536" i="3"/>
  <c r="BH536" i="3"/>
  <c r="BI536" i="3"/>
  <c r="BJ536" i="3"/>
  <c r="BK536" i="3"/>
  <c r="BA536" i="3"/>
  <c r="BB537" i="3"/>
  <c r="BC537" i="3"/>
  <c r="BA537" i="3" s="1"/>
  <c r="BD537" i="3"/>
  <c r="BE537" i="3"/>
  <c r="BF537" i="3"/>
  <c r="BG537" i="3"/>
  <c r="BH537" i="3"/>
  <c r="BI537" i="3"/>
  <c r="BJ537" i="3"/>
  <c r="BK537" i="3"/>
  <c r="BB538" i="3"/>
  <c r="BC538" i="3"/>
  <c r="BD538" i="3"/>
  <c r="BE538" i="3"/>
  <c r="BF538" i="3"/>
  <c r="BG538" i="3"/>
  <c r="BH538" i="3"/>
  <c r="BI538" i="3"/>
  <c r="BJ538" i="3"/>
  <c r="BK538" i="3"/>
  <c r="BA538" i="3"/>
  <c r="BB539" i="3"/>
  <c r="BC539" i="3"/>
  <c r="BA539" i="3" s="1"/>
  <c r="BD539" i="3"/>
  <c r="BE539" i="3"/>
  <c r="BF539" i="3"/>
  <c r="BG539" i="3"/>
  <c r="BH539" i="3"/>
  <c r="BI539" i="3"/>
  <c r="BJ539" i="3"/>
  <c r="BK539" i="3"/>
  <c r="BB540" i="3"/>
  <c r="BC540" i="3"/>
  <c r="BD540" i="3"/>
  <c r="BE540" i="3"/>
  <c r="BF540" i="3"/>
  <c r="BG540" i="3"/>
  <c r="BH540" i="3"/>
  <c r="BI540" i="3"/>
  <c r="BJ540" i="3"/>
  <c r="BK540" i="3"/>
  <c r="BA540" i="3"/>
  <c r="BB541" i="3"/>
  <c r="BC541" i="3"/>
  <c r="BA541" i="3" s="1"/>
  <c r="BD541" i="3"/>
  <c r="BE541" i="3"/>
  <c r="BF541" i="3"/>
  <c r="BG541" i="3"/>
  <c r="BH541" i="3"/>
  <c r="BI541" i="3"/>
  <c r="BJ541" i="3"/>
  <c r="BK541" i="3"/>
  <c r="BB542" i="3"/>
  <c r="BC542" i="3"/>
  <c r="BD542" i="3"/>
  <c r="BE542" i="3"/>
  <c r="BF542" i="3"/>
  <c r="BG542" i="3"/>
  <c r="BH542" i="3"/>
  <c r="BI542" i="3"/>
  <c r="BJ542" i="3"/>
  <c r="BK542" i="3"/>
  <c r="BA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A545" i="3" s="1"/>
  <c r="BD545" i="3"/>
  <c r="BE545" i="3"/>
  <c r="BF545" i="3"/>
  <c r="BG545" i="3"/>
  <c r="BH545" i="3"/>
  <c r="BI545" i="3"/>
  <c r="BJ545" i="3"/>
  <c r="BK545" i="3"/>
  <c r="BB546" i="3"/>
  <c r="BC546" i="3"/>
  <c r="BD546" i="3"/>
  <c r="BE546" i="3"/>
  <c r="BF546" i="3"/>
  <c r="BG546" i="3"/>
  <c r="BH546" i="3"/>
  <c r="BI546" i="3"/>
  <c r="BJ546" i="3"/>
  <c r="BK546" i="3"/>
  <c r="BA546" i="3"/>
  <c r="BB547" i="3"/>
  <c r="BC547" i="3"/>
  <c r="BA547" i="3" s="1"/>
  <c r="BD547" i="3"/>
  <c r="BE547" i="3"/>
  <c r="BF547" i="3"/>
  <c r="BG547" i="3"/>
  <c r="BH547" i="3"/>
  <c r="BI547" i="3"/>
  <c r="BJ547" i="3"/>
  <c r="BK547" i="3"/>
  <c r="BB548" i="3"/>
  <c r="BC548" i="3"/>
  <c r="BD548" i="3"/>
  <c r="BE548" i="3"/>
  <c r="BF548" i="3"/>
  <c r="BG548" i="3"/>
  <c r="BH548" i="3"/>
  <c r="BI548" i="3"/>
  <c r="BJ548" i="3"/>
  <c r="BK548" i="3"/>
  <c r="BA548" i="3"/>
  <c r="BB549" i="3"/>
  <c r="BC549" i="3"/>
  <c r="BA549" i="3" s="1"/>
  <c r="BD549" i="3"/>
  <c r="BE549" i="3"/>
  <c r="BF549" i="3"/>
  <c r="BG549" i="3"/>
  <c r="BH549" i="3"/>
  <c r="BI549" i="3"/>
  <c r="BJ549" i="3"/>
  <c r="BK549" i="3"/>
  <c r="BB550" i="3"/>
  <c r="BC550" i="3"/>
  <c r="BD550" i="3"/>
  <c r="BE550" i="3"/>
  <c r="BF550" i="3"/>
  <c r="BG550" i="3"/>
  <c r="BH550" i="3"/>
  <c r="BI550" i="3"/>
  <c r="BJ550" i="3"/>
  <c r="BK550" i="3"/>
  <c r="BA550" i="3"/>
  <c r="BB551" i="3"/>
  <c r="BC551" i="3"/>
  <c r="BA551" i="3" s="1"/>
  <c r="BD551" i="3"/>
  <c r="BE551" i="3"/>
  <c r="BF551" i="3"/>
  <c r="BG551" i="3"/>
  <c r="BH551" i="3"/>
  <c r="BI551" i="3"/>
  <c r="BJ551" i="3"/>
  <c r="BK551" i="3"/>
  <c r="BB552" i="3"/>
  <c r="BC552" i="3"/>
  <c r="BD552" i="3"/>
  <c r="BE552" i="3"/>
  <c r="BF552" i="3"/>
  <c r="BG552" i="3"/>
  <c r="BH552" i="3"/>
  <c r="BI552" i="3"/>
  <c r="BJ552" i="3"/>
  <c r="BK552" i="3"/>
  <c r="BA552" i="3"/>
  <c r="BB553" i="3"/>
  <c r="BC553" i="3"/>
  <c r="BA553" i="3" s="1"/>
  <c r="BD553" i="3"/>
  <c r="BE553" i="3"/>
  <c r="BF553" i="3"/>
  <c r="BG553" i="3"/>
  <c r="BH553" i="3"/>
  <c r="BI553" i="3"/>
  <c r="BJ553" i="3"/>
  <c r="BK553" i="3"/>
  <c r="BB554" i="3"/>
  <c r="BC554" i="3"/>
  <c r="BD554" i="3"/>
  <c r="BE554" i="3"/>
  <c r="BF554" i="3"/>
  <c r="BG554" i="3"/>
  <c r="BH554" i="3"/>
  <c r="BI554" i="3"/>
  <c r="BJ554" i="3"/>
  <c r="BK554" i="3"/>
  <c r="BA554" i="3"/>
  <c r="BB555" i="3"/>
  <c r="BC555" i="3"/>
  <c r="BA555" i="3" s="1"/>
  <c r="BD555" i="3"/>
  <c r="BE555" i="3"/>
  <c r="BF555" i="3"/>
  <c r="BG555" i="3"/>
  <c r="BH555" i="3"/>
  <c r="BI555" i="3"/>
  <c r="BJ555" i="3"/>
  <c r="BK555" i="3"/>
  <c r="BB556" i="3"/>
  <c r="BC556" i="3"/>
  <c r="BD556" i="3"/>
  <c r="BE556" i="3"/>
  <c r="BF556" i="3"/>
  <c r="BG556" i="3"/>
  <c r="BH556" i="3"/>
  <c r="BI556" i="3"/>
  <c r="BJ556" i="3"/>
  <c r="BK556" i="3"/>
  <c r="BA556" i="3"/>
  <c r="BB557" i="3"/>
  <c r="BC557" i="3"/>
  <c r="BA557" i="3" s="1"/>
  <c r="BD557" i="3"/>
  <c r="BE557" i="3"/>
  <c r="BF557" i="3"/>
  <c r="BG557" i="3"/>
  <c r="BH557" i="3"/>
  <c r="BI557" i="3"/>
  <c r="BJ557" i="3"/>
  <c r="BK557" i="3"/>
  <c r="BB558" i="3"/>
  <c r="BC558" i="3"/>
  <c r="BD558" i="3"/>
  <c r="BE558" i="3"/>
  <c r="BF558" i="3"/>
  <c r="BG558" i="3"/>
  <c r="BH558" i="3"/>
  <c r="BI558" i="3"/>
  <c r="BJ558" i="3"/>
  <c r="BK558" i="3"/>
  <c r="BA558" i="3"/>
  <c r="BB559" i="3"/>
  <c r="BC559" i="3"/>
  <c r="BA559" i="3" s="1"/>
  <c r="BD559" i="3"/>
  <c r="BE559" i="3"/>
  <c r="BF559" i="3"/>
  <c r="BG559" i="3"/>
  <c r="BH559" i="3"/>
  <c r="BI559" i="3"/>
  <c r="BJ559" i="3"/>
  <c r="BK559" i="3"/>
  <c r="BB560" i="3"/>
  <c r="BC560" i="3"/>
  <c r="BD560" i="3"/>
  <c r="BE560" i="3"/>
  <c r="BF560" i="3"/>
  <c r="BG560" i="3"/>
  <c r="BH560" i="3"/>
  <c r="BI560" i="3"/>
  <c r="BJ560" i="3"/>
  <c r="BK560" i="3"/>
  <c r="BA560" i="3"/>
  <c r="BB561" i="3"/>
  <c r="BC561" i="3"/>
  <c r="BA561" i="3" s="1"/>
  <c r="BD561" i="3"/>
  <c r="BE561" i="3"/>
  <c r="BF561" i="3"/>
  <c r="BG561" i="3"/>
  <c r="BH561" i="3"/>
  <c r="BI561" i="3"/>
  <c r="BJ561" i="3"/>
  <c r="BK561" i="3"/>
  <c r="BB562" i="3"/>
  <c r="BC562" i="3"/>
  <c r="BD562" i="3"/>
  <c r="BE562" i="3"/>
  <c r="BF562" i="3"/>
  <c r="BG562" i="3"/>
  <c r="BH562" i="3"/>
  <c r="BI562" i="3"/>
  <c r="BJ562" i="3"/>
  <c r="BK562" i="3"/>
  <c r="BA562" i="3"/>
  <c r="BB563" i="3"/>
  <c r="BC563" i="3"/>
  <c r="BA563" i="3" s="1"/>
  <c r="BD563" i="3"/>
  <c r="BE563" i="3"/>
  <c r="BF563" i="3"/>
  <c r="BG563" i="3"/>
  <c r="BH563" i="3"/>
  <c r="BI563" i="3"/>
  <c r="BJ563" i="3"/>
  <c r="BK563" i="3"/>
  <c r="BB564" i="3"/>
  <c r="BC564" i="3"/>
  <c r="BD564" i="3"/>
  <c r="BE564" i="3"/>
  <c r="BF564" i="3"/>
  <c r="BG564" i="3"/>
  <c r="BH564" i="3"/>
  <c r="BI564" i="3"/>
  <c r="BJ564" i="3"/>
  <c r="BK564" i="3"/>
  <c r="BA564" i="3"/>
  <c r="BB565" i="3"/>
  <c r="BC565" i="3"/>
  <c r="BA565" i="3" s="1"/>
  <c r="BD565" i="3"/>
  <c r="BE565" i="3"/>
  <c r="BF565" i="3"/>
  <c r="BG565" i="3"/>
  <c r="BH565" i="3"/>
  <c r="BI565" i="3"/>
  <c r="BJ565" i="3"/>
  <c r="BK565" i="3"/>
  <c r="BB566" i="3"/>
  <c r="BC566" i="3"/>
  <c r="BD566" i="3"/>
  <c r="BE566" i="3"/>
  <c r="BF566" i="3"/>
  <c r="BG566" i="3"/>
  <c r="BH566" i="3"/>
  <c r="BI566" i="3"/>
  <c r="BJ566" i="3"/>
  <c r="BK566" i="3"/>
  <c r="BA566" i="3"/>
  <c r="BB567" i="3"/>
  <c r="BC567" i="3"/>
  <c r="BA567" i="3" s="1"/>
  <c r="BD567" i="3"/>
  <c r="BE567" i="3"/>
  <c r="BF567" i="3"/>
  <c r="BG567" i="3"/>
  <c r="BH567" i="3"/>
  <c r="BI567" i="3"/>
  <c r="BJ567" i="3"/>
  <c r="BK567" i="3"/>
  <c r="BB568" i="3"/>
  <c r="BC568" i="3"/>
  <c r="BD568" i="3"/>
  <c r="BE568" i="3"/>
  <c r="BF568" i="3"/>
  <c r="BG568" i="3"/>
  <c r="BH568" i="3"/>
  <c r="BI568" i="3"/>
  <c r="BJ568" i="3"/>
  <c r="BK568" i="3"/>
  <c r="BA568" i="3"/>
  <c r="BB569" i="3"/>
  <c r="BC569" i="3"/>
  <c r="BA569" i="3" s="1"/>
  <c r="BD569" i="3"/>
  <c r="BE569" i="3"/>
  <c r="BF569" i="3"/>
  <c r="BG569" i="3"/>
  <c r="BH569" i="3"/>
  <c r="BI569" i="3"/>
  <c r="BJ569" i="3"/>
  <c r="BK569" i="3"/>
  <c r="BB570" i="3"/>
  <c r="BC570" i="3"/>
  <c r="BD570" i="3"/>
  <c r="BE570" i="3"/>
  <c r="BF570" i="3"/>
  <c r="BG570" i="3"/>
  <c r="BH570" i="3"/>
  <c r="BI570" i="3"/>
  <c r="BJ570" i="3"/>
  <c r="BK570" i="3"/>
  <c r="BA570" i="3"/>
  <c r="BB571" i="3"/>
  <c r="BC571" i="3"/>
  <c r="BA571" i="3" s="1"/>
  <c r="BD571" i="3"/>
  <c r="BE571" i="3"/>
  <c r="BF571" i="3"/>
  <c r="BG571" i="3"/>
  <c r="BH571" i="3"/>
  <c r="BI571" i="3"/>
  <c r="BJ571" i="3"/>
  <c r="BK571" i="3"/>
  <c r="BB572" i="3"/>
  <c r="BC572" i="3"/>
  <c r="BD572" i="3"/>
  <c r="BE572" i="3"/>
  <c r="BF572" i="3"/>
  <c r="BG572" i="3"/>
  <c r="BH572" i="3"/>
  <c r="BI572" i="3"/>
  <c r="BJ572" i="3"/>
  <c r="BK572" i="3"/>
  <c r="BA572" i="3"/>
  <c r="BB573" i="3"/>
  <c r="BC573" i="3"/>
  <c r="BA573" i="3" s="1"/>
  <c r="BD573" i="3"/>
  <c r="BE573" i="3"/>
  <c r="BF573" i="3"/>
  <c r="BG573" i="3"/>
  <c r="BH573" i="3"/>
  <c r="BI573" i="3"/>
  <c r="BJ573" i="3"/>
  <c r="BK573" i="3"/>
  <c r="BB574" i="3"/>
  <c r="BC574" i="3"/>
  <c r="BD574" i="3"/>
  <c r="BE574" i="3"/>
  <c r="BF574" i="3"/>
  <c r="BG574" i="3"/>
  <c r="BH574" i="3"/>
  <c r="BI574" i="3"/>
  <c r="BJ574" i="3"/>
  <c r="BK574" i="3"/>
  <c r="BA574" i="3"/>
  <c r="BB575" i="3"/>
  <c r="BC575" i="3"/>
  <c r="BD575" i="3"/>
  <c r="BE575" i="3"/>
  <c r="BF575" i="3"/>
  <c r="BG575" i="3"/>
  <c r="BA575" i="3" s="1"/>
  <c r="BH575" i="3"/>
  <c r="BI575" i="3"/>
  <c r="BJ575" i="3"/>
  <c r="BK575" i="3"/>
  <c r="BB576" i="3"/>
  <c r="BC576" i="3"/>
  <c r="BD576" i="3"/>
  <c r="BE576" i="3"/>
  <c r="BF576" i="3"/>
  <c r="BG576" i="3"/>
  <c r="BH576" i="3"/>
  <c r="BI576" i="3"/>
  <c r="BJ576" i="3"/>
  <c r="BK576" i="3"/>
  <c r="BA576" i="3"/>
  <c r="BB577" i="3"/>
  <c r="BC577" i="3"/>
  <c r="BD577" i="3"/>
  <c r="BE577" i="3"/>
  <c r="BF577" i="3"/>
  <c r="BG577" i="3"/>
  <c r="BH577" i="3"/>
  <c r="BI577" i="3"/>
  <c r="BA577" i="3" s="1"/>
  <c r="BJ577" i="3"/>
  <c r="BK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s="1"/>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s="1"/>
  <c r="BB585" i="3"/>
  <c r="BC585" i="3"/>
  <c r="BD585" i="3"/>
  <c r="BE585" i="3"/>
  <c r="BF585" i="3"/>
  <c r="BG585" i="3"/>
  <c r="BH585" i="3"/>
  <c r="BI585" i="3"/>
  <c r="BJ585" i="3"/>
  <c r="BK585" i="3"/>
  <c r="BA585" i="3"/>
  <c r="BB586" i="3"/>
  <c r="BC586" i="3"/>
  <c r="BD586" i="3"/>
  <c r="BE586" i="3"/>
  <c r="BF586" i="3"/>
  <c r="BG586" i="3"/>
  <c r="BH586" i="3"/>
  <c r="BI586" i="3"/>
  <c r="BJ586" i="3"/>
  <c r="BK586" i="3"/>
  <c r="BA586" i="3" s="1"/>
  <c r="BB587" i="3"/>
  <c r="BC587" i="3"/>
  <c r="BD587" i="3"/>
  <c r="BE587" i="3"/>
  <c r="BF587" i="3"/>
  <c r="BG587" i="3"/>
  <c r="BH587" i="3"/>
  <c r="BI587" i="3"/>
  <c r="BJ587" i="3"/>
  <c r="BK587" i="3"/>
  <c r="BA587" i="3"/>
  <c r="F15" i="79"/>
  <c r="F17" i="79"/>
  <c r="F18" i="79"/>
  <c r="F20" i="79"/>
  <c r="J1" i="73"/>
  <c r="B22" i="1"/>
  <c r="E1" i="73"/>
  <c r="K1" i="73" s="1"/>
  <c r="F23" i="79"/>
  <c r="D23" i="79" s="1"/>
  <c r="F21" i="79"/>
  <c r="F28" i="79"/>
  <c r="C28" i="79" s="1"/>
  <c r="F33" i="79"/>
  <c r="F61" i="79" s="1"/>
  <c r="BM13" i="3"/>
  <c r="BN13" i="3"/>
  <c r="BL13" i="3" s="1"/>
  <c r="AZ13" i="3" s="1"/>
  <c r="BO13" i="3"/>
  <c r="BP13" i="3"/>
  <c r="BM14" i="3"/>
  <c r="BN14" i="3"/>
  <c r="BL14" i="3" s="1"/>
  <c r="BO14" i="3"/>
  <c r="BP14" i="3"/>
  <c r="BM15" i="3"/>
  <c r="BN15" i="3"/>
  <c r="BL15" i="3" s="1"/>
  <c r="AZ15" i="3" s="1"/>
  <c r="BO15" i="3"/>
  <c r="BP15" i="3"/>
  <c r="BM16" i="3"/>
  <c r="BN16" i="3"/>
  <c r="BL16" i="3" s="1"/>
  <c r="BO16" i="3"/>
  <c r="BP16" i="3"/>
  <c r="BM17" i="3"/>
  <c r="BN17" i="3"/>
  <c r="BL17" i="3" s="1"/>
  <c r="AZ17" i="3" s="1"/>
  <c r="BO17" i="3"/>
  <c r="BP17" i="3"/>
  <c r="BM18" i="3"/>
  <c r="BN18" i="3"/>
  <c r="BL18" i="3" s="1"/>
  <c r="BO18" i="3"/>
  <c r="BP18" i="3"/>
  <c r="BM19" i="3"/>
  <c r="BN19" i="3"/>
  <c r="BL19" i="3" s="1"/>
  <c r="AZ19" i="3" s="1"/>
  <c r="BO19" i="3"/>
  <c r="BP19" i="3"/>
  <c r="BM20" i="3"/>
  <c r="BN20" i="3"/>
  <c r="BL20" i="3" s="1"/>
  <c r="BO20" i="3"/>
  <c r="BP20" i="3"/>
  <c r="BM21" i="3"/>
  <c r="BN21" i="3"/>
  <c r="BL21" i="3" s="1"/>
  <c r="AZ21" i="3" s="1"/>
  <c r="BO21" i="3"/>
  <c r="BP21" i="3"/>
  <c r="BM22" i="3"/>
  <c r="BN22" i="3"/>
  <c r="BL22" i="3" s="1"/>
  <c r="BO22" i="3"/>
  <c r="BP22" i="3"/>
  <c r="BM23" i="3"/>
  <c r="BN23" i="3"/>
  <c r="BL23" i="3" s="1"/>
  <c r="AZ23" i="3" s="1"/>
  <c r="BO23" i="3"/>
  <c r="BP23" i="3"/>
  <c r="BM24" i="3"/>
  <c r="BN24" i="3"/>
  <c r="BL24" i="3" s="1"/>
  <c r="BO24" i="3"/>
  <c r="BP24" i="3"/>
  <c r="BM25" i="3"/>
  <c r="BN25" i="3"/>
  <c r="BL25" i="3" s="1"/>
  <c r="AZ25" i="3" s="1"/>
  <c r="BO25" i="3"/>
  <c r="BP25" i="3"/>
  <c r="BM26" i="3"/>
  <c r="BN26" i="3"/>
  <c r="BL26" i="3" s="1"/>
  <c r="BO26" i="3"/>
  <c r="BP26" i="3"/>
  <c r="BM27" i="3"/>
  <c r="BN27" i="3"/>
  <c r="BL27" i="3" s="1"/>
  <c r="AZ27" i="3" s="1"/>
  <c r="BO27" i="3"/>
  <c r="BP27" i="3"/>
  <c r="BM28" i="3"/>
  <c r="BN28" i="3"/>
  <c r="BL28" i="3" s="1"/>
  <c r="BO28" i="3"/>
  <c r="BP28" i="3"/>
  <c r="BM29" i="3"/>
  <c r="BN29" i="3"/>
  <c r="BL29" i="3" s="1"/>
  <c r="AZ29" i="3" s="1"/>
  <c r="BO29" i="3"/>
  <c r="BP29" i="3"/>
  <c r="BM30" i="3"/>
  <c r="BN30" i="3"/>
  <c r="BL30" i="3" s="1"/>
  <c r="BO30" i="3"/>
  <c r="BP30" i="3"/>
  <c r="BM31" i="3"/>
  <c r="BN31" i="3"/>
  <c r="BL31" i="3" s="1"/>
  <c r="AZ31" i="3" s="1"/>
  <c r="BO31" i="3"/>
  <c r="BP31" i="3"/>
  <c r="BM32" i="3"/>
  <c r="BN32" i="3"/>
  <c r="BL32" i="3" s="1"/>
  <c r="BO32" i="3"/>
  <c r="BP32" i="3"/>
  <c r="BM33" i="3"/>
  <c r="BN33" i="3"/>
  <c r="BL33" i="3" s="1"/>
  <c r="AZ33" i="3" s="1"/>
  <c r="BO33" i="3"/>
  <c r="BP33" i="3"/>
  <c r="BM34" i="3"/>
  <c r="BN34" i="3"/>
  <c r="BL34" i="3" s="1"/>
  <c r="BO34" i="3"/>
  <c r="BP34" i="3"/>
  <c r="BM35" i="3"/>
  <c r="BN35" i="3"/>
  <c r="BL35" i="3" s="1"/>
  <c r="AZ35" i="3" s="1"/>
  <c r="BO35" i="3"/>
  <c r="BP35" i="3"/>
  <c r="BM36" i="3"/>
  <c r="BN36" i="3"/>
  <c r="BL36" i="3" s="1"/>
  <c r="BO36" i="3"/>
  <c r="BP36" i="3"/>
  <c r="BM37" i="3"/>
  <c r="BN37" i="3"/>
  <c r="BL37" i="3" s="1"/>
  <c r="AZ37" i="3" s="1"/>
  <c r="BO37" i="3"/>
  <c r="BP37" i="3"/>
  <c r="BM38" i="3"/>
  <c r="BN38" i="3"/>
  <c r="BL38" i="3" s="1"/>
  <c r="BO38" i="3"/>
  <c r="BP38" i="3"/>
  <c r="BM39" i="3"/>
  <c r="BN39" i="3"/>
  <c r="BL39" i="3" s="1"/>
  <c r="AZ39" i="3" s="1"/>
  <c r="BO39" i="3"/>
  <c r="BP39" i="3"/>
  <c r="BM40" i="3"/>
  <c r="BN40" i="3"/>
  <c r="BL40" i="3" s="1"/>
  <c r="BO40" i="3"/>
  <c r="BP40" i="3"/>
  <c r="BM41" i="3"/>
  <c r="BN41" i="3"/>
  <c r="BL41" i="3" s="1"/>
  <c r="AZ41" i="3" s="1"/>
  <c r="BO41" i="3"/>
  <c r="BP41" i="3"/>
  <c r="BM42" i="3"/>
  <c r="BN42" i="3"/>
  <c r="BL42" i="3" s="1"/>
  <c r="BO42" i="3"/>
  <c r="BP42" i="3"/>
  <c r="BM43" i="3"/>
  <c r="BN43" i="3"/>
  <c r="BL43" i="3" s="1"/>
  <c r="AZ43" i="3" s="1"/>
  <c r="BO43" i="3"/>
  <c r="BP43" i="3"/>
  <c r="BM44" i="3"/>
  <c r="BN44" i="3"/>
  <c r="BL44" i="3" s="1"/>
  <c r="BO44" i="3"/>
  <c r="BP44" i="3"/>
  <c r="BM45" i="3"/>
  <c r="BN45" i="3"/>
  <c r="BL45" i="3" s="1"/>
  <c r="AZ45" i="3" s="1"/>
  <c r="BO45" i="3"/>
  <c r="BP45" i="3"/>
  <c r="BM46" i="3"/>
  <c r="BN46" i="3"/>
  <c r="BL46" i="3" s="1"/>
  <c r="BO46" i="3"/>
  <c r="BP46" i="3"/>
  <c r="BM47" i="3"/>
  <c r="BN47" i="3"/>
  <c r="BL47" i="3" s="1"/>
  <c r="AZ47" i="3" s="1"/>
  <c r="BO47" i="3"/>
  <c r="BP47" i="3"/>
  <c r="BM48" i="3"/>
  <c r="BN48" i="3"/>
  <c r="BL48" i="3" s="1"/>
  <c r="BO48" i="3"/>
  <c r="BP48" i="3"/>
  <c r="BM49" i="3"/>
  <c r="BN49" i="3"/>
  <c r="BL49" i="3" s="1"/>
  <c r="AZ49" i="3" s="1"/>
  <c r="BO49" i="3"/>
  <c r="BP49" i="3"/>
  <c r="BM50" i="3"/>
  <c r="BN50" i="3"/>
  <c r="BL50" i="3" s="1"/>
  <c r="BO50" i="3"/>
  <c r="BP50" i="3"/>
  <c r="BM51" i="3"/>
  <c r="BN51" i="3"/>
  <c r="BL51" i="3" s="1"/>
  <c r="AZ51" i="3" s="1"/>
  <c r="BO51" i="3"/>
  <c r="BP51" i="3"/>
  <c r="BM52" i="3"/>
  <c r="BN52" i="3"/>
  <c r="BL52" i="3" s="1"/>
  <c r="BO52" i="3"/>
  <c r="BP52" i="3"/>
  <c r="BM53" i="3"/>
  <c r="BN53" i="3"/>
  <c r="BL53" i="3" s="1"/>
  <c r="AZ53" i="3" s="1"/>
  <c r="BO53" i="3"/>
  <c r="BP53" i="3"/>
  <c r="BM54" i="3"/>
  <c r="BN54" i="3"/>
  <c r="BL54" i="3" s="1"/>
  <c r="BO54" i="3"/>
  <c r="BP54" i="3"/>
  <c r="BM55" i="3"/>
  <c r="BN55" i="3"/>
  <c r="BL55" i="3" s="1"/>
  <c r="AZ55" i="3" s="1"/>
  <c r="BO55" i="3"/>
  <c r="BP55" i="3"/>
  <c r="BM56" i="3"/>
  <c r="BN56" i="3"/>
  <c r="BL56" i="3" s="1"/>
  <c r="BO56" i="3"/>
  <c r="BP56" i="3"/>
  <c r="BM57" i="3"/>
  <c r="BN57" i="3"/>
  <c r="BL57" i="3" s="1"/>
  <c r="AZ57" i="3" s="1"/>
  <c r="BO57" i="3"/>
  <c r="BP57" i="3"/>
  <c r="BM58" i="3"/>
  <c r="BN58" i="3"/>
  <c r="BL58" i="3" s="1"/>
  <c r="BO58" i="3"/>
  <c r="BP58" i="3"/>
  <c r="BM59" i="3"/>
  <c r="BN59" i="3"/>
  <c r="BL59" i="3" s="1"/>
  <c r="AZ59" i="3" s="1"/>
  <c r="BO59" i="3"/>
  <c r="BP59" i="3"/>
  <c r="BM60" i="3"/>
  <c r="BN60" i="3"/>
  <c r="BL60" i="3" s="1"/>
  <c r="BO60" i="3"/>
  <c r="BP60" i="3"/>
  <c r="BM61" i="3"/>
  <c r="BN61" i="3"/>
  <c r="BL61" i="3" s="1"/>
  <c r="AZ61" i="3" s="1"/>
  <c r="BO61" i="3"/>
  <c r="BP61" i="3"/>
  <c r="BM62" i="3"/>
  <c r="BN62" i="3"/>
  <c r="BL62" i="3" s="1"/>
  <c r="BO62" i="3"/>
  <c r="BP62" i="3"/>
  <c r="BM63" i="3"/>
  <c r="BN63" i="3"/>
  <c r="BL63" i="3" s="1"/>
  <c r="AZ63" i="3" s="1"/>
  <c r="BO63" i="3"/>
  <c r="BP63" i="3"/>
  <c r="BM64" i="3"/>
  <c r="BN64" i="3"/>
  <c r="BL64" i="3" s="1"/>
  <c r="BO64" i="3"/>
  <c r="BP64" i="3"/>
  <c r="BM65" i="3"/>
  <c r="BN65" i="3"/>
  <c r="BL65" i="3" s="1"/>
  <c r="AZ65" i="3" s="1"/>
  <c r="BO65" i="3"/>
  <c r="BP65" i="3"/>
  <c r="BM66" i="3"/>
  <c r="BN66" i="3"/>
  <c r="BL66" i="3" s="1"/>
  <c r="BO66" i="3"/>
  <c r="BP66" i="3"/>
  <c r="BM67" i="3"/>
  <c r="BN67" i="3"/>
  <c r="BL67" i="3" s="1"/>
  <c r="AZ67" i="3" s="1"/>
  <c r="BO67" i="3"/>
  <c r="BP67" i="3"/>
  <c r="BM68" i="3"/>
  <c r="BN68" i="3"/>
  <c r="BL68" i="3" s="1"/>
  <c r="BO68" i="3"/>
  <c r="BP68" i="3"/>
  <c r="BM69" i="3"/>
  <c r="BN69" i="3"/>
  <c r="BL69" i="3" s="1"/>
  <c r="AZ69" i="3" s="1"/>
  <c r="BO69" i="3"/>
  <c r="BP69" i="3"/>
  <c r="BM70" i="3"/>
  <c r="BN70" i="3"/>
  <c r="BL70" i="3" s="1"/>
  <c r="BO70" i="3"/>
  <c r="BP70" i="3"/>
  <c r="BM71" i="3"/>
  <c r="BN71" i="3"/>
  <c r="BL71" i="3" s="1"/>
  <c r="AZ71" i="3" s="1"/>
  <c r="BO71" i="3"/>
  <c r="BP71" i="3"/>
  <c r="BM72" i="3"/>
  <c r="BN72" i="3"/>
  <c r="BL72" i="3" s="1"/>
  <c r="BO72" i="3"/>
  <c r="BP72" i="3"/>
  <c r="BM73" i="3"/>
  <c r="BN73" i="3"/>
  <c r="BL73" i="3" s="1"/>
  <c r="AZ73" i="3" s="1"/>
  <c r="BO73" i="3"/>
  <c r="BP73" i="3"/>
  <c r="BM74" i="3"/>
  <c r="BN74" i="3"/>
  <c r="BL74" i="3" s="1"/>
  <c r="BO74" i="3"/>
  <c r="BP74" i="3"/>
  <c r="BM75" i="3"/>
  <c r="BN75" i="3"/>
  <c r="BL75" i="3" s="1"/>
  <c r="AZ75" i="3" s="1"/>
  <c r="BO75" i="3"/>
  <c r="BP75" i="3"/>
  <c r="BM76" i="3"/>
  <c r="BN76" i="3"/>
  <c r="BL76" i="3" s="1"/>
  <c r="BO76" i="3"/>
  <c r="BP76" i="3"/>
  <c r="BM77" i="3"/>
  <c r="BN77" i="3"/>
  <c r="BL77" i="3" s="1"/>
  <c r="AZ77" i="3" s="1"/>
  <c r="BO77" i="3"/>
  <c r="BP77" i="3"/>
  <c r="BM78" i="3"/>
  <c r="BN78" i="3"/>
  <c r="BL78" i="3" s="1"/>
  <c r="BO78" i="3"/>
  <c r="BP78" i="3"/>
  <c r="BM79" i="3"/>
  <c r="BN79" i="3"/>
  <c r="BL79" i="3" s="1"/>
  <c r="AZ79" i="3" s="1"/>
  <c r="BO79" i="3"/>
  <c r="BP79" i="3"/>
  <c r="BM80" i="3"/>
  <c r="BN80" i="3"/>
  <c r="BL80" i="3" s="1"/>
  <c r="BO80" i="3"/>
  <c r="BP80" i="3"/>
  <c r="BM81" i="3"/>
  <c r="BN81" i="3"/>
  <c r="BL81" i="3" s="1"/>
  <c r="AZ81" i="3" s="1"/>
  <c r="BO81" i="3"/>
  <c r="BP81" i="3"/>
  <c r="BM82" i="3"/>
  <c r="BN82" i="3"/>
  <c r="BL82" i="3" s="1"/>
  <c r="BO82" i="3"/>
  <c r="BP82" i="3"/>
  <c r="BM83" i="3"/>
  <c r="BN83" i="3"/>
  <c r="BL83" i="3" s="1"/>
  <c r="AZ83" i="3" s="1"/>
  <c r="BO83" i="3"/>
  <c r="BP83" i="3"/>
  <c r="BM84" i="3"/>
  <c r="BN84" i="3"/>
  <c r="BL84" i="3" s="1"/>
  <c r="BO84" i="3"/>
  <c r="BP84" i="3"/>
  <c r="BM85" i="3"/>
  <c r="BN85" i="3"/>
  <c r="BL85" i="3" s="1"/>
  <c r="AZ85" i="3" s="1"/>
  <c r="BO85" i="3"/>
  <c r="BP85" i="3"/>
  <c r="BM86" i="3"/>
  <c r="BN86" i="3"/>
  <c r="BL86" i="3" s="1"/>
  <c r="AZ86" i="3" s="1"/>
  <c r="BO86" i="3"/>
  <c r="BP86" i="3"/>
  <c r="BM87" i="3"/>
  <c r="BN87" i="3"/>
  <c r="BL87" i="3" s="1"/>
  <c r="AZ87" i="3" s="1"/>
  <c r="BO87" i="3"/>
  <c r="BP87" i="3"/>
  <c r="BM88" i="3"/>
  <c r="BN88" i="3"/>
  <c r="BL88" i="3" s="1"/>
  <c r="AZ88" i="3" s="1"/>
  <c r="BO88" i="3"/>
  <c r="BP88" i="3"/>
  <c r="BM89" i="3"/>
  <c r="BN89" i="3"/>
  <c r="BL89" i="3" s="1"/>
  <c r="AZ89" i="3" s="1"/>
  <c r="BO89" i="3"/>
  <c r="BP89" i="3"/>
  <c r="BM90" i="3"/>
  <c r="BN90" i="3"/>
  <c r="BL90" i="3" s="1"/>
  <c r="AZ90" i="3" s="1"/>
  <c r="BO90" i="3"/>
  <c r="BP90" i="3"/>
  <c r="BM91" i="3"/>
  <c r="BN91" i="3"/>
  <c r="BL91" i="3" s="1"/>
  <c r="AZ91" i="3" s="1"/>
  <c r="BO91" i="3"/>
  <c r="BP91" i="3"/>
  <c r="BM92" i="3"/>
  <c r="BN92" i="3"/>
  <c r="BL92" i="3" s="1"/>
  <c r="AZ92" i="3" s="1"/>
  <c r="BO92" i="3"/>
  <c r="BP92" i="3"/>
  <c r="BM93" i="3"/>
  <c r="BN93" i="3"/>
  <c r="BL93" i="3" s="1"/>
  <c r="AZ93" i="3" s="1"/>
  <c r="BO93" i="3"/>
  <c r="BP93" i="3"/>
  <c r="BM94" i="3"/>
  <c r="BN94" i="3"/>
  <c r="BL94" i="3" s="1"/>
  <c r="AZ94" i="3" s="1"/>
  <c r="BO94" i="3"/>
  <c r="BP94" i="3"/>
  <c r="BM95" i="3"/>
  <c r="BN95" i="3"/>
  <c r="BL95" i="3" s="1"/>
  <c r="AZ95" i="3" s="1"/>
  <c r="BO95" i="3"/>
  <c r="BP95" i="3"/>
  <c r="BM96" i="3"/>
  <c r="BN96" i="3"/>
  <c r="BL96" i="3" s="1"/>
  <c r="AZ96" i="3" s="1"/>
  <c r="BO96" i="3"/>
  <c r="BP96" i="3"/>
  <c r="BM97" i="3"/>
  <c r="BN97" i="3"/>
  <c r="BL97" i="3" s="1"/>
  <c r="AZ97" i="3" s="1"/>
  <c r="BO97" i="3"/>
  <c r="BP97" i="3"/>
  <c r="BM98" i="3"/>
  <c r="BN98" i="3"/>
  <c r="BL98" i="3" s="1"/>
  <c r="AZ98" i="3" s="1"/>
  <c r="BO98" i="3"/>
  <c r="BP98" i="3"/>
  <c r="BM99" i="3"/>
  <c r="BN99" i="3"/>
  <c r="BL99" i="3" s="1"/>
  <c r="AZ99" i="3" s="1"/>
  <c r="BO99" i="3"/>
  <c r="BP99" i="3"/>
  <c r="BM100" i="3"/>
  <c r="BN100" i="3"/>
  <c r="BL100" i="3" s="1"/>
  <c r="AZ100" i="3" s="1"/>
  <c r="BO100" i="3"/>
  <c r="BP100" i="3"/>
  <c r="BM101" i="3"/>
  <c r="BN101" i="3"/>
  <c r="BL101" i="3" s="1"/>
  <c r="AZ101" i="3" s="1"/>
  <c r="BO101" i="3"/>
  <c r="BP101" i="3"/>
  <c r="BM102" i="3"/>
  <c r="BN102" i="3"/>
  <c r="BL102" i="3" s="1"/>
  <c r="AZ102" i="3" s="1"/>
  <c r="BO102" i="3"/>
  <c r="BP102" i="3"/>
  <c r="BM103" i="3"/>
  <c r="BN103" i="3"/>
  <c r="BL103" i="3" s="1"/>
  <c r="AZ103" i="3" s="1"/>
  <c r="BO103" i="3"/>
  <c r="BP103" i="3"/>
  <c r="BM104" i="3"/>
  <c r="BN104" i="3"/>
  <c r="BL104" i="3" s="1"/>
  <c r="AZ104" i="3" s="1"/>
  <c r="BO104" i="3"/>
  <c r="BP104" i="3"/>
  <c r="BM105" i="3"/>
  <c r="BN105" i="3"/>
  <c r="BL105" i="3" s="1"/>
  <c r="AZ105" i="3" s="1"/>
  <c r="BO105" i="3"/>
  <c r="BP105" i="3"/>
  <c r="BM106" i="3"/>
  <c r="BN106" i="3"/>
  <c r="BL106" i="3" s="1"/>
  <c r="AZ106" i="3" s="1"/>
  <c r="BO106" i="3"/>
  <c r="BP106" i="3"/>
  <c r="BM107" i="3"/>
  <c r="BN107" i="3"/>
  <c r="BL107" i="3" s="1"/>
  <c r="AZ107" i="3" s="1"/>
  <c r="BO107" i="3"/>
  <c r="BP107" i="3"/>
  <c r="BM108" i="3"/>
  <c r="BN108" i="3"/>
  <c r="BL108" i="3" s="1"/>
  <c r="AZ108" i="3" s="1"/>
  <c r="BO108" i="3"/>
  <c r="BP108" i="3"/>
  <c r="BM109" i="3"/>
  <c r="BN109" i="3"/>
  <c r="BL109" i="3" s="1"/>
  <c r="AZ109" i="3" s="1"/>
  <c r="BO109" i="3"/>
  <c r="BP109" i="3"/>
  <c r="BM110" i="3"/>
  <c r="BN110" i="3"/>
  <c r="BL110" i="3" s="1"/>
  <c r="AZ110" i="3" s="1"/>
  <c r="BO110" i="3"/>
  <c r="BP110" i="3"/>
  <c r="BM111" i="3"/>
  <c r="BN111" i="3"/>
  <c r="BL111" i="3" s="1"/>
  <c r="AZ111" i="3" s="1"/>
  <c r="BO111" i="3"/>
  <c r="BP111" i="3"/>
  <c r="BM112" i="3"/>
  <c r="BN112" i="3"/>
  <c r="BL112" i="3" s="1"/>
  <c r="AZ112" i="3" s="1"/>
  <c r="BO112" i="3"/>
  <c r="BP112" i="3"/>
  <c r="BM113" i="3"/>
  <c r="BN113" i="3"/>
  <c r="BL113" i="3" s="1"/>
  <c r="AZ113" i="3" s="1"/>
  <c r="BO113" i="3"/>
  <c r="BP113" i="3"/>
  <c r="BM114" i="3"/>
  <c r="BN114" i="3"/>
  <c r="BL114" i="3" s="1"/>
  <c r="AZ114" i="3" s="1"/>
  <c r="BO114" i="3"/>
  <c r="BP114" i="3"/>
  <c r="BM115" i="3"/>
  <c r="BN115" i="3"/>
  <c r="BL115" i="3" s="1"/>
  <c r="AZ115" i="3" s="1"/>
  <c r="BO115" i="3"/>
  <c r="BP115" i="3"/>
  <c r="BM116" i="3"/>
  <c r="BN116" i="3"/>
  <c r="BL116" i="3" s="1"/>
  <c r="AZ116" i="3" s="1"/>
  <c r="BO116" i="3"/>
  <c r="BP116" i="3"/>
  <c r="BM117" i="3"/>
  <c r="BN117" i="3"/>
  <c r="BL117" i="3" s="1"/>
  <c r="AZ117" i="3" s="1"/>
  <c r="BO117" i="3"/>
  <c r="BP117" i="3"/>
  <c r="BM118" i="3"/>
  <c r="BN118" i="3"/>
  <c r="BL118" i="3" s="1"/>
  <c r="AZ118" i="3" s="1"/>
  <c r="BO118" i="3"/>
  <c r="BP118" i="3"/>
  <c r="BM119" i="3"/>
  <c r="BN119" i="3"/>
  <c r="BL119" i="3" s="1"/>
  <c r="AZ119" i="3" s="1"/>
  <c r="BO119" i="3"/>
  <c r="BP119" i="3"/>
  <c r="BM120" i="3"/>
  <c r="BN120" i="3"/>
  <c r="BL120" i="3" s="1"/>
  <c r="AZ120" i="3" s="1"/>
  <c r="BO120" i="3"/>
  <c r="BP120" i="3"/>
  <c r="BM121" i="3"/>
  <c r="BN121" i="3"/>
  <c r="BL121" i="3" s="1"/>
  <c r="AZ121" i="3" s="1"/>
  <c r="BO121" i="3"/>
  <c r="BP121" i="3"/>
  <c r="BM122" i="3"/>
  <c r="BN122" i="3"/>
  <c r="BL122" i="3" s="1"/>
  <c r="AZ122" i="3" s="1"/>
  <c r="BO122" i="3"/>
  <c r="BP122" i="3"/>
  <c r="BM123" i="3"/>
  <c r="BN123" i="3"/>
  <c r="BL123" i="3" s="1"/>
  <c r="AZ123" i="3" s="1"/>
  <c r="BO123" i="3"/>
  <c r="BP123" i="3"/>
  <c r="BM124" i="3"/>
  <c r="BN124" i="3"/>
  <c r="BL124" i="3" s="1"/>
  <c r="AZ124" i="3" s="1"/>
  <c r="BO124" i="3"/>
  <c r="BP124" i="3"/>
  <c r="BM125" i="3"/>
  <c r="BN125" i="3"/>
  <c r="BL125" i="3" s="1"/>
  <c r="AZ125" i="3" s="1"/>
  <c r="BO125" i="3"/>
  <c r="BP125" i="3"/>
  <c r="BM126" i="3"/>
  <c r="BN126" i="3"/>
  <c r="BL126" i="3" s="1"/>
  <c r="AZ126" i="3" s="1"/>
  <c r="BO126" i="3"/>
  <c r="BP126" i="3"/>
  <c r="BM127" i="3"/>
  <c r="BN127" i="3"/>
  <c r="BL127" i="3" s="1"/>
  <c r="AZ127" i="3" s="1"/>
  <c r="BO127" i="3"/>
  <c r="BP127" i="3"/>
  <c r="BM128" i="3"/>
  <c r="BN128" i="3"/>
  <c r="BL128" i="3" s="1"/>
  <c r="AZ128" i="3" s="1"/>
  <c r="BO128" i="3"/>
  <c r="BP128" i="3"/>
  <c r="BM129" i="3"/>
  <c r="BN129" i="3"/>
  <c r="BL129" i="3" s="1"/>
  <c r="AZ129" i="3" s="1"/>
  <c r="BO129" i="3"/>
  <c r="BP129" i="3"/>
  <c r="BM130" i="3"/>
  <c r="BN130" i="3"/>
  <c r="BL130" i="3" s="1"/>
  <c r="AZ130" i="3" s="1"/>
  <c r="BO130" i="3"/>
  <c r="BP130" i="3"/>
  <c r="BM131" i="3"/>
  <c r="BN131" i="3"/>
  <c r="BL131" i="3" s="1"/>
  <c r="AZ131" i="3" s="1"/>
  <c r="BO131" i="3"/>
  <c r="BP131" i="3"/>
  <c r="BM132" i="3"/>
  <c r="BN132" i="3"/>
  <c r="BL132" i="3" s="1"/>
  <c r="AZ132" i="3" s="1"/>
  <c r="BO132" i="3"/>
  <c r="BP132" i="3"/>
  <c r="BM133" i="3"/>
  <c r="BN133" i="3"/>
  <c r="BL133" i="3" s="1"/>
  <c r="AZ133" i="3" s="1"/>
  <c r="BO133" i="3"/>
  <c r="BP133" i="3"/>
  <c r="BM134" i="3"/>
  <c r="BN134" i="3"/>
  <c r="BL134" i="3" s="1"/>
  <c r="AZ134" i="3" s="1"/>
  <c r="BO134" i="3"/>
  <c r="BP134" i="3"/>
  <c r="BM135" i="3"/>
  <c r="BN135" i="3"/>
  <c r="BL135" i="3" s="1"/>
  <c r="AZ135" i="3" s="1"/>
  <c r="BO135" i="3"/>
  <c r="BP135" i="3"/>
  <c r="BM136" i="3"/>
  <c r="BN136" i="3"/>
  <c r="BL136" i="3" s="1"/>
  <c r="AZ136" i="3" s="1"/>
  <c r="BO136" i="3"/>
  <c r="BP136" i="3"/>
  <c r="BM137" i="3"/>
  <c r="BN137" i="3"/>
  <c r="BL137" i="3" s="1"/>
  <c r="AZ137" i="3" s="1"/>
  <c r="BO137" i="3"/>
  <c r="BP137" i="3"/>
  <c r="BM138" i="3"/>
  <c r="BN138" i="3"/>
  <c r="BL138" i="3" s="1"/>
  <c r="AZ138" i="3" s="1"/>
  <c r="BO138" i="3"/>
  <c r="BP138" i="3"/>
  <c r="BM139" i="3"/>
  <c r="BN139" i="3"/>
  <c r="BL139" i="3" s="1"/>
  <c r="AZ139" i="3" s="1"/>
  <c r="BO139" i="3"/>
  <c r="BP139" i="3"/>
  <c r="BM140" i="3"/>
  <c r="BN140" i="3"/>
  <c r="BL140" i="3" s="1"/>
  <c r="AZ140" i="3" s="1"/>
  <c r="BO140" i="3"/>
  <c r="BP140" i="3"/>
  <c r="BM141" i="3"/>
  <c r="BN141" i="3"/>
  <c r="BL141" i="3" s="1"/>
  <c r="AZ141" i="3" s="1"/>
  <c r="BO141" i="3"/>
  <c r="BP141" i="3"/>
  <c r="BM142" i="3"/>
  <c r="BN142" i="3"/>
  <c r="BL142" i="3" s="1"/>
  <c r="AZ142" i="3" s="1"/>
  <c r="BO142" i="3"/>
  <c r="BP142" i="3"/>
  <c r="BM143" i="3"/>
  <c r="BN143" i="3"/>
  <c r="BL143" i="3" s="1"/>
  <c r="AZ143" i="3" s="1"/>
  <c r="BO143" i="3"/>
  <c r="BP143" i="3"/>
  <c r="BM144" i="3"/>
  <c r="BN144" i="3"/>
  <c r="BL144" i="3" s="1"/>
  <c r="AZ144" i="3" s="1"/>
  <c r="BO144" i="3"/>
  <c r="BP144" i="3"/>
  <c r="BM145" i="3"/>
  <c r="BN145" i="3"/>
  <c r="BL145" i="3" s="1"/>
  <c r="AZ145" i="3" s="1"/>
  <c r="BO145" i="3"/>
  <c r="BP145" i="3"/>
  <c r="BM146" i="3"/>
  <c r="BN146" i="3"/>
  <c r="BL146" i="3" s="1"/>
  <c r="AZ146" i="3" s="1"/>
  <c r="BO146" i="3"/>
  <c r="BP146" i="3"/>
  <c r="BM147" i="3"/>
  <c r="BN147" i="3"/>
  <c r="BL147" i="3" s="1"/>
  <c r="AZ147" i="3" s="1"/>
  <c r="BO147" i="3"/>
  <c r="BP147" i="3"/>
  <c r="BM148" i="3"/>
  <c r="BN148" i="3"/>
  <c r="BL148" i="3" s="1"/>
  <c r="AZ148" i="3" s="1"/>
  <c r="BO148" i="3"/>
  <c r="BP148" i="3"/>
  <c r="BM149" i="3"/>
  <c r="BN149" i="3"/>
  <c r="BL149" i="3" s="1"/>
  <c r="AZ149" i="3" s="1"/>
  <c r="BO149" i="3"/>
  <c r="BP149" i="3"/>
  <c r="BM150" i="3"/>
  <c r="BN150" i="3"/>
  <c r="BL150" i="3" s="1"/>
  <c r="AZ150" i="3" s="1"/>
  <c r="BO150" i="3"/>
  <c r="BP150" i="3"/>
  <c r="BM151" i="3"/>
  <c r="BN151" i="3"/>
  <c r="BL151" i="3" s="1"/>
  <c r="AZ151" i="3" s="1"/>
  <c r="BO151" i="3"/>
  <c r="BP151" i="3"/>
  <c r="BM152" i="3"/>
  <c r="BN152" i="3"/>
  <c r="BL152" i="3" s="1"/>
  <c r="AZ152" i="3" s="1"/>
  <c r="BO152" i="3"/>
  <c r="BP152" i="3"/>
  <c r="BM153" i="3"/>
  <c r="BN153" i="3"/>
  <c r="BL153" i="3" s="1"/>
  <c r="AZ153" i="3" s="1"/>
  <c r="BO153" i="3"/>
  <c r="BP153" i="3"/>
  <c r="BM154" i="3"/>
  <c r="BN154" i="3"/>
  <c r="BL154" i="3" s="1"/>
  <c r="AZ154" i="3" s="1"/>
  <c r="BO154" i="3"/>
  <c r="BP154" i="3"/>
  <c r="BM155" i="3"/>
  <c r="BN155" i="3"/>
  <c r="BL155" i="3" s="1"/>
  <c r="AZ155" i="3" s="1"/>
  <c r="BO155" i="3"/>
  <c r="BP155" i="3"/>
  <c r="BM156" i="3"/>
  <c r="BN156" i="3"/>
  <c r="BL156" i="3" s="1"/>
  <c r="AZ156" i="3" s="1"/>
  <c r="BO156" i="3"/>
  <c r="BP156" i="3"/>
  <c r="BM157" i="3"/>
  <c r="BN157" i="3"/>
  <c r="BL157" i="3" s="1"/>
  <c r="AZ157" i="3" s="1"/>
  <c r="BO157" i="3"/>
  <c r="BP157" i="3"/>
  <c r="BM158" i="3"/>
  <c r="BN158" i="3"/>
  <c r="BL158" i="3" s="1"/>
  <c r="AZ158" i="3" s="1"/>
  <c r="BO158" i="3"/>
  <c r="BP158" i="3"/>
  <c r="BM159" i="3"/>
  <c r="BN159" i="3"/>
  <c r="BL159" i="3" s="1"/>
  <c r="AZ159" i="3" s="1"/>
  <c r="BO159" i="3"/>
  <c r="BP159" i="3"/>
  <c r="BM160" i="3"/>
  <c r="BN160" i="3"/>
  <c r="BL160" i="3" s="1"/>
  <c r="AZ160" i="3" s="1"/>
  <c r="BO160" i="3"/>
  <c r="BP160" i="3"/>
  <c r="BM161" i="3"/>
  <c r="BN161" i="3"/>
  <c r="BL161" i="3" s="1"/>
  <c r="AZ161" i="3" s="1"/>
  <c r="BO161" i="3"/>
  <c r="BP161" i="3"/>
  <c r="BM162" i="3"/>
  <c r="BN162" i="3"/>
  <c r="BL162" i="3" s="1"/>
  <c r="AZ162" i="3" s="1"/>
  <c r="BO162" i="3"/>
  <c r="BP162" i="3"/>
  <c r="BM163" i="3"/>
  <c r="BN163" i="3"/>
  <c r="BL163" i="3" s="1"/>
  <c r="AZ163" i="3" s="1"/>
  <c r="BO163" i="3"/>
  <c r="BP163" i="3"/>
  <c r="BM164" i="3"/>
  <c r="BN164" i="3"/>
  <c r="BL164" i="3" s="1"/>
  <c r="AZ164" i="3" s="1"/>
  <c r="BO164" i="3"/>
  <c r="BP164" i="3"/>
  <c r="BM165" i="3"/>
  <c r="BN165" i="3"/>
  <c r="BL165" i="3" s="1"/>
  <c r="AZ165" i="3" s="1"/>
  <c r="BO165" i="3"/>
  <c r="BP165" i="3"/>
  <c r="BM166" i="3"/>
  <c r="BN166" i="3"/>
  <c r="BL166" i="3" s="1"/>
  <c r="AZ166" i="3" s="1"/>
  <c r="BO166" i="3"/>
  <c r="BP166" i="3"/>
  <c r="BM167" i="3"/>
  <c r="BN167" i="3"/>
  <c r="BL167" i="3" s="1"/>
  <c r="AZ167" i="3" s="1"/>
  <c r="BO167" i="3"/>
  <c r="BP167" i="3"/>
  <c r="BM168" i="3"/>
  <c r="BN168" i="3"/>
  <c r="BL168" i="3" s="1"/>
  <c r="AZ168" i="3" s="1"/>
  <c r="BO168" i="3"/>
  <c r="BP168" i="3"/>
  <c r="BM169" i="3"/>
  <c r="BN169" i="3"/>
  <c r="BL169" i="3" s="1"/>
  <c r="BO169" i="3"/>
  <c r="BP169" i="3"/>
  <c r="BM170" i="3"/>
  <c r="BN170" i="3"/>
  <c r="BL170" i="3" s="1"/>
  <c r="AZ170" i="3" s="1"/>
  <c r="BO170" i="3"/>
  <c r="BP170" i="3"/>
  <c r="BM171" i="3"/>
  <c r="BN171" i="3"/>
  <c r="BL171" i="3" s="1"/>
  <c r="BO171" i="3"/>
  <c r="BP171" i="3"/>
  <c r="BM172" i="3"/>
  <c r="BN172" i="3"/>
  <c r="BO172" i="3"/>
  <c r="BP172" i="3"/>
  <c r="BL172" i="3"/>
  <c r="AZ172" i="3" s="1"/>
  <c r="BM173" i="3"/>
  <c r="BN173" i="3"/>
  <c r="BO173" i="3"/>
  <c r="BP173" i="3"/>
  <c r="BL173" i="3"/>
  <c r="BM174" i="3"/>
  <c r="BN174" i="3"/>
  <c r="BO174" i="3"/>
  <c r="BP174" i="3"/>
  <c r="BL174" i="3"/>
  <c r="AZ174" i="3" s="1"/>
  <c r="BM175" i="3"/>
  <c r="BN175" i="3"/>
  <c r="BO175" i="3"/>
  <c r="BP175" i="3"/>
  <c r="BL175" i="3"/>
  <c r="BM176" i="3"/>
  <c r="BN176" i="3"/>
  <c r="BO176" i="3"/>
  <c r="BP176" i="3"/>
  <c r="BL176" i="3"/>
  <c r="AZ176" i="3" s="1"/>
  <c r="BM177" i="3"/>
  <c r="BN177" i="3"/>
  <c r="BO177" i="3"/>
  <c r="BP177" i="3"/>
  <c r="BL177" i="3"/>
  <c r="BM178" i="3"/>
  <c r="BN178" i="3"/>
  <c r="BO178" i="3"/>
  <c r="BP178" i="3"/>
  <c r="BL178" i="3"/>
  <c r="AZ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L185" i="3" s="1"/>
  <c r="BO185" i="3"/>
  <c r="BP185" i="3"/>
  <c r="BM186" i="3"/>
  <c r="BN186" i="3"/>
  <c r="BL186" i="3" s="1"/>
  <c r="AZ186" i="3" s="1"/>
  <c r="BO186" i="3"/>
  <c r="BP186" i="3"/>
  <c r="BM187" i="3"/>
  <c r="BN187" i="3"/>
  <c r="BL187" i="3" s="1"/>
  <c r="BO187" i="3"/>
  <c r="BP187" i="3"/>
  <c r="BM188" i="3"/>
  <c r="BN188" i="3"/>
  <c r="BL188" i="3" s="1"/>
  <c r="AZ188" i="3" s="1"/>
  <c r="BO188" i="3"/>
  <c r="BP188" i="3"/>
  <c r="BM189" i="3"/>
  <c r="BN189" i="3"/>
  <c r="BL189" i="3" s="1"/>
  <c r="BO189" i="3"/>
  <c r="BP189" i="3"/>
  <c r="BM190" i="3"/>
  <c r="BN190" i="3"/>
  <c r="BL190" i="3" s="1"/>
  <c r="AZ190" i="3" s="1"/>
  <c r="BO190" i="3"/>
  <c r="BP190" i="3"/>
  <c r="BM191" i="3"/>
  <c r="BN191" i="3"/>
  <c r="BL191" i="3" s="1"/>
  <c r="BO191" i="3"/>
  <c r="BP191" i="3"/>
  <c r="BM192" i="3"/>
  <c r="BN192" i="3"/>
  <c r="BL192" i="3" s="1"/>
  <c r="AZ192" i="3" s="1"/>
  <c r="BO192" i="3"/>
  <c r="BP192" i="3"/>
  <c r="BM193" i="3"/>
  <c r="BN193" i="3"/>
  <c r="BL193" i="3" s="1"/>
  <c r="BO193" i="3"/>
  <c r="BP193" i="3"/>
  <c r="BM194" i="3"/>
  <c r="BN194" i="3"/>
  <c r="BL194" i="3" s="1"/>
  <c r="AZ194" i="3" s="1"/>
  <c r="BO194" i="3"/>
  <c r="BP194" i="3"/>
  <c r="BM195" i="3"/>
  <c r="BN195" i="3"/>
  <c r="BL195" i="3" s="1"/>
  <c r="BO195" i="3"/>
  <c r="BP195" i="3"/>
  <c r="BM196" i="3"/>
  <c r="BN196" i="3"/>
  <c r="BL196" i="3" s="1"/>
  <c r="AZ196" i="3" s="1"/>
  <c r="BO196" i="3"/>
  <c r="BP196" i="3"/>
  <c r="BM197" i="3"/>
  <c r="BN197" i="3"/>
  <c r="BL197" i="3" s="1"/>
  <c r="BO197" i="3"/>
  <c r="BP197" i="3"/>
  <c r="BM198" i="3"/>
  <c r="BN198" i="3"/>
  <c r="BL198" i="3" s="1"/>
  <c r="AZ198" i="3" s="1"/>
  <c r="BO198" i="3"/>
  <c r="BP198" i="3"/>
  <c r="BM199" i="3"/>
  <c r="BN199" i="3"/>
  <c r="BL199" i="3" s="1"/>
  <c r="BO199" i="3"/>
  <c r="BP199" i="3"/>
  <c r="BM200" i="3"/>
  <c r="BN200" i="3"/>
  <c r="BL200" i="3" s="1"/>
  <c r="AZ200" i="3" s="1"/>
  <c r="BO200" i="3"/>
  <c r="BP200" i="3"/>
  <c r="BM201" i="3"/>
  <c r="BN201" i="3"/>
  <c r="BL201" i="3" s="1"/>
  <c r="BO201" i="3"/>
  <c r="BP201" i="3"/>
  <c r="BM202" i="3"/>
  <c r="BN202" i="3"/>
  <c r="BL202" i="3" s="1"/>
  <c r="AZ202" i="3" s="1"/>
  <c r="BO202" i="3"/>
  <c r="BP202" i="3"/>
  <c r="BM203" i="3"/>
  <c r="BN203" i="3"/>
  <c r="BL203" i="3" s="1"/>
  <c r="BO203" i="3"/>
  <c r="BP203" i="3"/>
  <c r="BM204" i="3"/>
  <c r="BN204" i="3"/>
  <c r="BL204" i="3" s="1"/>
  <c r="AZ204" i="3" s="1"/>
  <c r="BO204" i="3"/>
  <c r="BP204" i="3"/>
  <c r="BM205" i="3"/>
  <c r="BN205" i="3"/>
  <c r="BL205" i="3" s="1"/>
  <c r="BO205" i="3"/>
  <c r="BP205" i="3"/>
  <c r="BM206" i="3"/>
  <c r="BN206" i="3"/>
  <c r="BL206" i="3" s="1"/>
  <c r="AZ206" i="3" s="1"/>
  <c r="BO206" i="3"/>
  <c r="BP206" i="3"/>
  <c r="BM207" i="3"/>
  <c r="BN207" i="3"/>
  <c r="BL207" i="3" s="1"/>
  <c r="BO207" i="3"/>
  <c r="BP207" i="3"/>
  <c r="BM208" i="3"/>
  <c r="BN208" i="3"/>
  <c r="BL208" i="3" s="1"/>
  <c r="AZ208" i="3" s="1"/>
  <c r="BO208" i="3"/>
  <c r="BP208" i="3"/>
  <c r="BM209" i="3"/>
  <c r="BN209" i="3"/>
  <c r="BL209" i="3" s="1"/>
  <c r="BO209" i="3"/>
  <c r="BP209" i="3"/>
  <c r="BM210" i="3"/>
  <c r="BN210" i="3"/>
  <c r="BL210" i="3" s="1"/>
  <c r="AZ210" i="3" s="1"/>
  <c r="BO210" i="3"/>
  <c r="BP210" i="3"/>
  <c r="BM211" i="3"/>
  <c r="BN211" i="3"/>
  <c r="BL211" i="3" s="1"/>
  <c r="BO211" i="3"/>
  <c r="BP211" i="3"/>
  <c r="BM212" i="3"/>
  <c r="BN212" i="3"/>
  <c r="BL212" i="3" s="1"/>
  <c r="AZ212" i="3" s="1"/>
  <c r="BO212" i="3"/>
  <c r="BP212" i="3"/>
  <c r="BM213" i="3"/>
  <c r="BN213" i="3"/>
  <c r="BL213" i="3" s="1"/>
  <c r="AZ213" i="3" s="1"/>
  <c r="BO213" i="3"/>
  <c r="BP213" i="3"/>
  <c r="BM214" i="3"/>
  <c r="BN214" i="3"/>
  <c r="BL214" i="3" s="1"/>
  <c r="AZ214" i="3" s="1"/>
  <c r="BO214" i="3"/>
  <c r="BP214" i="3"/>
  <c r="BM215" i="3"/>
  <c r="BN215" i="3"/>
  <c r="BL215" i="3" s="1"/>
  <c r="AZ215" i="3" s="1"/>
  <c r="BO215" i="3"/>
  <c r="BP215" i="3"/>
  <c r="BM216" i="3"/>
  <c r="BN216" i="3"/>
  <c r="BL216" i="3" s="1"/>
  <c r="AZ216" i="3" s="1"/>
  <c r="BO216" i="3"/>
  <c r="BP216" i="3"/>
  <c r="BM217" i="3"/>
  <c r="BN217" i="3"/>
  <c r="BL217" i="3" s="1"/>
  <c r="AZ217" i="3" s="1"/>
  <c r="BO217" i="3"/>
  <c r="BP217" i="3"/>
  <c r="BM218" i="3"/>
  <c r="BN218" i="3"/>
  <c r="BL218" i="3" s="1"/>
  <c r="AZ218" i="3" s="1"/>
  <c r="BO218" i="3"/>
  <c r="BP218" i="3"/>
  <c r="BM219" i="3"/>
  <c r="BN219" i="3"/>
  <c r="BL219" i="3" s="1"/>
  <c r="AZ219" i="3" s="1"/>
  <c r="BO219" i="3"/>
  <c r="BP219" i="3"/>
  <c r="BM220" i="3"/>
  <c r="BN220" i="3"/>
  <c r="BL220" i="3" s="1"/>
  <c r="AZ220" i="3" s="1"/>
  <c r="BO220" i="3"/>
  <c r="BP220" i="3"/>
  <c r="BM221" i="3"/>
  <c r="BN221" i="3"/>
  <c r="BL221" i="3" s="1"/>
  <c r="AZ221" i="3" s="1"/>
  <c r="BO221" i="3"/>
  <c r="BP221" i="3"/>
  <c r="BM222" i="3"/>
  <c r="BN222" i="3"/>
  <c r="BL222" i="3" s="1"/>
  <c r="AZ222" i="3" s="1"/>
  <c r="BO222" i="3"/>
  <c r="BP222" i="3"/>
  <c r="BM223" i="3"/>
  <c r="BN223" i="3"/>
  <c r="BL223" i="3" s="1"/>
  <c r="AZ223" i="3" s="1"/>
  <c r="BO223" i="3"/>
  <c r="BP223" i="3"/>
  <c r="BM224" i="3"/>
  <c r="BN224" i="3"/>
  <c r="BL224" i="3" s="1"/>
  <c r="AZ224" i="3" s="1"/>
  <c r="BO224" i="3"/>
  <c r="BP224" i="3"/>
  <c r="BM225" i="3"/>
  <c r="BN225" i="3"/>
  <c r="BL225" i="3" s="1"/>
  <c r="AZ225" i="3" s="1"/>
  <c r="BO225" i="3"/>
  <c r="BP225" i="3"/>
  <c r="BM226" i="3"/>
  <c r="BN226" i="3"/>
  <c r="BL226" i="3" s="1"/>
  <c r="AZ226" i="3" s="1"/>
  <c r="BO226" i="3"/>
  <c r="BP226" i="3"/>
  <c r="BM227" i="3"/>
  <c r="BN227" i="3"/>
  <c r="BL227" i="3" s="1"/>
  <c r="AZ227" i="3" s="1"/>
  <c r="BO227" i="3"/>
  <c r="BP227" i="3"/>
  <c r="BM228" i="3"/>
  <c r="BN228" i="3"/>
  <c r="BL228" i="3" s="1"/>
  <c r="AZ228" i="3" s="1"/>
  <c r="BO228" i="3"/>
  <c r="BP228" i="3"/>
  <c r="BM229" i="3"/>
  <c r="BN229" i="3"/>
  <c r="BL229" i="3" s="1"/>
  <c r="AZ229" i="3" s="1"/>
  <c r="BO229" i="3"/>
  <c r="BP229" i="3"/>
  <c r="BM230" i="3"/>
  <c r="BN230" i="3"/>
  <c r="BL230" i="3" s="1"/>
  <c r="AZ230" i="3" s="1"/>
  <c r="BO230" i="3"/>
  <c r="BP230" i="3"/>
  <c r="BM231" i="3"/>
  <c r="BN231" i="3"/>
  <c r="BL231" i="3" s="1"/>
  <c r="AZ231" i="3" s="1"/>
  <c r="BO231" i="3"/>
  <c r="BP231" i="3"/>
  <c r="BM232" i="3"/>
  <c r="BN232" i="3"/>
  <c r="BL232" i="3" s="1"/>
  <c r="AZ232" i="3" s="1"/>
  <c r="BO232" i="3"/>
  <c r="BP232" i="3"/>
  <c r="BM233" i="3"/>
  <c r="BN233" i="3"/>
  <c r="BL233" i="3" s="1"/>
  <c r="AZ233" i="3" s="1"/>
  <c r="BO233" i="3"/>
  <c r="BP233" i="3"/>
  <c r="BM234" i="3"/>
  <c r="BN234" i="3"/>
  <c r="BL234" i="3" s="1"/>
  <c r="AZ234" i="3" s="1"/>
  <c r="BO234" i="3"/>
  <c r="BP234" i="3"/>
  <c r="BM235" i="3"/>
  <c r="BN235" i="3"/>
  <c r="BL235" i="3" s="1"/>
  <c r="AZ235" i="3" s="1"/>
  <c r="BO235" i="3"/>
  <c r="BP235" i="3"/>
  <c r="BM236" i="3"/>
  <c r="BN236" i="3"/>
  <c r="BL236" i="3" s="1"/>
  <c r="AZ236" i="3" s="1"/>
  <c r="BO236" i="3"/>
  <c r="BP236" i="3"/>
  <c r="BM237" i="3"/>
  <c r="BN237" i="3"/>
  <c r="BL237" i="3" s="1"/>
  <c r="AZ237" i="3" s="1"/>
  <c r="BO237" i="3"/>
  <c r="BP237" i="3"/>
  <c r="BM238" i="3"/>
  <c r="BN238" i="3"/>
  <c r="BL238" i="3" s="1"/>
  <c r="AZ238" i="3" s="1"/>
  <c r="BO238" i="3"/>
  <c r="BP238" i="3"/>
  <c r="BM239" i="3"/>
  <c r="BN239" i="3"/>
  <c r="BL239" i="3" s="1"/>
  <c r="AZ239" i="3" s="1"/>
  <c r="BO239" i="3"/>
  <c r="BP239" i="3"/>
  <c r="BM240" i="3"/>
  <c r="BN240" i="3"/>
  <c r="BL240" i="3" s="1"/>
  <c r="AZ240" i="3" s="1"/>
  <c r="BO240" i="3"/>
  <c r="BP240" i="3"/>
  <c r="BM241" i="3"/>
  <c r="BN241" i="3"/>
  <c r="BL241" i="3" s="1"/>
  <c r="AZ241" i="3" s="1"/>
  <c r="BO241" i="3"/>
  <c r="BP241" i="3"/>
  <c r="BM242" i="3"/>
  <c r="BN242" i="3"/>
  <c r="BL242" i="3" s="1"/>
  <c r="AZ242" i="3" s="1"/>
  <c r="BO242" i="3"/>
  <c r="BP242" i="3"/>
  <c r="BM243" i="3"/>
  <c r="BN243" i="3"/>
  <c r="BL243" i="3" s="1"/>
  <c r="AZ243" i="3" s="1"/>
  <c r="BO243" i="3"/>
  <c r="BP243" i="3"/>
  <c r="BM244" i="3"/>
  <c r="BN244" i="3"/>
  <c r="BL244" i="3" s="1"/>
  <c r="AZ244" i="3" s="1"/>
  <c r="BO244" i="3"/>
  <c r="BP244" i="3"/>
  <c r="BM245" i="3"/>
  <c r="BN245" i="3"/>
  <c r="BL245" i="3" s="1"/>
  <c r="AZ245" i="3" s="1"/>
  <c r="BO245" i="3"/>
  <c r="BP245" i="3"/>
  <c r="BM246" i="3"/>
  <c r="BN246" i="3"/>
  <c r="BL246" i="3" s="1"/>
  <c r="AZ246" i="3" s="1"/>
  <c r="BO246" i="3"/>
  <c r="BP246" i="3"/>
  <c r="BM247" i="3"/>
  <c r="BN247" i="3"/>
  <c r="BL247" i="3" s="1"/>
  <c r="AZ247" i="3" s="1"/>
  <c r="BO247" i="3"/>
  <c r="BP247" i="3"/>
  <c r="BM248" i="3"/>
  <c r="BN248" i="3"/>
  <c r="BL248" i="3" s="1"/>
  <c r="AZ248" i="3" s="1"/>
  <c r="BO248" i="3"/>
  <c r="BP248" i="3"/>
  <c r="BM249" i="3"/>
  <c r="BN249" i="3"/>
  <c r="BL249" i="3" s="1"/>
  <c r="AZ249" i="3" s="1"/>
  <c r="BO249" i="3"/>
  <c r="BP249" i="3"/>
  <c r="BM250" i="3"/>
  <c r="BN250" i="3"/>
  <c r="BL250" i="3" s="1"/>
  <c r="AZ250" i="3" s="1"/>
  <c r="BO250" i="3"/>
  <c r="BP250" i="3"/>
  <c r="BM251" i="3"/>
  <c r="BN251" i="3"/>
  <c r="BL251" i="3" s="1"/>
  <c r="AZ251" i="3" s="1"/>
  <c r="BO251" i="3"/>
  <c r="BP251" i="3"/>
  <c r="BM252" i="3"/>
  <c r="BN252" i="3"/>
  <c r="BL252" i="3" s="1"/>
  <c r="AZ252" i="3" s="1"/>
  <c r="BO252" i="3"/>
  <c r="BP252" i="3"/>
  <c r="BM253" i="3"/>
  <c r="BN253" i="3"/>
  <c r="BL253" i="3" s="1"/>
  <c r="AZ253" i="3" s="1"/>
  <c r="BO253" i="3"/>
  <c r="BP253" i="3"/>
  <c r="BM254" i="3"/>
  <c r="BN254" i="3"/>
  <c r="BL254" i="3" s="1"/>
  <c r="AZ254" i="3" s="1"/>
  <c r="BO254" i="3"/>
  <c r="BP254" i="3"/>
  <c r="BM255" i="3"/>
  <c r="BN255" i="3"/>
  <c r="BL255" i="3" s="1"/>
  <c r="AZ255" i="3" s="1"/>
  <c r="BO255" i="3"/>
  <c r="BP255" i="3"/>
  <c r="BM256" i="3"/>
  <c r="BN256" i="3"/>
  <c r="BL256" i="3" s="1"/>
  <c r="AZ256" i="3" s="1"/>
  <c r="BO256" i="3"/>
  <c r="BP256" i="3"/>
  <c r="BM257" i="3"/>
  <c r="BN257" i="3"/>
  <c r="BL257" i="3" s="1"/>
  <c r="AZ257" i="3" s="1"/>
  <c r="BO257" i="3"/>
  <c r="BP257" i="3"/>
  <c r="BM258" i="3"/>
  <c r="BN258" i="3"/>
  <c r="BL258" i="3" s="1"/>
  <c r="AZ258" i="3" s="1"/>
  <c r="BO258" i="3"/>
  <c r="BP258" i="3"/>
  <c r="BM259" i="3"/>
  <c r="BN259" i="3"/>
  <c r="BL259" i="3" s="1"/>
  <c r="AZ259" i="3" s="1"/>
  <c r="BO259" i="3"/>
  <c r="BP259" i="3"/>
  <c r="BM260" i="3"/>
  <c r="BN260" i="3"/>
  <c r="BL260" i="3" s="1"/>
  <c r="AZ260" i="3" s="1"/>
  <c r="BO260" i="3"/>
  <c r="BP260" i="3"/>
  <c r="BM261" i="3"/>
  <c r="BN261" i="3"/>
  <c r="BL261" i="3" s="1"/>
  <c r="AZ261" i="3" s="1"/>
  <c r="BO261" i="3"/>
  <c r="BP261" i="3"/>
  <c r="BM262" i="3"/>
  <c r="BN262" i="3"/>
  <c r="BL262" i="3" s="1"/>
  <c r="AZ262" i="3" s="1"/>
  <c r="BO262" i="3"/>
  <c r="BP262" i="3"/>
  <c r="BM263" i="3"/>
  <c r="BN263" i="3"/>
  <c r="BL263" i="3" s="1"/>
  <c r="AZ263" i="3" s="1"/>
  <c r="BO263" i="3"/>
  <c r="BP263" i="3"/>
  <c r="BM264" i="3"/>
  <c r="BN264" i="3"/>
  <c r="BL264" i="3" s="1"/>
  <c r="AZ264" i="3" s="1"/>
  <c r="BO264" i="3"/>
  <c r="BP264" i="3"/>
  <c r="BM265" i="3"/>
  <c r="BN265" i="3"/>
  <c r="BL265" i="3" s="1"/>
  <c r="AZ265" i="3" s="1"/>
  <c r="BO265" i="3"/>
  <c r="BP265" i="3"/>
  <c r="BM266" i="3"/>
  <c r="BN266" i="3"/>
  <c r="BL266" i="3" s="1"/>
  <c r="AZ266" i="3" s="1"/>
  <c r="BO266" i="3"/>
  <c r="BP266" i="3"/>
  <c r="BM267" i="3"/>
  <c r="BN267" i="3"/>
  <c r="BL267" i="3" s="1"/>
  <c r="AZ267" i="3" s="1"/>
  <c r="BO267" i="3"/>
  <c r="BP267" i="3"/>
  <c r="BM268" i="3"/>
  <c r="BN268" i="3"/>
  <c r="BL268" i="3" s="1"/>
  <c r="AZ268" i="3" s="1"/>
  <c r="BO268" i="3"/>
  <c r="BP268" i="3"/>
  <c r="BM269" i="3"/>
  <c r="BN269" i="3"/>
  <c r="BL269" i="3" s="1"/>
  <c r="AZ269" i="3" s="1"/>
  <c r="BO269" i="3"/>
  <c r="BP269" i="3"/>
  <c r="BM270" i="3"/>
  <c r="BN270" i="3"/>
  <c r="BL270" i="3" s="1"/>
  <c r="AZ270" i="3" s="1"/>
  <c r="BO270" i="3"/>
  <c r="BP270" i="3"/>
  <c r="BM271" i="3"/>
  <c r="BN271" i="3"/>
  <c r="BL271" i="3" s="1"/>
  <c r="AZ271" i="3" s="1"/>
  <c r="BO271" i="3"/>
  <c r="BP271" i="3"/>
  <c r="BM272" i="3"/>
  <c r="BN272" i="3"/>
  <c r="BL272" i="3" s="1"/>
  <c r="AZ272" i="3" s="1"/>
  <c r="BO272" i="3"/>
  <c r="BP272" i="3"/>
  <c r="BM273" i="3"/>
  <c r="BN273" i="3"/>
  <c r="BL273" i="3" s="1"/>
  <c r="AZ273" i="3" s="1"/>
  <c r="BO273" i="3"/>
  <c r="BP273" i="3"/>
  <c r="BM274" i="3"/>
  <c r="BN274" i="3"/>
  <c r="BL274" i="3" s="1"/>
  <c r="AZ274" i="3" s="1"/>
  <c r="BO274" i="3"/>
  <c r="BP274" i="3"/>
  <c r="BM275" i="3"/>
  <c r="BN275" i="3"/>
  <c r="BL275" i="3" s="1"/>
  <c r="AZ275" i="3" s="1"/>
  <c r="BO275" i="3"/>
  <c r="BP275" i="3"/>
  <c r="BM276" i="3"/>
  <c r="BN276" i="3"/>
  <c r="BL276" i="3" s="1"/>
  <c r="AZ276" i="3" s="1"/>
  <c r="BO276" i="3"/>
  <c r="BP276" i="3"/>
  <c r="BM277" i="3"/>
  <c r="BN277" i="3"/>
  <c r="BL277" i="3" s="1"/>
  <c r="AZ277" i="3" s="1"/>
  <c r="BO277" i="3"/>
  <c r="BP277" i="3"/>
  <c r="BM278" i="3"/>
  <c r="BN278" i="3"/>
  <c r="BL278" i="3" s="1"/>
  <c r="AZ278" i="3" s="1"/>
  <c r="BO278" i="3"/>
  <c r="BP278" i="3"/>
  <c r="BM279" i="3"/>
  <c r="BN279" i="3"/>
  <c r="BL279" i="3" s="1"/>
  <c r="AZ279" i="3" s="1"/>
  <c r="BO279" i="3"/>
  <c r="BP279" i="3"/>
  <c r="BM280" i="3"/>
  <c r="BN280" i="3"/>
  <c r="BL280" i="3" s="1"/>
  <c r="AZ280" i="3" s="1"/>
  <c r="BO280" i="3"/>
  <c r="BP280" i="3"/>
  <c r="BM281" i="3"/>
  <c r="BN281" i="3"/>
  <c r="BL281" i="3" s="1"/>
  <c r="AZ281" i="3" s="1"/>
  <c r="BO281" i="3"/>
  <c r="BP281" i="3"/>
  <c r="BM282" i="3"/>
  <c r="BN282" i="3"/>
  <c r="BL282" i="3" s="1"/>
  <c r="AZ282" i="3" s="1"/>
  <c r="BO282" i="3"/>
  <c r="BP282" i="3"/>
  <c r="BM283" i="3"/>
  <c r="BN283" i="3"/>
  <c r="BL283" i="3" s="1"/>
  <c r="AZ283" i="3" s="1"/>
  <c r="BO283" i="3"/>
  <c r="BP283" i="3"/>
  <c r="BM284" i="3"/>
  <c r="BN284" i="3"/>
  <c r="BL284" i="3" s="1"/>
  <c r="AZ284" i="3" s="1"/>
  <c r="BO284" i="3"/>
  <c r="BP284" i="3"/>
  <c r="BM285" i="3"/>
  <c r="BN285" i="3"/>
  <c r="BL285" i="3" s="1"/>
  <c r="AZ285" i="3" s="1"/>
  <c r="BO285" i="3"/>
  <c r="BP285" i="3"/>
  <c r="BM286" i="3"/>
  <c r="BN286" i="3"/>
  <c r="BL286" i="3" s="1"/>
  <c r="AZ286" i="3" s="1"/>
  <c r="BO286" i="3"/>
  <c r="BP286" i="3"/>
  <c r="BM287" i="3"/>
  <c r="BN287" i="3"/>
  <c r="BL287" i="3" s="1"/>
  <c r="AZ287" i="3" s="1"/>
  <c r="BO287" i="3"/>
  <c r="BP287" i="3"/>
  <c r="BM288" i="3"/>
  <c r="BN288" i="3"/>
  <c r="BL288" i="3" s="1"/>
  <c r="AZ288" i="3" s="1"/>
  <c r="BO288" i="3"/>
  <c r="BP288" i="3"/>
  <c r="BM289" i="3"/>
  <c r="BN289" i="3"/>
  <c r="BL289" i="3" s="1"/>
  <c r="AZ289" i="3" s="1"/>
  <c r="BO289" i="3"/>
  <c r="BP289" i="3"/>
  <c r="BM290" i="3"/>
  <c r="BN290" i="3"/>
  <c r="BL290" i="3" s="1"/>
  <c r="AZ290" i="3" s="1"/>
  <c r="BO290" i="3"/>
  <c r="BP290" i="3"/>
  <c r="BM291" i="3"/>
  <c r="BN291" i="3"/>
  <c r="BL291" i="3" s="1"/>
  <c r="AZ291" i="3" s="1"/>
  <c r="BO291" i="3"/>
  <c r="BP291" i="3"/>
  <c r="BM292" i="3"/>
  <c r="BN292" i="3"/>
  <c r="BL292" i="3" s="1"/>
  <c r="AZ292" i="3" s="1"/>
  <c r="BO292" i="3"/>
  <c r="BP292" i="3"/>
  <c r="BM293" i="3"/>
  <c r="BN293" i="3"/>
  <c r="BL293" i="3" s="1"/>
  <c r="AZ293" i="3" s="1"/>
  <c r="BO293" i="3"/>
  <c r="BP293" i="3"/>
  <c r="BM294" i="3"/>
  <c r="BN294" i="3"/>
  <c r="BL294" i="3" s="1"/>
  <c r="AZ294" i="3" s="1"/>
  <c r="BO294" i="3"/>
  <c r="BP294" i="3"/>
  <c r="BM295" i="3"/>
  <c r="BN295" i="3"/>
  <c r="BL295" i="3" s="1"/>
  <c r="AZ295" i="3" s="1"/>
  <c r="BO295" i="3"/>
  <c r="BP295" i="3"/>
  <c r="BM296" i="3"/>
  <c r="BN296" i="3"/>
  <c r="BL296" i="3" s="1"/>
  <c r="AZ296" i="3" s="1"/>
  <c r="BO296" i="3"/>
  <c r="BP296" i="3"/>
  <c r="BM297" i="3"/>
  <c r="BN297" i="3"/>
  <c r="BL297" i="3" s="1"/>
  <c r="AZ297" i="3" s="1"/>
  <c r="BO297" i="3"/>
  <c r="BP297" i="3"/>
  <c r="BM298" i="3"/>
  <c r="BN298" i="3"/>
  <c r="BL298" i="3" s="1"/>
  <c r="AZ298" i="3" s="1"/>
  <c r="BO298" i="3"/>
  <c r="BP298" i="3"/>
  <c r="BM299" i="3"/>
  <c r="BN299" i="3"/>
  <c r="BL299" i="3" s="1"/>
  <c r="AZ299" i="3" s="1"/>
  <c r="BO299" i="3"/>
  <c r="BP299" i="3"/>
  <c r="BM300" i="3"/>
  <c r="BN300" i="3"/>
  <c r="BL300" i="3" s="1"/>
  <c r="AZ300" i="3" s="1"/>
  <c r="BO300" i="3"/>
  <c r="BP300" i="3"/>
  <c r="BM301" i="3"/>
  <c r="BN301" i="3"/>
  <c r="BL301" i="3" s="1"/>
  <c r="AZ301" i="3" s="1"/>
  <c r="BO301" i="3"/>
  <c r="BP301" i="3"/>
  <c r="BM302" i="3"/>
  <c r="BN302" i="3"/>
  <c r="BL302" i="3" s="1"/>
  <c r="AZ302" i="3" s="1"/>
  <c r="BO302" i="3"/>
  <c r="BP302" i="3"/>
  <c r="BM303" i="3"/>
  <c r="BN303" i="3"/>
  <c r="BL303" i="3" s="1"/>
  <c r="AZ303" i="3" s="1"/>
  <c r="BO303" i="3"/>
  <c r="BP303" i="3"/>
  <c r="BM304" i="3"/>
  <c r="BN304" i="3"/>
  <c r="BL304" i="3" s="1"/>
  <c r="AZ304" i="3" s="1"/>
  <c r="BO304" i="3"/>
  <c r="BP304" i="3"/>
  <c r="BM305" i="3"/>
  <c r="BN305" i="3"/>
  <c r="BL305" i="3" s="1"/>
  <c r="AZ305" i="3" s="1"/>
  <c r="BO305" i="3"/>
  <c r="BP305" i="3"/>
  <c r="BM306" i="3"/>
  <c r="BN306" i="3"/>
  <c r="BL306" i="3" s="1"/>
  <c r="AZ306" i="3" s="1"/>
  <c r="BO306" i="3"/>
  <c r="BP306" i="3"/>
  <c r="BM307" i="3"/>
  <c r="BN307" i="3"/>
  <c r="BL307" i="3" s="1"/>
  <c r="AZ307" i="3" s="1"/>
  <c r="BO307" i="3"/>
  <c r="BP307" i="3"/>
  <c r="BM308" i="3"/>
  <c r="BN308" i="3"/>
  <c r="BL308" i="3" s="1"/>
  <c r="AZ308" i="3" s="1"/>
  <c r="BO308" i="3"/>
  <c r="BP308" i="3"/>
  <c r="BM309" i="3"/>
  <c r="BN309" i="3"/>
  <c r="BL309" i="3" s="1"/>
  <c r="AZ309" i="3" s="1"/>
  <c r="BO309" i="3"/>
  <c r="BP309" i="3"/>
  <c r="BM310" i="3"/>
  <c r="BN310" i="3"/>
  <c r="BL310" i="3" s="1"/>
  <c r="AZ310" i="3" s="1"/>
  <c r="BO310" i="3"/>
  <c r="BP310" i="3"/>
  <c r="BM311" i="3"/>
  <c r="BN311" i="3"/>
  <c r="BL311" i="3" s="1"/>
  <c r="AZ311" i="3" s="1"/>
  <c r="BO311" i="3"/>
  <c r="BP311" i="3"/>
  <c r="BM312" i="3"/>
  <c r="BN312" i="3"/>
  <c r="BL312" i="3" s="1"/>
  <c r="AZ312" i="3" s="1"/>
  <c r="BO312" i="3"/>
  <c r="BP312" i="3"/>
  <c r="BM313" i="3"/>
  <c r="BN313" i="3"/>
  <c r="BL313" i="3" s="1"/>
  <c r="AZ313" i="3" s="1"/>
  <c r="BO313" i="3"/>
  <c r="BP313" i="3"/>
  <c r="BM314" i="3"/>
  <c r="BN314" i="3"/>
  <c r="BL314" i="3" s="1"/>
  <c r="AZ314" i="3" s="1"/>
  <c r="BO314" i="3"/>
  <c r="BP314" i="3"/>
  <c r="BM315" i="3"/>
  <c r="BN315" i="3"/>
  <c r="BL315" i="3" s="1"/>
  <c r="AZ315" i="3" s="1"/>
  <c r="BO315" i="3"/>
  <c r="BP315" i="3"/>
  <c r="BM316" i="3"/>
  <c r="BN316" i="3"/>
  <c r="BL316" i="3" s="1"/>
  <c r="AZ316" i="3" s="1"/>
  <c r="BO316" i="3"/>
  <c r="BP316" i="3"/>
  <c r="BM317" i="3"/>
  <c r="BN317" i="3"/>
  <c r="BL317" i="3" s="1"/>
  <c r="AZ317" i="3" s="1"/>
  <c r="BO317" i="3"/>
  <c r="BP317" i="3"/>
  <c r="BM318" i="3"/>
  <c r="BN318" i="3"/>
  <c r="BL318" i="3" s="1"/>
  <c r="AZ318" i="3" s="1"/>
  <c r="BO318" i="3"/>
  <c r="BP318" i="3"/>
  <c r="BM319" i="3"/>
  <c r="BN319" i="3"/>
  <c r="BL319" i="3" s="1"/>
  <c r="AZ319" i="3" s="1"/>
  <c r="BO319" i="3"/>
  <c r="BP319" i="3"/>
  <c r="BM320" i="3"/>
  <c r="BN320" i="3"/>
  <c r="BL320" i="3" s="1"/>
  <c r="AZ320" i="3" s="1"/>
  <c r="BO320" i="3"/>
  <c r="BP320" i="3"/>
  <c r="BM321" i="3"/>
  <c r="BN321" i="3"/>
  <c r="BL321" i="3" s="1"/>
  <c r="AZ321" i="3" s="1"/>
  <c r="BO321" i="3"/>
  <c r="BP321" i="3"/>
  <c r="BM322" i="3"/>
  <c r="BN322" i="3"/>
  <c r="BL322" i="3" s="1"/>
  <c r="AZ322" i="3" s="1"/>
  <c r="BO322" i="3"/>
  <c r="BP322" i="3"/>
  <c r="BM323" i="3"/>
  <c r="BN323" i="3"/>
  <c r="BL323" i="3" s="1"/>
  <c r="AZ323" i="3" s="1"/>
  <c r="BO323" i="3"/>
  <c r="BP323" i="3"/>
  <c r="BM324" i="3"/>
  <c r="BN324" i="3"/>
  <c r="BL324" i="3" s="1"/>
  <c r="AZ324" i="3" s="1"/>
  <c r="BO324" i="3"/>
  <c r="BP324" i="3"/>
  <c r="BM325" i="3"/>
  <c r="BN325" i="3"/>
  <c r="BL325" i="3" s="1"/>
  <c r="AZ325" i="3" s="1"/>
  <c r="BO325" i="3"/>
  <c r="BP325" i="3"/>
  <c r="BM326" i="3"/>
  <c r="BN326" i="3"/>
  <c r="BL326" i="3" s="1"/>
  <c r="AZ326" i="3" s="1"/>
  <c r="BO326" i="3"/>
  <c r="BP326" i="3"/>
  <c r="BM327" i="3"/>
  <c r="BN327" i="3"/>
  <c r="BL327" i="3" s="1"/>
  <c r="AZ327" i="3" s="1"/>
  <c r="BO327" i="3"/>
  <c r="BP327" i="3"/>
  <c r="BM328" i="3"/>
  <c r="BN328" i="3"/>
  <c r="BL328" i="3" s="1"/>
  <c r="AZ328" i="3" s="1"/>
  <c r="BO328" i="3"/>
  <c r="BP328" i="3"/>
  <c r="BM329" i="3"/>
  <c r="BN329" i="3"/>
  <c r="BL329" i="3" s="1"/>
  <c r="AZ329" i="3" s="1"/>
  <c r="BO329" i="3"/>
  <c r="BP329" i="3"/>
  <c r="BM330" i="3"/>
  <c r="BN330" i="3"/>
  <c r="BL330" i="3" s="1"/>
  <c r="AZ330" i="3" s="1"/>
  <c r="BO330" i="3"/>
  <c r="BP330" i="3"/>
  <c r="BM331" i="3"/>
  <c r="BN331" i="3"/>
  <c r="BL331" i="3" s="1"/>
  <c r="AZ331" i="3" s="1"/>
  <c r="BO331" i="3"/>
  <c r="BP331" i="3"/>
  <c r="BM332" i="3"/>
  <c r="BN332" i="3"/>
  <c r="BL332" i="3" s="1"/>
  <c r="AZ332" i="3" s="1"/>
  <c r="BO332" i="3"/>
  <c r="BP332" i="3"/>
  <c r="BM333" i="3"/>
  <c r="BN333" i="3"/>
  <c r="BL333" i="3" s="1"/>
  <c r="AZ333" i="3" s="1"/>
  <c r="BO333" i="3"/>
  <c r="BP333" i="3"/>
  <c r="BM334" i="3"/>
  <c r="BN334" i="3"/>
  <c r="BL334" i="3" s="1"/>
  <c r="AZ334" i="3" s="1"/>
  <c r="BO334" i="3"/>
  <c r="BP334" i="3"/>
  <c r="BM335" i="3"/>
  <c r="BN335" i="3"/>
  <c r="BL335" i="3" s="1"/>
  <c r="AZ335" i="3" s="1"/>
  <c r="BO335" i="3"/>
  <c r="BP335" i="3"/>
  <c r="BM336" i="3"/>
  <c r="BN336" i="3"/>
  <c r="BL336" i="3" s="1"/>
  <c r="AZ336" i="3" s="1"/>
  <c r="BO336" i="3"/>
  <c r="BP336" i="3"/>
  <c r="BM337" i="3"/>
  <c r="BN337" i="3"/>
  <c r="BL337" i="3" s="1"/>
  <c r="AZ337" i="3" s="1"/>
  <c r="BO337" i="3"/>
  <c r="BP337" i="3"/>
  <c r="BM338" i="3"/>
  <c r="BN338" i="3"/>
  <c r="BL338" i="3" s="1"/>
  <c r="AZ338" i="3" s="1"/>
  <c r="BO338" i="3"/>
  <c r="BP338" i="3"/>
  <c r="BM339" i="3"/>
  <c r="BN339" i="3"/>
  <c r="BL339" i="3" s="1"/>
  <c r="AZ339" i="3" s="1"/>
  <c r="BO339" i="3"/>
  <c r="BP339" i="3"/>
  <c r="BM340" i="3"/>
  <c r="BN340" i="3"/>
  <c r="BL340" i="3" s="1"/>
  <c r="AZ340" i="3" s="1"/>
  <c r="BO340" i="3"/>
  <c r="BP340" i="3"/>
  <c r="BM341" i="3"/>
  <c r="BN341" i="3"/>
  <c r="BL341" i="3" s="1"/>
  <c r="AZ341" i="3" s="1"/>
  <c r="BO341" i="3"/>
  <c r="BP341" i="3"/>
  <c r="BM342" i="3"/>
  <c r="BN342" i="3"/>
  <c r="BL342" i="3" s="1"/>
  <c r="AZ342" i="3" s="1"/>
  <c r="BO342" i="3"/>
  <c r="BP342" i="3"/>
  <c r="BM343" i="3"/>
  <c r="BN343" i="3"/>
  <c r="BL343" i="3" s="1"/>
  <c r="AZ343" i="3" s="1"/>
  <c r="BO343" i="3"/>
  <c r="BP343" i="3"/>
  <c r="BM344" i="3"/>
  <c r="BN344" i="3"/>
  <c r="BL344" i="3" s="1"/>
  <c r="AZ344" i="3" s="1"/>
  <c r="BO344" i="3"/>
  <c r="BP344" i="3"/>
  <c r="BM345" i="3"/>
  <c r="BN345" i="3"/>
  <c r="BL345" i="3" s="1"/>
  <c r="AZ345" i="3" s="1"/>
  <c r="BO345" i="3"/>
  <c r="BP345" i="3"/>
  <c r="BM346" i="3"/>
  <c r="BN346" i="3"/>
  <c r="BL346" i="3" s="1"/>
  <c r="AZ346" i="3" s="1"/>
  <c r="BO346" i="3"/>
  <c r="BP346" i="3"/>
  <c r="BM347" i="3"/>
  <c r="BN347" i="3"/>
  <c r="BL347" i="3" s="1"/>
  <c r="AZ347" i="3" s="1"/>
  <c r="BO347" i="3"/>
  <c r="BP347" i="3"/>
  <c r="BM348" i="3"/>
  <c r="BN348" i="3"/>
  <c r="BL348" i="3" s="1"/>
  <c r="AZ348" i="3" s="1"/>
  <c r="BO348" i="3"/>
  <c r="BP348" i="3"/>
  <c r="BM349" i="3"/>
  <c r="BN349" i="3"/>
  <c r="BL349" i="3" s="1"/>
  <c r="AZ349" i="3" s="1"/>
  <c r="BO349" i="3"/>
  <c r="BP349" i="3"/>
  <c r="BM350" i="3"/>
  <c r="BN350" i="3"/>
  <c r="BL350" i="3" s="1"/>
  <c r="AZ350" i="3" s="1"/>
  <c r="BO350" i="3"/>
  <c r="BP350" i="3"/>
  <c r="BM351" i="3"/>
  <c r="BN351" i="3"/>
  <c r="BL351" i="3" s="1"/>
  <c r="AZ351" i="3" s="1"/>
  <c r="BO351" i="3"/>
  <c r="BP351" i="3"/>
  <c r="BM352" i="3"/>
  <c r="BN352" i="3"/>
  <c r="BL352" i="3" s="1"/>
  <c r="AZ352" i="3" s="1"/>
  <c r="BO352" i="3"/>
  <c r="BP352" i="3"/>
  <c r="BM353" i="3"/>
  <c r="BN353" i="3"/>
  <c r="BL353" i="3" s="1"/>
  <c r="AZ353" i="3" s="1"/>
  <c r="BO353" i="3"/>
  <c r="BP353" i="3"/>
  <c r="BM354" i="3"/>
  <c r="BN354" i="3"/>
  <c r="BL354" i="3" s="1"/>
  <c r="AZ354" i="3" s="1"/>
  <c r="BO354" i="3"/>
  <c r="BP354" i="3"/>
  <c r="BM355" i="3"/>
  <c r="BN355" i="3"/>
  <c r="BL355" i="3" s="1"/>
  <c r="AZ355" i="3" s="1"/>
  <c r="BO355" i="3"/>
  <c r="BP355" i="3"/>
  <c r="BM356" i="3"/>
  <c r="BN356" i="3"/>
  <c r="BL356" i="3" s="1"/>
  <c r="AZ356" i="3" s="1"/>
  <c r="BO356" i="3"/>
  <c r="BP356" i="3"/>
  <c r="BM357" i="3"/>
  <c r="BN357" i="3"/>
  <c r="BL357" i="3" s="1"/>
  <c r="AZ357" i="3" s="1"/>
  <c r="BO357" i="3"/>
  <c r="BP357" i="3"/>
  <c r="BM358" i="3"/>
  <c r="BN358" i="3"/>
  <c r="BL358" i="3" s="1"/>
  <c r="AZ358" i="3" s="1"/>
  <c r="BO358" i="3"/>
  <c r="BP358" i="3"/>
  <c r="BM359" i="3"/>
  <c r="BN359" i="3"/>
  <c r="BL359" i="3" s="1"/>
  <c r="AZ359" i="3" s="1"/>
  <c r="BO359" i="3"/>
  <c r="BP359" i="3"/>
  <c r="BM360" i="3"/>
  <c r="BN360" i="3"/>
  <c r="BL360" i="3" s="1"/>
  <c r="AZ360" i="3" s="1"/>
  <c r="BO360" i="3"/>
  <c r="BP360" i="3"/>
  <c r="BM361" i="3"/>
  <c r="BN361" i="3"/>
  <c r="BL361" i="3" s="1"/>
  <c r="AZ361" i="3" s="1"/>
  <c r="BO361" i="3"/>
  <c r="BP361" i="3"/>
  <c r="BM362" i="3"/>
  <c r="BN362" i="3"/>
  <c r="BL362" i="3" s="1"/>
  <c r="AZ362" i="3" s="1"/>
  <c r="BO362" i="3"/>
  <c r="BP362" i="3"/>
  <c r="BM363" i="3"/>
  <c r="BN363" i="3"/>
  <c r="BL363" i="3" s="1"/>
  <c r="AZ363" i="3" s="1"/>
  <c r="BO363" i="3"/>
  <c r="BP363" i="3"/>
  <c r="BM364" i="3"/>
  <c r="BN364" i="3"/>
  <c r="BL364" i="3" s="1"/>
  <c r="AZ364" i="3" s="1"/>
  <c r="BO364" i="3"/>
  <c r="BP364" i="3"/>
  <c r="BM365" i="3"/>
  <c r="BN365" i="3"/>
  <c r="BL365" i="3" s="1"/>
  <c r="AZ365" i="3" s="1"/>
  <c r="BO365" i="3"/>
  <c r="BP365" i="3"/>
  <c r="BM366" i="3"/>
  <c r="BN366" i="3"/>
  <c r="BL366" i="3" s="1"/>
  <c r="AZ366" i="3" s="1"/>
  <c r="BO366" i="3"/>
  <c r="BP366" i="3"/>
  <c r="BM367" i="3"/>
  <c r="BN367" i="3"/>
  <c r="BL367" i="3" s="1"/>
  <c r="AZ367" i="3" s="1"/>
  <c r="BO367" i="3"/>
  <c r="BP367" i="3"/>
  <c r="BM368" i="3"/>
  <c r="BN368" i="3"/>
  <c r="BL368" i="3" s="1"/>
  <c r="AZ368" i="3" s="1"/>
  <c r="BO368" i="3"/>
  <c r="BP368" i="3"/>
  <c r="BM369" i="3"/>
  <c r="BN369" i="3"/>
  <c r="BL369" i="3" s="1"/>
  <c r="AZ369" i="3" s="1"/>
  <c r="BO369" i="3"/>
  <c r="BP369" i="3"/>
  <c r="BM370" i="3"/>
  <c r="BN370" i="3"/>
  <c r="BL370" i="3" s="1"/>
  <c r="AZ370" i="3" s="1"/>
  <c r="BO370" i="3"/>
  <c r="BP370" i="3"/>
  <c r="BM371" i="3"/>
  <c r="BN371" i="3"/>
  <c r="BL371" i="3" s="1"/>
  <c r="AZ371" i="3" s="1"/>
  <c r="BO371" i="3"/>
  <c r="BP371" i="3"/>
  <c r="BM372" i="3"/>
  <c r="BN372" i="3"/>
  <c r="BL372" i="3" s="1"/>
  <c r="AZ372" i="3" s="1"/>
  <c r="BO372" i="3"/>
  <c r="BP372" i="3"/>
  <c r="BM373" i="3"/>
  <c r="BN373" i="3"/>
  <c r="BL373" i="3" s="1"/>
  <c r="AZ373" i="3" s="1"/>
  <c r="BO373" i="3"/>
  <c r="BP373" i="3"/>
  <c r="BM374" i="3"/>
  <c r="BN374" i="3"/>
  <c r="BL374" i="3" s="1"/>
  <c r="AZ374" i="3" s="1"/>
  <c r="BO374" i="3"/>
  <c r="BP374" i="3"/>
  <c r="BM375" i="3"/>
  <c r="BN375" i="3"/>
  <c r="BL375" i="3" s="1"/>
  <c r="AZ375" i="3" s="1"/>
  <c r="BO375" i="3"/>
  <c r="BP375" i="3"/>
  <c r="BM376" i="3"/>
  <c r="BN376" i="3"/>
  <c r="BL376" i="3" s="1"/>
  <c r="AZ376" i="3" s="1"/>
  <c r="BO376" i="3"/>
  <c r="BP376" i="3"/>
  <c r="BM377" i="3"/>
  <c r="BN377" i="3"/>
  <c r="BL377" i="3" s="1"/>
  <c r="AZ377" i="3" s="1"/>
  <c r="BO377" i="3"/>
  <c r="BP377" i="3"/>
  <c r="BM378" i="3"/>
  <c r="BN378" i="3"/>
  <c r="BL378" i="3" s="1"/>
  <c r="AZ378" i="3" s="1"/>
  <c r="BO378" i="3"/>
  <c r="BP378" i="3"/>
  <c r="BM379" i="3"/>
  <c r="BN379" i="3"/>
  <c r="BL379" i="3" s="1"/>
  <c r="AZ379" i="3" s="1"/>
  <c r="BO379" i="3"/>
  <c r="BP379" i="3"/>
  <c r="BM380" i="3"/>
  <c r="BN380" i="3"/>
  <c r="BL380" i="3" s="1"/>
  <c r="AZ380" i="3" s="1"/>
  <c r="BO380" i="3"/>
  <c r="BP380" i="3"/>
  <c r="BM381" i="3"/>
  <c r="BN381" i="3"/>
  <c r="BL381" i="3" s="1"/>
  <c r="AZ381" i="3" s="1"/>
  <c r="BO381" i="3"/>
  <c r="BP381" i="3"/>
  <c r="BM382" i="3"/>
  <c r="BN382" i="3"/>
  <c r="BL382" i="3" s="1"/>
  <c r="AZ382" i="3" s="1"/>
  <c r="BO382" i="3"/>
  <c r="BP382" i="3"/>
  <c r="BM383" i="3"/>
  <c r="BN383" i="3"/>
  <c r="BL383" i="3" s="1"/>
  <c r="AZ383" i="3" s="1"/>
  <c r="BO383" i="3"/>
  <c r="BP383" i="3"/>
  <c r="BM384" i="3"/>
  <c r="BN384" i="3"/>
  <c r="BL384" i="3" s="1"/>
  <c r="AZ384" i="3" s="1"/>
  <c r="BO384" i="3"/>
  <c r="BP384" i="3"/>
  <c r="BM385" i="3"/>
  <c r="BN385" i="3"/>
  <c r="BL385" i="3" s="1"/>
  <c r="AZ385" i="3" s="1"/>
  <c r="BO385" i="3"/>
  <c r="BP385" i="3"/>
  <c r="BM386" i="3"/>
  <c r="BN386" i="3"/>
  <c r="BL386" i="3" s="1"/>
  <c r="AZ386" i="3" s="1"/>
  <c r="BO386" i="3"/>
  <c r="BP386" i="3"/>
  <c r="BM387" i="3"/>
  <c r="BN387" i="3"/>
  <c r="BL387" i="3" s="1"/>
  <c r="AZ387" i="3" s="1"/>
  <c r="BO387" i="3"/>
  <c r="BP387" i="3"/>
  <c r="BM388" i="3"/>
  <c r="BN388" i="3"/>
  <c r="BL388" i="3" s="1"/>
  <c r="AZ388" i="3" s="1"/>
  <c r="BO388" i="3"/>
  <c r="BP388" i="3"/>
  <c r="BM389" i="3"/>
  <c r="BN389" i="3"/>
  <c r="BL389" i="3" s="1"/>
  <c r="AZ389" i="3" s="1"/>
  <c r="BO389" i="3"/>
  <c r="BP389" i="3"/>
  <c r="BM390" i="3"/>
  <c r="BN390" i="3"/>
  <c r="BL390" i="3" s="1"/>
  <c r="AZ390" i="3" s="1"/>
  <c r="BO390" i="3"/>
  <c r="BP390" i="3"/>
  <c r="BM391" i="3"/>
  <c r="BN391" i="3"/>
  <c r="BL391" i="3" s="1"/>
  <c r="AZ391" i="3" s="1"/>
  <c r="BO391" i="3"/>
  <c r="BP391" i="3"/>
  <c r="BM392" i="3"/>
  <c r="BN392" i="3"/>
  <c r="BL392" i="3" s="1"/>
  <c r="AZ392" i="3" s="1"/>
  <c r="BO392" i="3"/>
  <c r="BP392" i="3"/>
  <c r="BM393" i="3"/>
  <c r="BN393" i="3"/>
  <c r="BL393" i="3" s="1"/>
  <c r="AZ393" i="3" s="1"/>
  <c r="BO393" i="3"/>
  <c r="BP393" i="3"/>
  <c r="BM394" i="3"/>
  <c r="BN394" i="3"/>
  <c r="BL394" i="3" s="1"/>
  <c r="AZ394" i="3" s="1"/>
  <c r="BO394" i="3"/>
  <c r="BP394" i="3"/>
  <c r="BM395" i="3"/>
  <c r="BN395" i="3"/>
  <c r="BL395" i="3" s="1"/>
  <c r="AZ395" i="3" s="1"/>
  <c r="BO395" i="3"/>
  <c r="BP395" i="3"/>
  <c r="BM396" i="3"/>
  <c r="BN396" i="3"/>
  <c r="BL396" i="3" s="1"/>
  <c r="AZ396" i="3" s="1"/>
  <c r="BO396" i="3"/>
  <c r="BP396" i="3"/>
  <c r="BM397" i="3"/>
  <c r="BN397" i="3"/>
  <c r="BL397" i="3" s="1"/>
  <c r="AZ397" i="3" s="1"/>
  <c r="BO397" i="3"/>
  <c r="BP397" i="3"/>
  <c r="BM398" i="3"/>
  <c r="BN398" i="3"/>
  <c r="BL398" i="3" s="1"/>
  <c r="AZ398" i="3" s="1"/>
  <c r="BO398" i="3"/>
  <c r="BP398" i="3"/>
  <c r="BM399" i="3"/>
  <c r="BN399" i="3"/>
  <c r="BL399" i="3" s="1"/>
  <c r="AZ399" i="3" s="1"/>
  <c r="BO399" i="3"/>
  <c r="BP399" i="3"/>
  <c r="BM400" i="3"/>
  <c r="BN400" i="3"/>
  <c r="BL400" i="3" s="1"/>
  <c r="AZ400" i="3" s="1"/>
  <c r="BO400" i="3"/>
  <c r="BP400" i="3"/>
  <c r="BM401" i="3"/>
  <c r="BN401" i="3"/>
  <c r="BL401" i="3" s="1"/>
  <c r="AZ401" i="3" s="1"/>
  <c r="BO401" i="3"/>
  <c r="BP401" i="3"/>
  <c r="BM402" i="3"/>
  <c r="BN402" i="3"/>
  <c r="BL402" i="3" s="1"/>
  <c r="AZ402" i="3" s="1"/>
  <c r="BO402" i="3"/>
  <c r="BP402" i="3"/>
  <c r="BM403" i="3"/>
  <c r="BN403" i="3"/>
  <c r="BL403" i="3" s="1"/>
  <c r="AZ403" i="3" s="1"/>
  <c r="BO403" i="3"/>
  <c r="BP403" i="3"/>
  <c r="BM404" i="3"/>
  <c r="BN404" i="3"/>
  <c r="BL404" i="3" s="1"/>
  <c r="AZ404" i="3" s="1"/>
  <c r="BO404" i="3"/>
  <c r="BP404" i="3"/>
  <c r="BM405" i="3"/>
  <c r="BN405" i="3"/>
  <c r="BL405" i="3" s="1"/>
  <c r="AZ405" i="3" s="1"/>
  <c r="BO405" i="3"/>
  <c r="BP405" i="3"/>
  <c r="BM406" i="3"/>
  <c r="BN406" i="3"/>
  <c r="BL406" i="3" s="1"/>
  <c r="AZ406" i="3" s="1"/>
  <c r="BO406" i="3"/>
  <c r="BP406" i="3"/>
  <c r="BM407" i="3"/>
  <c r="BN407" i="3"/>
  <c r="BL407" i="3" s="1"/>
  <c r="AZ407" i="3" s="1"/>
  <c r="BO407" i="3"/>
  <c r="BP407" i="3"/>
  <c r="BM408" i="3"/>
  <c r="BN408" i="3"/>
  <c r="BL408" i="3" s="1"/>
  <c r="AZ408" i="3" s="1"/>
  <c r="BO408" i="3"/>
  <c r="BP408" i="3"/>
  <c r="BM409" i="3"/>
  <c r="BN409" i="3"/>
  <c r="BL409" i="3" s="1"/>
  <c r="AZ409" i="3" s="1"/>
  <c r="BO409" i="3"/>
  <c r="BP409" i="3"/>
  <c r="BM410" i="3"/>
  <c r="BN410" i="3"/>
  <c r="BL410" i="3" s="1"/>
  <c r="AZ410" i="3" s="1"/>
  <c r="BO410" i="3"/>
  <c r="BP410" i="3"/>
  <c r="BM411" i="3"/>
  <c r="BN411" i="3"/>
  <c r="BL411" i="3" s="1"/>
  <c r="AZ411" i="3" s="1"/>
  <c r="BO411" i="3"/>
  <c r="BP411" i="3"/>
  <c r="BM412" i="3"/>
  <c r="BN412" i="3"/>
  <c r="BL412" i="3" s="1"/>
  <c r="AZ412" i="3" s="1"/>
  <c r="BO412" i="3"/>
  <c r="BP412" i="3"/>
  <c r="BM413" i="3"/>
  <c r="BN413" i="3"/>
  <c r="BL413" i="3" s="1"/>
  <c r="AZ413" i="3" s="1"/>
  <c r="BO413" i="3"/>
  <c r="BP413" i="3"/>
  <c r="BM414" i="3"/>
  <c r="BN414" i="3"/>
  <c r="BL414" i="3" s="1"/>
  <c r="AZ414" i="3" s="1"/>
  <c r="BO414" i="3"/>
  <c r="BP414" i="3"/>
  <c r="BM415" i="3"/>
  <c r="BN415" i="3"/>
  <c r="BL415" i="3" s="1"/>
  <c r="AZ415" i="3" s="1"/>
  <c r="BO415" i="3"/>
  <c r="BP415" i="3"/>
  <c r="BM416" i="3"/>
  <c r="BN416" i="3"/>
  <c r="BL416" i="3" s="1"/>
  <c r="AZ416" i="3" s="1"/>
  <c r="BO416" i="3"/>
  <c r="BP416" i="3"/>
  <c r="BM417" i="3"/>
  <c r="BN417" i="3"/>
  <c r="BL417" i="3" s="1"/>
  <c r="AZ417" i="3" s="1"/>
  <c r="BO417" i="3"/>
  <c r="BP417" i="3"/>
  <c r="BM418" i="3"/>
  <c r="BN418" i="3"/>
  <c r="BL418" i="3" s="1"/>
  <c r="AZ418" i="3" s="1"/>
  <c r="BO418" i="3"/>
  <c r="BP418" i="3"/>
  <c r="BM419" i="3"/>
  <c r="BN419" i="3"/>
  <c r="BL419" i="3" s="1"/>
  <c r="AZ419" i="3" s="1"/>
  <c r="BO419" i="3"/>
  <c r="BP419" i="3"/>
  <c r="BM420" i="3"/>
  <c r="BN420" i="3"/>
  <c r="BL420" i="3" s="1"/>
  <c r="AZ420" i="3" s="1"/>
  <c r="BO420" i="3"/>
  <c r="BP420" i="3"/>
  <c r="BM421" i="3"/>
  <c r="BN421" i="3"/>
  <c r="BL421" i="3" s="1"/>
  <c r="AZ421" i="3" s="1"/>
  <c r="BO421" i="3"/>
  <c r="BP421" i="3"/>
  <c r="BM422" i="3"/>
  <c r="BN422" i="3"/>
  <c r="BL422" i="3" s="1"/>
  <c r="AZ422" i="3" s="1"/>
  <c r="BO422" i="3"/>
  <c r="BP422" i="3"/>
  <c r="BM423" i="3"/>
  <c r="BN423" i="3"/>
  <c r="BL423" i="3" s="1"/>
  <c r="AZ423" i="3" s="1"/>
  <c r="BO423" i="3"/>
  <c r="BP423" i="3"/>
  <c r="BM424" i="3"/>
  <c r="BN424" i="3"/>
  <c r="BL424" i="3" s="1"/>
  <c r="AZ424" i="3" s="1"/>
  <c r="BO424" i="3"/>
  <c r="BP424" i="3"/>
  <c r="BM425" i="3"/>
  <c r="BN425" i="3"/>
  <c r="BL425" i="3" s="1"/>
  <c r="AZ425" i="3" s="1"/>
  <c r="BO425" i="3"/>
  <c r="BP425" i="3"/>
  <c r="BM426" i="3"/>
  <c r="BN426" i="3"/>
  <c r="BL426" i="3" s="1"/>
  <c r="AZ426" i="3" s="1"/>
  <c r="BO426" i="3"/>
  <c r="BP426" i="3"/>
  <c r="BM427" i="3"/>
  <c r="BN427" i="3"/>
  <c r="BL427" i="3" s="1"/>
  <c r="AZ427" i="3" s="1"/>
  <c r="BO427" i="3"/>
  <c r="BP427" i="3"/>
  <c r="BM428" i="3"/>
  <c r="BN428" i="3"/>
  <c r="BL428" i="3" s="1"/>
  <c r="AZ428" i="3" s="1"/>
  <c r="BO428" i="3"/>
  <c r="BP428" i="3"/>
  <c r="BM429" i="3"/>
  <c r="BN429" i="3"/>
  <c r="BL429" i="3" s="1"/>
  <c r="AZ429" i="3" s="1"/>
  <c r="BO429" i="3"/>
  <c r="BP429" i="3"/>
  <c r="BM430" i="3"/>
  <c r="BN430" i="3"/>
  <c r="BL430" i="3" s="1"/>
  <c r="AZ430" i="3" s="1"/>
  <c r="BO430" i="3"/>
  <c r="BP430" i="3"/>
  <c r="BM431" i="3"/>
  <c r="BN431" i="3"/>
  <c r="BL431" i="3" s="1"/>
  <c r="AZ431" i="3" s="1"/>
  <c r="BO431" i="3"/>
  <c r="BP431" i="3"/>
  <c r="BM432" i="3"/>
  <c r="BN432" i="3"/>
  <c r="BL432" i="3" s="1"/>
  <c r="AZ432" i="3" s="1"/>
  <c r="BO432" i="3"/>
  <c r="BP432" i="3"/>
  <c r="BM433" i="3"/>
  <c r="BN433" i="3"/>
  <c r="BL433" i="3" s="1"/>
  <c r="AZ433" i="3" s="1"/>
  <c r="BO433" i="3"/>
  <c r="BP433" i="3"/>
  <c r="BM434" i="3"/>
  <c r="BN434" i="3"/>
  <c r="BL434" i="3" s="1"/>
  <c r="AZ434" i="3" s="1"/>
  <c r="BO434" i="3"/>
  <c r="BP434" i="3"/>
  <c r="BM435" i="3"/>
  <c r="BN435" i="3"/>
  <c r="BL435" i="3" s="1"/>
  <c r="AZ435" i="3" s="1"/>
  <c r="BO435" i="3"/>
  <c r="BP435" i="3"/>
  <c r="BM436" i="3"/>
  <c r="BN436" i="3"/>
  <c r="BL436" i="3" s="1"/>
  <c r="AZ436" i="3" s="1"/>
  <c r="BO436" i="3"/>
  <c r="BP436" i="3"/>
  <c r="BM437" i="3"/>
  <c r="BN437" i="3"/>
  <c r="BL437" i="3" s="1"/>
  <c r="AZ437" i="3" s="1"/>
  <c r="BO437" i="3"/>
  <c r="BP437" i="3"/>
  <c r="BM438" i="3"/>
  <c r="BN438" i="3"/>
  <c r="BL438" i="3" s="1"/>
  <c r="AZ438" i="3" s="1"/>
  <c r="BO438" i="3"/>
  <c r="BP438" i="3"/>
  <c r="BM439" i="3"/>
  <c r="BN439" i="3"/>
  <c r="BL439" i="3" s="1"/>
  <c r="AZ439" i="3" s="1"/>
  <c r="BO439" i="3"/>
  <c r="BP439" i="3"/>
  <c r="BM440" i="3"/>
  <c r="BN440" i="3"/>
  <c r="BL440" i="3" s="1"/>
  <c r="AZ440" i="3" s="1"/>
  <c r="BO440" i="3"/>
  <c r="BP440" i="3"/>
  <c r="BM441" i="3"/>
  <c r="BN441" i="3"/>
  <c r="BL441" i="3" s="1"/>
  <c r="AZ441" i="3" s="1"/>
  <c r="BO441" i="3"/>
  <c r="BP441" i="3"/>
  <c r="BM442" i="3"/>
  <c r="BN442" i="3"/>
  <c r="BL442" i="3" s="1"/>
  <c r="AZ442" i="3" s="1"/>
  <c r="BO442" i="3"/>
  <c r="BP442" i="3"/>
  <c r="BM443" i="3"/>
  <c r="BN443" i="3"/>
  <c r="BL443" i="3" s="1"/>
  <c r="AZ443" i="3" s="1"/>
  <c r="BO443" i="3"/>
  <c r="BP443" i="3"/>
  <c r="BM444" i="3"/>
  <c r="BN444" i="3"/>
  <c r="BL444" i="3" s="1"/>
  <c r="AZ444" i="3" s="1"/>
  <c r="BO444" i="3"/>
  <c r="BP444" i="3"/>
  <c r="BM445" i="3"/>
  <c r="BN445" i="3"/>
  <c r="BL445" i="3" s="1"/>
  <c r="AZ445" i="3" s="1"/>
  <c r="BO445" i="3"/>
  <c r="BP445" i="3"/>
  <c r="BM446" i="3"/>
  <c r="BN446" i="3"/>
  <c r="BL446" i="3" s="1"/>
  <c r="AZ446" i="3" s="1"/>
  <c r="BO446" i="3"/>
  <c r="BP446" i="3"/>
  <c r="BM447" i="3"/>
  <c r="BN447" i="3"/>
  <c r="BL447" i="3" s="1"/>
  <c r="AZ447" i="3" s="1"/>
  <c r="BO447" i="3"/>
  <c r="BP447" i="3"/>
  <c r="BM448" i="3"/>
  <c r="BN448" i="3"/>
  <c r="BL448" i="3" s="1"/>
  <c r="AZ448" i="3" s="1"/>
  <c r="BO448" i="3"/>
  <c r="BP448" i="3"/>
  <c r="BM449" i="3"/>
  <c r="BN449" i="3"/>
  <c r="BL449" i="3" s="1"/>
  <c r="AZ449" i="3" s="1"/>
  <c r="BO449" i="3"/>
  <c r="BP449" i="3"/>
  <c r="BM450" i="3"/>
  <c r="BN450" i="3"/>
  <c r="BL450" i="3" s="1"/>
  <c r="AZ450" i="3" s="1"/>
  <c r="BO450" i="3"/>
  <c r="BP450" i="3"/>
  <c r="BM451" i="3"/>
  <c r="BN451" i="3"/>
  <c r="BL451" i="3" s="1"/>
  <c r="AZ451" i="3" s="1"/>
  <c r="BO451" i="3"/>
  <c r="BP451" i="3"/>
  <c r="BM452" i="3"/>
  <c r="BN452" i="3"/>
  <c r="BL452" i="3" s="1"/>
  <c r="AZ452" i="3" s="1"/>
  <c r="BO452" i="3"/>
  <c r="BP452" i="3"/>
  <c r="BM453" i="3"/>
  <c r="BN453" i="3"/>
  <c r="BL453" i="3" s="1"/>
  <c r="AZ453" i="3" s="1"/>
  <c r="BO453" i="3"/>
  <c r="BP453" i="3"/>
  <c r="BM454" i="3"/>
  <c r="BN454" i="3"/>
  <c r="BL454" i="3" s="1"/>
  <c r="AZ454" i="3" s="1"/>
  <c r="BO454" i="3"/>
  <c r="BP454" i="3"/>
  <c r="BM455" i="3"/>
  <c r="BN455" i="3"/>
  <c r="BL455" i="3" s="1"/>
  <c r="AZ455" i="3" s="1"/>
  <c r="BO455" i="3"/>
  <c r="BP455" i="3"/>
  <c r="BM456" i="3"/>
  <c r="BN456" i="3"/>
  <c r="BL456" i="3" s="1"/>
  <c r="AZ456" i="3" s="1"/>
  <c r="BO456" i="3"/>
  <c r="BP456" i="3"/>
  <c r="BM457" i="3"/>
  <c r="BN457" i="3"/>
  <c r="BL457" i="3" s="1"/>
  <c r="AZ457" i="3" s="1"/>
  <c r="BO457" i="3"/>
  <c r="BP457" i="3"/>
  <c r="BM458" i="3"/>
  <c r="BN458" i="3"/>
  <c r="BL458" i="3" s="1"/>
  <c r="AZ458" i="3" s="1"/>
  <c r="BO458" i="3"/>
  <c r="BP458" i="3"/>
  <c r="BM459" i="3"/>
  <c r="BN459" i="3"/>
  <c r="BL459" i="3" s="1"/>
  <c r="AZ459" i="3" s="1"/>
  <c r="BO459" i="3"/>
  <c r="BP459" i="3"/>
  <c r="BM460" i="3"/>
  <c r="BN460" i="3"/>
  <c r="BL460" i="3" s="1"/>
  <c r="AZ460" i="3" s="1"/>
  <c r="BO460" i="3"/>
  <c r="BP460" i="3"/>
  <c r="BM461" i="3"/>
  <c r="BN461" i="3"/>
  <c r="BL461" i="3" s="1"/>
  <c r="AZ461" i="3" s="1"/>
  <c r="BO461" i="3"/>
  <c r="BP461" i="3"/>
  <c r="BM462" i="3"/>
  <c r="BN462" i="3"/>
  <c r="BL462" i="3" s="1"/>
  <c r="AZ462" i="3" s="1"/>
  <c r="BO462" i="3"/>
  <c r="BP462" i="3"/>
  <c r="BM463" i="3"/>
  <c r="BN463" i="3"/>
  <c r="BL463" i="3" s="1"/>
  <c r="AZ463" i="3" s="1"/>
  <c r="BO463" i="3"/>
  <c r="BP463" i="3"/>
  <c r="BM464" i="3"/>
  <c r="BN464" i="3"/>
  <c r="BL464" i="3" s="1"/>
  <c r="AZ464" i="3" s="1"/>
  <c r="BO464" i="3"/>
  <c r="BP464" i="3"/>
  <c r="BM465" i="3"/>
  <c r="BN465" i="3"/>
  <c r="BL465" i="3" s="1"/>
  <c r="AZ465" i="3" s="1"/>
  <c r="BO465" i="3"/>
  <c r="BP465" i="3"/>
  <c r="BM466" i="3"/>
  <c r="BN466" i="3"/>
  <c r="BL466" i="3" s="1"/>
  <c r="AZ466" i="3" s="1"/>
  <c r="BO466" i="3"/>
  <c r="BP466" i="3"/>
  <c r="BM467" i="3"/>
  <c r="BN467" i="3"/>
  <c r="BL467" i="3" s="1"/>
  <c r="AZ467" i="3" s="1"/>
  <c r="BO467" i="3"/>
  <c r="BP467" i="3"/>
  <c r="BM468" i="3"/>
  <c r="BN468" i="3"/>
  <c r="BL468" i="3" s="1"/>
  <c r="AZ468" i="3" s="1"/>
  <c r="BO468" i="3"/>
  <c r="BP468" i="3"/>
  <c r="BM469" i="3"/>
  <c r="BN469" i="3"/>
  <c r="BL469" i="3" s="1"/>
  <c r="AZ469" i="3" s="1"/>
  <c r="BO469" i="3"/>
  <c r="BP469" i="3"/>
  <c r="BM470" i="3"/>
  <c r="BN470" i="3"/>
  <c r="BL470" i="3" s="1"/>
  <c r="AZ470" i="3" s="1"/>
  <c r="BO470" i="3"/>
  <c r="BP470" i="3"/>
  <c r="BM471" i="3"/>
  <c r="BN471" i="3"/>
  <c r="BL471" i="3" s="1"/>
  <c r="AZ471" i="3" s="1"/>
  <c r="BO471" i="3"/>
  <c r="BP471" i="3"/>
  <c r="BM472" i="3"/>
  <c r="BN472" i="3"/>
  <c r="BL472" i="3" s="1"/>
  <c r="AZ472" i="3" s="1"/>
  <c r="BO472" i="3"/>
  <c r="BP472" i="3"/>
  <c r="BM473" i="3"/>
  <c r="BN473" i="3"/>
  <c r="BL473" i="3" s="1"/>
  <c r="AZ473" i="3" s="1"/>
  <c r="BO473" i="3"/>
  <c r="BP473" i="3"/>
  <c r="BM474" i="3"/>
  <c r="BN474" i="3"/>
  <c r="BL474" i="3" s="1"/>
  <c r="AZ474" i="3" s="1"/>
  <c r="BO474" i="3"/>
  <c r="BP474" i="3"/>
  <c r="BM475" i="3"/>
  <c r="BN475" i="3"/>
  <c r="BL475" i="3" s="1"/>
  <c r="AZ475" i="3" s="1"/>
  <c r="BO475" i="3"/>
  <c r="BP475" i="3"/>
  <c r="BM476" i="3"/>
  <c r="BN476" i="3"/>
  <c r="BL476" i="3" s="1"/>
  <c r="AZ476" i="3" s="1"/>
  <c r="BO476" i="3"/>
  <c r="BP476" i="3"/>
  <c r="BM477" i="3"/>
  <c r="BN477" i="3"/>
  <c r="BL477" i="3" s="1"/>
  <c r="AZ477" i="3" s="1"/>
  <c r="BO477" i="3"/>
  <c r="BP477" i="3"/>
  <c r="BM478" i="3"/>
  <c r="BN478" i="3"/>
  <c r="BL478" i="3" s="1"/>
  <c r="AZ478" i="3" s="1"/>
  <c r="BO478" i="3"/>
  <c r="BP478" i="3"/>
  <c r="BM479" i="3"/>
  <c r="BN479" i="3"/>
  <c r="BL479" i="3" s="1"/>
  <c r="AZ479" i="3" s="1"/>
  <c r="BO479" i="3"/>
  <c r="BP479" i="3"/>
  <c r="BM480" i="3"/>
  <c r="BN480" i="3"/>
  <c r="BL480" i="3" s="1"/>
  <c r="AZ480" i="3" s="1"/>
  <c r="BO480" i="3"/>
  <c r="BP480" i="3"/>
  <c r="BM481" i="3"/>
  <c r="BN481" i="3"/>
  <c r="BL481" i="3" s="1"/>
  <c r="AZ481" i="3" s="1"/>
  <c r="BO481" i="3"/>
  <c r="BP481" i="3"/>
  <c r="BM482" i="3"/>
  <c r="BN482" i="3"/>
  <c r="BL482" i="3" s="1"/>
  <c r="AZ482" i="3" s="1"/>
  <c r="BO482" i="3"/>
  <c r="BP482" i="3"/>
  <c r="BM483" i="3"/>
  <c r="BN483" i="3"/>
  <c r="BL483" i="3" s="1"/>
  <c r="AZ483" i="3" s="1"/>
  <c r="BO483" i="3"/>
  <c r="BP483" i="3"/>
  <c r="BM484" i="3"/>
  <c r="BN484" i="3"/>
  <c r="BL484" i="3" s="1"/>
  <c r="AZ484" i="3" s="1"/>
  <c r="BO484" i="3"/>
  <c r="BP484" i="3"/>
  <c r="BM485" i="3"/>
  <c r="BN485" i="3"/>
  <c r="BL485" i="3" s="1"/>
  <c r="AZ485" i="3" s="1"/>
  <c r="BO485" i="3"/>
  <c r="BP485" i="3"/>
  <c r="BM486" i="3"/>
  <c r="BN486" i="3"/>
  <c r="BL486" i="3" s="1"/>
  <c r="AZ486" i="3" s="1"/>
  <c r="BO486" i="3"/>
  <c r="BP486" i="3"/>
  <c r="BM487" i="3"/>
  <c r="BN487" i="3"/>
  <c r="BL487" i="3" s="1"/>
  <c r="AZ487" i="3" s="1"/>
  <c r="BO487" i="3"/>
  <c r="BP487" i="3"/>
  <c r="BM488" i="3"/>
  <c r="BN488" i="3"/>
  <c r="BO488" i="3"/>
  <c r="BP488" i="3"/>
  <c r="BM489" i="3"/>
  <c r="BN489" i="3"/>
  <c r="BO489" i="3"/>
  <c r="BP489" i="3"/>
  <c r="BM490" i="3"/>
  <c r="BN490" i="3"/>
  <c r="BO490" i="3"/>
  <c r="BP490" i="3"/>
  <c r="BM491" i="3"/>
  <c r="BN491" i="3"/>
  <c r="BO491" i="3"/>
  <c r="BP491" i="3"/>
  <c r="BM492" i="3"/>
  <c r="BN492" i="3"/>
  <c r="BO492" i="3"/>
  <c r="BP492" i="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L520" i="3" s="1"/>
  <c r="AZ520" i="3" s="1"/>
  <c r="BO520" i="3"/>
  <c r="BP520" i="3"/>
  <c r="BM521" i="3"/>
  <c r="BN521" i="3"/>
  <c r="BL521" i="3" s="1"/>
  <c r="AZ521" i="3" s="1"/>
  <c r="BO521" i="3"/>
  <c r="BP521" i="3"/>
  <c r="BM522" i="3"/>
  <c r="BN522" i="3"/>
  <c r="BL522" i="3" s="1"/>
  <c r="AZ522" i="3" s="1"/>
  <c r="BO522" i="3"/>
  <c r="BP522" i="3"/>
  <c r="BM523" i="3"/>
  <c r="BN523" i="3"/>
  <c r="BL523" i="3" s="1"/>
  <c r="AZ523" i="3" s="1"/>
  <c r="BO523" i="3"/>
  <c r="BP523" i="3"/>
  <c r="BM524" i="3"/>
  <c r="BN524" i="3"/>
  <c r="BL524" i="3" s="1"/>
  <c r="BO524" i="3"/>
  <c r="BP524" i="3"/>
  <c r="BM525" i="3"/>
  <c r="BN525" i="3"/>
  <c r="BL525" i="3" s="1"/>
  <c r="AZ525" i="3" s="1"/>
  <c r="BO525" i="3"/>
  <c r="BP525" i="3"/>
  <c r="BM526" i="3"/>
  <c r="BN526" i="3"/>
  <c r="BL526" i="3" s="1"/>
  <c r="BO526" i="3"/>
  <c r="BP526" i="3"/>
  <c r="BM527" i="3"/>
  <c r="BN527" i="3"/>
  <c r="BL527" i="3" s="1"/>
  <c r="AZ527" i="3" s="1"/>
  <c r="BO527" i="3"/>
  <c r="BP527" i="3"/>
  <c r="BM528" i="3"/>
  <c r="BN528" i="3"/>
  <c r="BL528" i="3" s="1"/>
  <c r="BO528" i="3"/>
  <c r="BP528" i="3"/>
  <c r="BM529" i="3"/>
  <c r="BN529" i="3"/>
  <c r="BL529" i="3" s="1"/>
  <c r="AZ529" i="3" s="1"/>
  <c r="BO529" i="3"/>
  <c r="BP529" i="3"/>
  <c r="BM530" i="3"/>
  <c r="BN530" i="3"/>
  <c r="BL530" i="3" s="1"/>
  <c r="AZ530" i="3" s="1"/>
  <c r="BO530" i="3"/>
  <c r="BP530" i="3"/>
  <c r="BM531" i="3"/>
  <c r="BN531" i="3"/>
  <c r="BL531" i="3" s="1"/>
  <c r="AZ531" i="3" s="1"/>
  <c r="BO531" i="3"/>
  <c r="BP531" i="3"/>
  <c r="BM532" i="3"/>
  <c r="BN532" i="3"/>
  <c r="BL532" i="3" s="1"/>
  <c r="AZ532" i="3" s="1"/>
  <c r="BO532" i="3"/>
  <c r="BP532" i="3"/>
  <c r="BM533" i="3"/>
  <c r="BN533" i="3"/>
  <c r="BL533" i="3" s="1"/>
  <c r="AZ533" i="3" s="1"/>
  <c r="BO533" i="3"/>
  <c r="BP533" i="3"/>
  <c r="BM534" i="3"/>
  <c r="BN534" i="3"/>
  <c r="BL534" i="3" s="1"/>
  <c r="AZ534" i="3" s="1"/>
  <c r="BO534" i="3"/>
  <c r="BP534" i="3"/>
  <c r="BM535" i="3"/>
  <c r="BN535" i="3"/>
  <c r="BL535" i="3" s="1"/>
  <c r="AZ535" i="3" s="1"/>
  <c r="BO535" i="3"/>
  <c r="BP535" i="3"/>
  <c r="BM536" i="3"/>
  <c r="BN536" i="3"/>
  <c r="BL536" i="3" s="1"/>
  <c r="AZ536" i="3" s="1"/>
  <c r="BO536" i="3"/>
  <c r="BP536" i="3"/>
  <c r="BM537" i="3"/>
  <c r="BN537" i="3"/>
  <c r="BL537" i="3" s="1"/>
  <c r="AZ537" i="3" s="1"/>
  <c r="BO537" i="3"/>
  <c r="BP537" i="3"/>
  <c r="BM538" i="3"/>
  <c r="BN538" i="3"/>
  <c r="BL538" i="3" s="1"/>
  <c r="AZ538" i="3" s="1"/>
  <c r="BO538" i="3"/>
  <c r="BP538" i="3"/>
  <c r="BM539" i="3"/>
  <c r="BN539" i="3"/>
  <c r="BL539" i="3" s="1"/>
  <c r="AZ539" i="3" s="1"/>
  <c r="BO539" i="3"/>
  <c r="BP539" i="3"/>
  <c r="BM540" i="3"/>
  <c r="BN540" i="3"/>
  <c r="BL540" i="3" s="1"/>
  <c r="AZ540" i="3" s="1"/>
  <c r="BO540" i="3"/>
  <c r="BP540" i="3"/>
  <c r="BM541" i="3"/>
  <c r="BN541" i="3"/>
  <c r="BL541" i="3" s="1"/>
  <c r="AZ541" i="3" s="1"/>
  <c r="BO541" i="3"/>
  <c r="BP541" i="3"/>
  <c r="BM542" i="3"/>
  <c r="BN542" i="3"/>
  <c r="BL542" i="3" s="1"/>
  <c r="AZ542" i="3" s="1"/>
  <c r="BO542" i="3"/>
  <c r="BP542" i="3"/>
  <c r="BM543" i="3"/>
  <c r="BN543" i="3"/>
  <c r="BL543" i="3" s="1"/>
  <c r="AZ543" i="3" s="1"/>
  <c r="BO543" i="3"/>
  <c r="BP543" i="3"/>
  <c r="BM544" i="3"/>
  <c r="BN544" i="3"/>
  <c r="BL544" i="3" s="1"/>
  <c r="AZ544" i="3" s="1"/>
  <c r="BO544" i="3"/>
  <c r="BP544" i="3"/>
  <c r="BM545" i="3"/>
  <c r="BN545" i="3"/>
  <c r="BL545" i="3" s="1"/>
  <c r="AZ545" i="3" s="1"/>
  <c r="BO545" i="3"/>
  <c r="BP545" i="3"/>
  <c r="BM546" i="3"/>
  <c r="BN546" i="3"/>
  <c r="BL546" i="3" s="1"/>
  <c r="AZ546" i="3" s="1"/>
  <c r="BO546" i="3"/>
  <c r="BP546" i="3"/>
  <c r="BM547" i="3"/>
  <c r="BN547" i="3"/>
  <c r="BL547" i="3" s="1"/>
  <c r="AZ547" i="3" s="1"/>
  <c r="BO547" i="3"/>
  <c r="BP547" i="3"/>
  <c r="BM548" i="3"/>
  <c r="BN548" i="3"/>
  <c r="BL548" i="3" s="1"/>
  <c r="AZ548" i="3" s="1"/>
  <c r="BO548" i="3"/>
  <c r="BP548" i="3"/>
  <c r="BM549" i="3"/>
  <c r="BN549" i="3"/>
  <c r="BL549" i="3" s="1"/>
  <c r="AZ549" i="3" s="1"/>
  <c r="BO549" i="3"/>
  <c r="BP549" i="3"/>
  <c r="BM550" i="3"/>
  <c r="BN550" i="3"/>
  <c r="BL550" i="3" s="1"/>
  <c r="AZ550" i="3" s="1"/>
  <c r="BO550" i="3"/>
  <c r="BP550" i="3"/>
  <c r="BM551" i="3"/>
  <c r="BN551" i="3"/>
  <c r="BL551" i="3" s="1"/>
  <c r="AZ551" i="3" s="1"/>
  <c r="BO551" i="3"/>
  <c r="BP551" i="3"/>
  <c r="BM552" i="3"/>
  <c r="BN552" i="3"/>
  <c r="BL552" i="3" s="1"/>
  <c r="AZ552" i="3" s="1"/>
  <c r="BO552" i="3"/>
  <c r="BP552" i="3"/>
  <c r="BM553" i="3"/>
  <c r="BN553" i="3"/>
  <c r="BL553" i="3" s="1"/>
  <c r="AZ553" i="3" s="1"/>
  <c r="BO553" i="3"/>
  <c r="BP553" i="3"/>
  <c r="BM554" i="3"/>
  <c r="BN554" i="3"/>
  <c r="BL554" i="3" s="1"/>
  <c r="AZ554" i="3" s="1"/>
  <c r="BO554" i="3"/>
  <c r="BP554" i="3"/>
  <c r="BM555" i="3"/>
  <c r="BN555" i="3"/>
  <c r="BL555" i="3" s="1"/>
  <c r="AZ555" i="3" s="1"/>
  <c r="BO555" i="3"/>
  <c r="BP555" i="3"/>
  <c r="BM556" i="3"/>
  <c r="BN556" i="3"/>
  <c r="BL556" i="3" s="1"/>
  <c r="AZ556" i="3" s="1"/>
  <c r="BO556" i="3"/>
  <c r="BP556" i="3"/>
  <c r="BM557" i="3"/>
  <c r="BN557" i="3"/>
  <c r="BL557" i="3" s="1"/>
  <c r="AZ557" i="3" s="1"/>
  <c r="BO557" i="3"/>
  <c r="BP557" i="3"/>
  <c r="BM558" i="3"/>
  <c r="BN558" i="3"/>
  <c r="BL558" i="3" s="1"/>
  <c r="AZ558" i="3" s="1"/>
  <c r="BO558" i="3"/>
  <c r="BP558" i="3"/>
  <c r="BM559" i="3"/>
  <c r="BN559" i="3"/>
  <c r="BL559" i="3" s="1"/>
  <c r="AZ559" i="3" s="1"/>
  <c r="BO559" i="3"/>
  <c r="BP559" i="3"/>
  <c r="BM560" i="3"/>
  <c r="BN560" i="3"/>
  <c r="BL560" i="3" s="1"/>
  <c r="AZ560" i="3" s="1"/>
  <c r="BO560" i="3"/>
  <c r="BP560" i="3"/>
  <c r="BM561" i="3"/>
  <c r="BN561" i="3"/>
  <c r="BL561" i="3" s="1"/>
  <c r="AZ561" i="3" s="1"/>
  <c r="BO561" i="3"/>
  <c r="BP561" i="3"/>
  <c r="BM562" i="3"/>
  <c r="BN562" i="3"/>
  <c r="BL562" i="3" s="1"/>
  <c r="AZ562" i="3" s="1"/>
  <c r="BO562" i="3"/>
  <c r="BP562" i="3"/>
  <c r="BM563" i="3"/>
  <c r="BN563" i="3"/>
  <c r="BL563" i="3" s="1"/>
  <c r="AZ563" i="3" s="1"/>
  <c r="BO563" i="3"/>
  <c r="BP563" i="3"/>
  <c r="BM564" i="3"/>
  <c r="BN564" i="3"/>
  <c r="BL564" i="3" s="1"/>
  <c r="AZ564" i="3" s="1"/>
  <c r="BO564" i="3"/>
  <c r="BP564" i="3"/>
  <c r="BM565" i="3"/>
  <c r="BN565" i="3"/>
  <c r="BL565" i="3" s="1"/>
  <c r="AZ565" i="3" s="1"/>
  <c r="BO565" i="3"/>
  <c r="BP565" i="3"/>
  <c r="BM566" i="3"/>
  <c r="BN566" i="3"/>
  <c r="BL566" i="3" s="1"/>
  <c r="AZ566" i="3" s="1"/>
  <c r="BO566" i="3"/>
  <c r="BP566" i="3"/>
  <c r="BM567" i="3"/>
  <c r="BN567" i="3"/>
  <c r="BL567" i="3" s="1"/>
  <c r="AZ567" i="3" s="1"/>
  <c r="BO567" i="3"/>
  <c r="BP567" i="3"/>
  <c r="BM568" i="3"/>
  <c r="BN568" i="3"/>
  <c r="BL568" i="3" s="1"/>
  <c r="AZ568" i="3" s="1"/>
  <c r="BO568" i="3"/>
  <c r="BP568" i="3"/>
  <c r="BM569" i="3"/>
  <c r="BN569" i="3"/>
  <c r="BL569" i="3" s="1"/>
  <c r="AZ569" i="3" s="1"/>
  <c r="BO569" i="3"/>
  <c r="BP569" i="3"/>
  <c r="BM570" i="3"/>
  <c r="BN570" i="3"/>
  <c r="BL570" i="3" s="1"/>
  <c r="AZ570" i="3" s="1"/>
  <c r="BO570" i="3"/>
  <c r="BP570" i="3"/>
  <c r="BM571" i="3"/>
  <c r="BN571" i="3"/>
  <c r="BL571" i="3" s="1"/>
  <c r="AZ571" i="3" s="1"/>
  <c r="BO571" i="3"/>
  <c r="BP571" i="3"/>
  <c r="BM572" i="3"/>
  <c r="BN572" i="3"/>
  <c r="BL572" i="3" s="1"/>
  <c r="AZ572" i="3" s="1"/>
  <c r="BO572" i="3"/>
  <c r="BP572" i="3"/>
  <c r="BM573" i="3"/>
  <c r="BN573" i="3"/>
  <c r="BL573" i="3" s="1"/>
  <c r="AZ573" i="3" s="1"/>
  <c r="BO573" i="3"/>
  <c r="BP573" i="3"/>
  <c r="BM574" i="3"/>
  <c r="BN574" i="3"/>
  <c r="BL574" i="3" s="1"/>
  <c r="AZ574" i="3" s="1"/>
  <c r="BO574" i="3"/>
  <c r="BP574" i="3"/>
  <c r="BM575" i="3"/>
  <c r="BN575" i="3"/>
  <c r="BL575" i="3" s="1"/>
  <c r="AZ575" i="3" s="1"/>
  <c r="BO575" i="3"/>
  <c r="BP575" i="3"/>
  <c r="BM576" i="3"/>
  <c r="BN576" i="3"/>
  <c r="BL576" i="3" s="1"/>
  <c r="AZ576" i="3" s="1"/>
  <c r="BO576" i="3"/>
  <c r="BP576" i="3"/>
  <c r="BM577" i="3"/>
  <c r="BN577" i="3"/>
  <c r="BL577" i="3" s="1"/>
  <c r="AZ577" i="3" s="1"/>
  <c r="BO577" i="3"/>
  <c r="BP577" i="3"/>
  <c r="BM578" i="3"/>
  <c r="BN578" i="3"/>
  <c r="BL578" i="3" s="1"/>
  <c r="AZ578" i="3" s="1"/>
  <c r="BO578" i="3"/>
  <c r="BP578" i="3"/>
  <c r="BM579" i="3"/>
  <c r="BN579" i="3"/>
  <c r="BL579" i="3" s="1"/>
  <c r="AZ579" i="3" s="1"/>
  <c r="BO579" i="3"/>
  <c r="BP579" i="3"/>
  <c r="BM580" i="3"/>
  <c r="BN580" i="3"/>
  <c r="BL580" i="3" s="1"/>
  <c r="AZ580" i="3" s="1"/>
  <c r="BO580" i="3"/>
  <c r="BP580" i="3"/>
  <c r="BM581" i="3"/>
  <c r="BN581" i="3"/>
  <c r="BL581" i="3" s="1"/>
  <c r="AZ581" i="3" s="1"/>
  <c r="BO581" i="3"/>
  <c r="BP581" i="3"/>
  <c r="BM582" i="3"/>
  <c r="BN582" i="3"/>
  <c r="BL582" i="3" s="1"/>
  <c r="AZ582" i="3" s="1"/>
  <c r="BO582" i="3"/>
  <c r="BP582" i="3"/>
  <c r="BM583" i="3"/>
  <c r="BN583" i="3"/>
  <c r="BL583" i="3" s="1"/>
  <c r="AZ583" i="3" s="1"/>
  <c r="BO583" i="3"/>
  <c r="BP583" i="3"/>
  <c r="BM584" i="3"/>
  <c r="BN584" i="3"/>
  <c r="BL584" i="3" s="1"/>
  <c r="AZ584" i="3" s="1"/>
  <c r="BO584" i="3"/>
  <c r="BP584" i="3"/>
  <c r="BM585" i="3"/>
  <c r="BN585" i="3"/>
  <c r="BL585" i="3" s="1"/>
  <c r="AZ585" i="3" s="1"/>
  <c r="BO585" i="3"/>
  <c r="BP585" i="3"/>
  <c r="BM586" i="3"/>
  <c r="BN586" i="3"/>
  <c r="BL586" i="3" s="1"/>
  <c r="AZ586" i="3" s="1"/>
  <c r="BO586" i="3"/>
  <c r="BP586" i="3"/>
  <c r="BM587" i="3"/>
  <c r="BN587" i="3"/>
  <c r="BL587" i="3" s="1"/>
  <c r="AZ587" i="3" s="1"/>
  <c r="BO587" i="3"/>
  <c r="BP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L21" i="6"/>
  <c r="B52" i="1"/>
  <c r="F34" i="79" s="1"/>
  <c r="F62" i="79" s="1"/>
  <c r="I15" i="4"/>
  <c r="F8" i="1" s="1"/>
  <c r="J50" i="79"/>
  <c r="J51" i="79" s="1"/>
  <c r="M47" i="79"/>
  <c r="B24" i="1"/>
  <c r="G1" i="78"/>
  <c r="F32" i="78"/>
  <c r="F15" i="78"/>
  <c r="F17" i="78"/>
  <c r="F18" i="78"/>
  <c r="F20" i="78"/>
  <c r="F23" i="78"/>
  <c r="F21" i="78"/>
  <c r="F28" i="78"/>
  <c r="C28" i="78" s="1"/>
  <c r="F33" i="78"/>
  <c r="L20" i="6"/>
  <c r="F7" i="1"/>
  <c r="J50" i="78"/>
  <c r="J51" i="78"/>
  <c r="M47" i="78"/>
  <c r="G1" i="15"/>
  <c r="R48" i="34"/>
  <c r="C7" i="34"/>
  <c r="E7" i="34" s="1"/>
  <c r="F8" i="34"/>
  <c r="AA8" i="34" s="1"/>
  <c r="C64" i="34"/>
  <c r="F9" i="34" s="1"/>
  <c r="AA9" i="34" s="1"/>
  <c r="F10" i="34"/>
  <c r="AA10" i="34" s="1"/>
  <c r="F11" i="34"/>
  <c r="AA11" i="34" s="1"/>
  <c r="B71" i="34"/>
  <c r="F12" i="34" s="1"/>
  <c r="AA12" i="34" s="1"/>
  <c r="B73" i="34"/>
  <c r="F13" i="34"/>
  <c r="AA13" i="34" s="1"/>
  <c r="B75" i="34"/>
  <c r="F14" i="34" s="1"/>
  <c r="AA14" i="34" s="1"/>
  <c r="D78" i="34"/>
  <c r="E78" i="34"/>
  <c r="F15" i="34"/>
  <c r="AA15" i="34"/>
  <c r="D80" i="34"/>
  <c r="E80" i="34"/>
  <c r="F17" i="34" s="1"/>
  <c r="AA17" i="34" s="1"/>
  <c r="D82" i="34"/>
  <c r="E82" i="34"/>
  <c r="F19" i="34" s="1"/>
  <c r="AA19" i="34" s="1"/>
  <c r="D84" i="34"/>
  <c r="F21" i="34"/>
  <c r="AA21" i="34" s="1"/>
  <c r="D86" i="34"/>
  <c r="E86" i="34" s="1"/>
  <c r="D88" i="34"/>
  <c r="E88" i="34" s="1"/>
  <c r="F88" i="34" s="1"/>
  <c r="G88" i="34" s="1"/>
  <c r="B89" i="34"/>
  <c r="F27" i="34" s="1"/>
  <c r="AA27" i="34" s="1"/>
  <c r="B91" i="34"/>
  <c r="F28" i="34"/>
  <c r="AA28" i="34" s="1"/>
  <c r="B93" i="34"/>
  <c r="F29" i="34" s="1"/>
  <c r="AA29" i="34" s="1"/>
  <c r="B95" i="34"/>
  <c r="F30" i="34"/>
  <c r="AA30" i="34" s="1"/>
  <c r="B97" i="34"/>
  <c r="F31" i="34" s="1"/>
  <c r="AA31" i="34" s="1"/>
  <c r="B99" i="34"/>
  <c r="F32" i="34"/>
  <c r="AA32" i="34" s="1"/>
  <c r="F33" i="34"/>
  <c r="AA33" i="34" s="1"/>
  <c r="F34" i="34"/>
  <c r="AA34" i="34" s="1"/>
  <c r="F35" i="34"/>
  <c r="AA35" i="34" s="1"/>
  <c r="F36" i="34"/>
  <c r="AA36" i="34" s="1"/>
  <c r="D112" i="34"/>
  <c r="E112" i="34" s="1"/>
  <c r="F112" i="34" s="1"/>
  <c r="G112" i="34" s="1"/>
  <c r="F38" i="34"/>
  <c r="AA38" i="34" s="1"/>
  <c r="F39" i="34"/>
  <c r="AA39" i="34" s="1"/>
  <c r="D118" i="34"/>
  <c r="F40" i="34" s="1"/>
  <c r="AA40" i="34" s="1"/>
  <c r="D120" i="34"/>
  <c r="F41" i="34"/>
  <c r="AA41" i="34" s="1"/>
  <c r="F42" i="34"/>
  <c r="AA42" i="34" s="1"/>
  <c r="F43" i="34"/>
  <c r="AA43" i="34" s="1"/>
  <c r="D126" i="34"/>
  <c r="F44" i="34" s="1"/>
  <c r="AA44" i="34" s="1"/>
  <c r="B127" i="34"/>
  <c r="F45" i="34" s="1"/>
  <c r="AA45" i="34" s="1"/>
  <c r="B129" i="34"/>
  <c r="F46" i="34"/>
  <c r="AA46" i="34" s="1"/>
  <c r="B131" i="34"/>
  <c r="F47" i="34" s="1"/>
  <c r="AA47" i="34" s="1"/>
  <c r="T48" i="34"/>
  <c r="H8" i="34"/>
  <c r="AB8" i="34" s="1"/>
  <c r="H9" i="34"/>
  <c r="AB9" i="34" s="1"/>
  <c r="H10" i="34"/>
  <c r="AB10" i="34"/>
  <c r="H11" i="34"/>
  <c r="AB11" i="34"/>
  <c r="H13" i="34"/>
  <c r="AB13" i="34"/>
  <c r="H15" i="34"/>
  <c r="AB15" i="34"/>
  <c r="H21" i="34"/>
  <c r="AB21" i="34"/>
  <c r="H28" i="34"/>
  <c r="AB28" i="34"/>
  <c r="H30" i="34"/>
  <c r="AB30" i="34"/>
  <c r="H32" i="34"/>
  <c r="AB32" i="34"/>
  <c r="H33" i="34"/>
  <c r="AB33" i="34"/>
  <c r="H34" i="34"/>
  <c r="AB34" i="34"/>
  <c r="H35" i="34"/>
  <c r="AB35" i="34"/>
  <c r="H36" i="34"/>
  <c r="AB36" i="34"/>
  <c r="H38" i="34"/>
  <c r="AB38" i="34"/>
  <c r="H39" i="34"/>
  <c r="AB39" i="34"/>
  <c r="H41" i="34"/>
  <c r="AB41" i="34"/>
  <c r="H42" i="34"/>
  <c r="AB42" i="34"/>
  <c r="H43" i="34"/>
  <c r="AB43" i="34"/>
  <c r="H44" i="34"/>
  <c r="AB44" i="34" s="1"/>
  <c r="H45" i="34"/>
  <c r="AB45" i="34" s="1"/>
  <c r="H46" i="34"/>
  <c r="AB46" i="34" s="1"/>
  <c r="H47" i="34"/>
  <c r="AB47" i="34" s="1"/>
  <c r="V48" i="34"/>
  <c r="J8" i="34"/>
  <c r="AC8" i="34" s="1"/>
  <c r="J9" i="34"/>
  <c r="AC9" i="34" s="1"/>
  <c r="J10" i="34"/>
  <c r="AC10" i="34"/>
  <c r="J11" i="34"/>
  <c r="AC11" i="34"/>
  <c r="J12" i="34"/>
  <c r="AC12" i="34"/>
  <c r="J13" i="34"/>
  <c r="AC13" i="34"/>
  <c r="J14" i="34"/>
  <c r="AC14" i="34"/>
  <c r="J15" i="34"/>
  <c r="AC15" i="34"/>
  <c r="J17" i="34"/>
  <c r="AC17" i="34"/>
  <c r="J19" i="34"/>
  <c r="AC19" i="34" s="1"/>
  <c r="J21" i="34"/>
  <c r="AC21" i="34" s="1"/>
  <c r="J27" i="34"/>
  <c r="AC27" i="34" s="1"/>
  <c r="J28" i="34"/>
  <c r="AC28" i="34" s="1"/>
  <c r="J29" i="34"/>
  <c r="AC29" i="34" s="1"/>
  <c r="J30" i="34"/>
  <c r="AC30" i="34" s="1"/>
  <c r="J31" i="34"/>
  <c r="AC31" i="34" s="1"/>
  <c r="J32" i="34"/>
  <c r="AC32" i="34" s="1"/>
  <c r="J33" i="34"/>
  <c r="AC33" i="34" s="1"/>
  <c r="J34" i="34"/>
  <c r="AC34" i="34" s="1"/>
  <c r="J35" i="34"/>
  <c r="AC35" i="34" s="1"/>
  <c r="J36" i="34"/>
  <c r="AC36" i="34" s="1"/>
  <c r="J38" i="34"/>
  <c r="AC38" i="34" s="1"/>
  <c r="J39" i="34"/>
  <c r="AC39" i="34" s="1"/>
  <c r="J40" i="34"/>
  <c r="AC40" i="34" s="1"/>
  <c r="J41" i="34"/>
  <c r="AC41" i="34" s="1"/>
  <c r="J42" i="34"/>
  <c r="AC42" i="34" s="1"/>
  <c r="J43" i="34"/>
  <c r="AC43" i="34" s="1"/>
  <c r="J44" i="34"/>
  <c r="AC44" i="34" s="1"/>
  <c r="J45" i="34"/>
  <c r="AC45" i="34" s="1"/>
  <c r="J46" i="34"/>
  <c r="AC46" i="34" s="1"/>
  <c r="J47" i="34"/>
  <c r="AC47" i="34" s="1"/>
  <c r="K6" i="1"/>
  <c r="F32" i="15"/>
  <c r="M6" i="1"/>
  <c r="F15" i="15"/>
  <c r="F17" i="15"/>
  <c r="F18" i="15"/>
  <c r="F20" i="15"/>
  <c r="F23" i="15"/>
  <c r="F21" i="15"/>
  <c r="F28" i="15"/>
  <c r="C28" i="15" s="1"/>
  <c r="F33" i="15"/>
  <c r="L19" i="6"/>
  <c r="F34" i="15"/>
  <c r="F6" i="1"/>
  <c r="J50" i="15"/>
  <c r="J51" i="15"/>
  <c r="M47" i="15"/>
  <c r="H13" i="4"/>
  <c r="G13" i="4"/>
  <c r="A9" i="1"/>
  <c r="R9" i="1" s="1"/>
  <c r="AE9" i="1"/>
  <c r="D8" i="1"/>
  <c r="K59" i="79"/>
  <c r="P74" i="79" s="1"/>
  <c r="Q72" i="79"/>
  <c r="F60" i="79"/>
  <c r="Q59" i="79"/>
  <c r="F59" i="79"/>
  <c r="Q58" i="79"/>
  <c r="Q51" i="79"/>
  <c r="D46" i="79"/>
  <c r="F31" i="79"/>
  <c r="AG8" i="1"/>
  <c r="M18" i="79"/>
  <c r="M19" i="79"/>
  <c r="M20" i="79"/>
  <c r="D24" i="79"/>
  <c r="D22" i="79"/>
  <c r="M17" i="79"/>
  <c r="D7" i="1"/>
  <c r="G7" i="1" s="1"/>
  <c r="K59" i="78"/>
  <c r="P74" i="78" s="1"/>
  <c r="Q72" i="78"/>
  <c r="F60" i="78"/>
  <c r="F61" i="78"/>
  <c r="P61" i="78"/>
  <c r="Q59" i="78"/>
  <c r="F59" i="78"/>
  <c r="Q58" i="78"/>
  <c r="Q51" i="78"/>
  <c r="D46" i="78"/>
  <c r="F31" i="78"/>
  <c r="AG7" i="1"/>
  <c r="M18" i="78"/>
  <c r="M19" i="78"/>
  <c r="M20" i="78"/>
  <c r="D24" i="78"/>
  <c r="D23" i="78"/>
  <c r="D22" i="78"/>
  <c r="M17" i="78"/>
  <c r="E25" i="34"/>
  <c r="I25" i="34"/>
  <c r="BB11" i="3"/>
  <c r="BC11" i="3"/>
  <c r="E5" i="6" s="1"/>
  <c r="D9" i="68" s="1"/>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I4" i="6" s="1"/>
  <c r="G3" i="43" s="1"/>
  <c r="AE5" i="3"/>
  <c r="AF5" i="3"/>
  <c r="AG5" i="3"/>
  <c r="AH5" i="3"/>
  <c r="AI5" i="3"/>
  <c r="AJ5" i="3"/>
  <c r="AK5" i="3"/>
  <c r="AL5" i="3"/>
  <c r="AM5" i="3"/>
  <c r="AN5" i="3"/>
  <c r="AO5" i="3"/>
  <c r="AP5" i="3"/>
  <c r="AQ5" i="3"/>
  <c r="AR5" i="3"/>
  <c r="AS5" i="3"/>
  <c r="BB5" i="3"/>
  <c r="BC5" i="3"/>
  <c r="BD5" i="3"/>
  <c r="BE5" i="3"/>
  <c r="BF5" i="3"/>
  <c r="BG5" i="3"/>
  <c r="BH5" i="3"/>
  <c r="BI5" i="3"/>
  <c r="BJ5" i="3"/>
  <c r="BK5" i="3"/>
  <c r="BM5" i="3"/>
  <c r="BN5" i="3"/>
  <c r="BO5" i="3"/>
  <c r="BP5" i="3"/>
  <c r="C19" i="68"/>
  <c r="F16" i="4"/>
  <c r="M47" i="67"/>
  <c r="J53" i="67"/>
  <c r="N6" i="71"/>
  <c r="B6" i="71"/>
  <c r="S6" i="71" s="1"/>
  <c r="N5" i="71"/>
  <c r="B5" i="71"/>
  <c r="O6" i="71"/>
  <c r="C6" i="71"/>
  <c r="O5" i="71"/>
  <c r="C5" i="71"/>
  <c r="D5" i="71" s="1"/>
  <c r="P6" i="71"/>
  <c r="E6" i="71" s="1"/>
  <c r="P5" i="71"/>
  <c r="Q6" i="71"/>
  <c r="F6" i="71" s="1"/>
  <c r="F5" i="71" s="1"/>
  <c r="Q5" i="71"/>
  <c r="D6" i="71"/>
  <c r="U6" i="71" s="1"/>
  <c r="D7" i="71"/>
  <c r="N10" i="71"/>
  <c r="B10" i="71" s="1"/>
  <c r="N9" i="71"/>
  <c r="N8" i="71"/>
  <c r="O10" i="71"/>
  <c r="C10" i="71" s="1"/>
  <c r="O9" i="71"/>
  <c r="O8" i="71"/>
  <c r="Y6" i="71" s="1"/>
  <c r="Z6" i="71" s="1"/>
  <c r="P10" i="71"/>
  <c r="E10" i="71"/>
  <c r="P9" i="71"/>
  <c r="E9" i="71"/>
  <c r="P8" i="71"/>
  <c r="E8" i="71"/>
  <c r="Q10" i="71"/>
  <c r="F10" i="71"/>
  <c r="Q9" i="71"/>
  <c r="F9" i="71"/>
  <c r="Q8" i="71"/>
  <c r="F8" i="71"/>
  <c r="D11" i="71"/>
  <c r="N11" i="71"/>
  <c r="B12" i="71" s="1"/>
  <c r="B13" i="71" s="1"/>
  <c r="B14" i="71" s="1"/>
  <c r="S14" i="71" s="1"/>
  <c r="O11" i="71"/>
  <c r="C12" i="71" s="1"/>
  <c r="P11" i="71"/>
  <c r="E12" i="71"/>
  <c r="E13" i="71" s="1"/>
  <c r="E14" i="71" s="1"/>
  <c r="U14" i="71" s="1"/>
  <c r="Q11" i="71"/>
  <c r="F12" i="71"/>
  <c r="F13" i="71" s="1"/>
  <c r="F14" i="71" s="1"/>
  <c r="V14" i="71" s="1"/>
  <c r="N12" i="71"/>
  <c r="O12" i="71"/>
  <c r="P12" i="71"/>
  <c r="Q12" i="71"/>
  <c r="N13" i="71"/>
  <c r="O13" i="71"/>
  <c r="P13" i="71"/>
  <c r="Q13" i="71"/>
  <c r="D15" i="71"/>
  <c r="N15" i="71"/>
  <c r="B16" i="71" s="1"/>
  <c r="B17" i="71" s="1"/>
  <c r="B18" i="71" s="1"/>
  <c r="S18" i="71" s="1"/>
  <c r="O15" i="71"/>
  <c r="C16" i="71" s="1"/>
  <c r="P15" i="71"/>
  <c r="E16" i="71"/>
  <c r="E17" i="71" s="1"/>
  <c r="E18" i="71" s="1"/>
  <c r="U18" i="71" s="1"/>
  <c r="Q15" i="71"/>
  <c r="F16" i="71"/>
  <c r="F17" i="71" s="1"/>
  <c r="F18" i="71" s="1"/>
  <c r="V18" i="71" s="1"/>
  <c r="N16" i="71"/>
  <c r="O16" i="71"/>
  <c r="P16" i="71"/>
  <c r="Q16" i="71"/>
  <c r="N17" i="71"/>
  <c r="O17" i="71"/>
  <c r="P17" i="71"/>
  <c r="Q17" i="71"/>
  <c r="D19" i="71"/>
  <c r="N19" i="71"/>
  <c r="B20" i="71" s="1"/>
  <c r="B21" i="71" s="1"/>
  <c r="B22" i="71" s="1"/>
  <c r="S22" i="71" s="1"/>
  <c r="O19" i="71"/>
  <c r="C20" i="71" s="1"/>
  <c r="P19" i="71"/>
  <c r="E20" i="71"/>
  <c r="E21" i="71" s="1"/>
  <c r="E22" i="71" s="1"/>
  <c r="U22" i="71" s="1"/>
  <c r="Q19" i="71"/>
  <c r="F20" i="71"/>
  <c r="F21" i="71" s="1"/>
  <c r="F22" i="71" s="1"/>
  <c r="N20" i="71"/>
  <c r="O20" i="71"/>
  <c r="P20" i="71"/>
  <c r="Q20" i="71"/>
  <c r="N21" i="71"/>
  <c r="O21" i="71"/>
  <c r="P21" i="71"/>
  <c r="Q21" i="71"/>
  <c r="J20" i="43"/>
  <c r="G2" i="43"/>
  <c r="I2" i="43"/>
  <c r="M5" i="43" s="1"/>
  <c r="C6" i="43" s="1"/>
  <c r="G17" i="43"/>
  <c r="H17" i="43"/>
  <c r="I17" i="43"/>
  <c r="J17" i="43"/>
  <c r="C17" i="43"/>
  <c r="C16" i="43"/>
  <c r="D5" i="43"/>
  <c r="F33" i="43"/>
  <c r="D82" i="43"/>
  <c r="D85" i="43"/>
  <c r="K88" i="43"/>
  <c r="D88" i="43"/>
  <c r="K87" i="43"/>
  <c r="D87" i="43" s="1"/>
  <c r="D86" i="43"/>
  <c r="H33" i="43"/>
  <c r="F34" i="43"/>
  <c r="F35" i="43"/>
  <c r="F36" i="43"/>
  <c r="F37" i="43"/>
  <c r="F38" i="43"/>
  <c r="F39" i="43"/>
  <c r="C99" i="43"/>
  <c r="C108" i="43" s="1"/>
  <c r="D99" i="43"/>
  <c r="D108" i="43" s="1"/>
  <c r="H113" i="43"/>
  <c r="F113" i="43"/>
  <c r="N7" i="71"/>
  <c r="N14" i="71"/>
  <c r="X6" i="71" s="1"/>
  <c r="N18" i="71"/>
  <c r="X5" i="71"/>
  <c r="Q7" i="71"/>
  <c r="Q14" i="71"/>
  <c r="Q18" i="71"/>
  <c r="AB5" i="71"/>
  <c r="P7" i="71"/>
  <c r="P14" i="71"/>
  <c r="P18" i="71"/>
  <c r="AA5" i="71"/>
  <c r="O7" i="71"/>
  <c r="O14" i="71"/>
  <c r="O18" i="71"/>
  <c r="Y5" i="71"/>
  <c r="Z5" i="71" s="1"/>
  <c r="T6" i="71"/>
  <c r="AB6" i="71"/>
  <c r="AA6" i="71"/>
  <c r="A2" i="53"/>
  <c r="K59" i="67"/>
  <c r="P61" i="67" s="1"/>
  <c r="K59" i="15"/>
  <c r="P74" i="15" s="1"/>
  <c r="P61" i="15"/>
  <c r="D116" i="39"/>
  <c r="E116" i="39"/>
  <c r="F116" i="39"/>
  <c r="G116" i="39"/>
  <c r="H116" i="39"/>
  <c r="I116" i="39"/>
  <c r="J116" i="39"/>
  <c r="K116" i="39"/>
  <c r="L116" i="39"/>
  <c r="M116" i="39"/>
  <c r="C116" i="39"/>
  <c r="A21" i="62"/>
  <c r="A20" i="62"/>
  <c r="B66" i="72" s="1"/>
  <c r="A22" i="51"/>
  <c r="A21" i="51"/>
  <c r="A20" i="51"/>
  <c r="L20" i="4"/>
  <c r="L21" i="4"/>
  <c r="L22" i="4"/>
  <c r="A15" i="62" s="1"/>
  <c r="B61" i="72" s="1"/>
  <c r="A14" i="62"/>
  <c r="A13" i="62"/>
  <c r="A19" i="62"/>
  <c r="B65" i="72" s="1"/>
  <c r="A12" i="62"/>
  <c r="B58" i="72" s="1"/>
  <c r="A120" i="9"/>
  <c r="A6" i="52" s="1"/>
  <c r="B57" i="72" s="1"/>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67" i="72"/>
  <c r="B10" i="72"/>
  <c r="C53" i="10"/>
  <c r="B51" i="10"/>
  <c r="A13" i="51" s="1"/>
  <c r="B11" i="72" s="1"/>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AB18" i="71"/>
  <c r="Y18" i="71"/>
  <c r="Z18" i="71"/>
  <c r="AB17" i="71"/>
  <c r="Y17" i="71"/>
  <c r="Z17" i="71" s="1"/>
  <c r="AB16" i="71"/>
  <c r="Y16" i="71"/>
  <c r="Z16" i="71"/>
  <c r="AB14" i="71"/>
  <c r="Y14" i="71"/>
  <c r="Z14" i="71"/>
  <c r="AB13" i="71"/>
  <c r="Y13" i="71"/>
  <c r="Z13" i="71" s="1"/>
  <c r="AB12" i="71"/>
  <c r="Y12" i="71"/>
  <c r="Z12" i="71"/>
  <c r="X11" i="71"/>
  <c r="AA11" i="71"/>
  <c r="X15" i="71"/>
  <c r="X19" i="71"/>
  <c r="AA19" i="71"/>
  <c r="N50" i="71"/>
  <c r="AA15" i="71"/>
  <c r="Y11" i="71"/>
  <c r="Z11" i="71"/>
  <c r="AB11" i="71"/>
  <c r="X12" i="71"/>
  <c r="AA12" i="71"/>
  <c r="X13" i="71"/>
  <c r="AA13" i="71"/>
  <c r="X14" i="71"/>
  <c r="AA14" i="71"/>
  <c r="Y15" i="71"/>
  <c r="Z15" i="71" s="1"/>
  <c r="AB15" i="71"/>
  <c r="X16" i="71"/>
  <c r="AA16" i="71"/>
  <c r="X17" i="71"/>
  <c r="AA17" i="71"/>
  <c r="X18" i="71"/>
  <c r="AA18" i="71"/>
  <c r="Y19" i="71"/>
  <c r="Z19" i="71"/>
  <c r="AB19" i="71"/>
  <c r="X20" i="71"/>
  <c r="AA20" i="71"/>
  <c r="Y3" i="71"/>
  <c r="Z3" i="71"/>
  <c r="Y7" i="71"/>
  <c r="Z7" i="71"/>
  <c r="Y8" i="71"/>
  <c r="Z8" i="71"/>
  <c r="Y9" i="71"/>
  <c r="Z9" i="71"/>
  <c r="Y10" i="71"/>
  <c r="Z10" i="71"/>
  <c r="X7" i="71"/>
  <c r="X8" i="71"/>
  <c r="X9" i="71"/>
  <c r="X3" i="71"/>
  <c r="X10"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AB3" i="71"/>
  <c r="AB7" i="71"/>
  <c r="AB8" i="71"/>
  <c r="AB9" i="71"/>
  <c r="AB10" i="71"/>
  <c r="AA3" i="71"/>
  <c r="AA7" i="71"/>
  <c r="AA8" i="71"/>
  <c r="AA9"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AP8" i="1"/>
  <c r="AP9" i="1"/>
  <c r="AP10" i="1"/>
  <c r="AP11" i="1"/>
  <c r="AP12" i="1"/>
  <c r="AP13" i="1"/>
  <c r="L22" i="6"/>
  <c r="L23" i="6"/>
  <c r="L24" i="6"/>
  <c r="L25" i="6"/>
  <c r="L26" i="6"/>
  <c r="P27" i="6"/>
  <c r="A7" i="70"/>
  <c r="A8" i="70"/>
  <c r="A9" i="70"/>
  <c r="E9" i="70" s="1"/>
  <c r="A10" i="70"/>
  <c r="E10" i="70" s="1"/>
  <c r="A11" i="70"/>
  <c r="E11" i="70" s="1"/>
  <c r="A12" i="70"/>
  <c r="E12" i="70" s="1"/>
  <c r="A13" i="70"/>
  <c r="E13" i="70" s="1"/>
  <c r="A6" i="70"/>
  <c r="Q25" i="40"/>
  <c r="Z25" i="40"/>
  <c r="E94" i="40"/>
  <c r="Q29" i="39"/>
  <c r="Z29" i="39" s="1"/>
  <c r="D103" i="39"/>
  <c r="E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E84" i="34"/>
  <c r="F84" i="34" s="1"/>
  <c r="G84" i="34" s="1"/>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S21" i="34"/>
  <c r="F94" i="40"/>
  <c r="H25" i="40"/>
  <c r="G94" i="40"/>
  <c r="F103" i="39"/>
  <c r="H29" i="39"/>
  <c r="AB29" i="39" s="1"/>
  <c r="G103" i="39"/>
  <c r="J29" i="39"/>
  <c r="AC29" i="39" s="1"/>
  <c r="J18" i="36"/>
  <c r="AC18" i="36" s="1"/>
  <c r="H18" i="35"/>
  <c r="U18" i="35" s="1"/>
  <c r="J18" i="35"/>
  <c r="F77" i="37"/>
  <c r="H21" i="37"/>
  <c r="F21" i="37"/>
  <c r="AA21" i="37" s="1"/>
  <c r="H21" i="33"/>
  <c r="F21" i="33"/>
  <c r="S21" i="33" s="1"/>
  <c r="E83" i="21"/>
  <c r="S21" i="21"/>
  <c r="H1" i="69"/>
  <c r="W25" i="40"/>
  <c r="AB25" i="40"/>
  <c r="U25" i="40"/>
  <c r="U29" i="39"/>
  <c r="W29" i="39"/>
  <c r="W18" i="36"/>
  <c r="AB21" i="37"/>
  <c r="U21" i="37"/>
  <c r="S21" i="37"/>
  <c r="U21" i="34"/>
  <c r="U21" i="33"/>
  <c r="AB21" i="33"/>
  <c r="AA21" i="33"/>
  <c r="AB18" i="35"/>
  <c r="AC18" i="35"/>
  <c r="W18" i="35"/>
  <c r="G77" i="37"/>
  <c r="J21" i="37"/>
  <c r="J21" i="33"/>
  <c r="W21" i="33" s="1"/>
  <c r="F83" i="21"/>
  <c r="H21" i="21"/>
  <c r="U21" i="21" s="1"/>
  <c r="F38" i="69"/>
  <c r="E37" i="69"/>
  <c r="F36" i="69"/>
  <c r="F35" i="69"/>
  <c r="F21" i="69"/>
  <c r="C21" i="69"/>
  <c r="F20" i="69"/>
  <c r="E10" i="69"/>
  <c r="E9" i="69"/>
  <c r="F7" i="69"/>
  <c r="C7" i="69" s="1"/>
  <c r="AC21" i="37"/>
  <c r="W21" i="37"/>
  <c r="W21" i="34"/>
  <c r="AC21" i="33"/>
  <c r="AB21" i="21"/>
  <c r="G83" i="21"/>
  <c r="J21" i="21"/>
  <c r="C40" i="69"/>
  <c r="F38" i="68"/>
  <c r="E37" i="68"/>
  <c r="F36" i="68"/>
  <c r="F35" i="68"/>
  <c r="F21" i="68"/>
  <c r="C21" i="68" s="1"/>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D100" i="43"/>
  <c r="L100" i="43"/>
  <c r="G100" i="43"/>
  <c r="K100" i="43"/>
  <c r="B48" i="43"/>
  <c r="B84" i="43"/>
  <c r="B83" i="43"/>
  <c r="B72" i="43"/>
  <c r="B61" i="43"/>
  <c r="B50" i="43"/>
  <c r="D67" i="43"/>
  <c r="D60" i="43"/>
  <c r="D61" i="43"/>
  <c r="D62" i="43"/>
  <c r="D63" i="43"/>
  <c r="D64" i="43"/>
  <c r="D65" i="43"/>
  <c r="D66" i="43"/>
  <c r="D59" i="43"/>
  <c r="E59" i="43" s="1"/>
  <c r="B57" i="43" s="1"/>
  <c r="M88" i="43"/>
  <c r="N88" i="43"/>
  <c r="J88" i="43"/>
  <c r="M87" i="43"/>
  <c r="N87" i="43" s="1"/>
  <c r="J87" i="43"/>
  <c r="M86" i="43"/>
  <c r="N86" i="43"/>
  <c r="K86" i="43"/>
  <c r="J86" i="43"/>
  <c r="M85" i="43"/>
  <c r="N85" i="43"/>
  <c r="K85" i="43"/>
  <c r="J85" i="43"/>
  <c r="M84" i="43"/>
  <c r="D84" i="43" s="1"/>
  <c r="N84" i="43"/>
  <c r="K84" i="43"/>
  <c r="J84" i="43"/>
  <c r="M83" i="43"/>
  <c r="N83" i="43"/>
  <c r="K83" i="43"/>
  <c r="D83" i="43" s="1"/>
  <c r="J83" i="43"/>
  <c r="M82" i="43"/>
  <c r="N82" i="43"/>
  <c r="K82" i="43"/>
  <c r="J82" i="43"/>
  <c r="M81" i="43"/>
  <c r="N81" i="43"/>
  <c r="K81" i="43"/>
  <c r="D81" i="43" s="1"/>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G13" i="1" s="1"/>
  <c r="B8" i="1"/>
  <c r="E8" i="1" s="1"/>
  <c r="A10" i="1"/>
  <c r="A11" i="1"/>
  <c r="A12" i="1"/>
  <c r="A13" i="1"/>
  <c r="B13" i="1" s="1"/>
  <c r="E13" i="1" s="1"/>
  <c r="B11" i="1"/>
  <c r="E11" i="1" s="1"/>
  <c r="B7" i="1"/>
  <c r="E7" i="1" s="1"/>
  <c r="K10" i="1"/>
  <c r="M10" i="1" s="1"/>
  <c r="O10" i="1" s="1"/>
  <c r="P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A5" i="62"/>
  <c r="B72" i="72" s="1"/>
  <c r="A4" i="62"/>
  <c r="B70" i="72" s="1"/>
  <c r="F33" i="9"/>
  <c r="B13" i="53"/>
  <c r="B29" i="72" s="1"/>
  <c r="R35" i="4"/>
  <c r="Q35" i="4"/>
  <c r="P35" i="4"/>
  <c r="O35" i="4"/>
  <c r="N35" i="4"/>
  <c r="M35" i="4"/>
  <c r="L35" i="4"/>
  <c r="K34" i="4"/>
  <c r="T34" i="4" s="1"/>
  <c r="G11" i="1"/>
  <c r="H15" i="4"/>
  <c r="G15" i="4"/>
  <c r="E15" i="4"/>
  <c r="D15" i="4"/>
  <c r="F19" i="4"/>
  <c r="F2" i="52"/>
  <c r="B50" i="72" s="1"/>
  <c r="D2" i="52"/>
  <c r="B46" i="72" s="1"/>
  <c r="B8" i="53"/>
  <c r="B23" i="72" s="1"/>
  <c r="L4" i="9"/>
  <c r="B17" i="72"/>
  <c r="B15" i="72"/>
  <c r="A3" i="51"/>
  <c r="C8" i="11"/>
  <c r="B2" i="49"/>
  <c r="B23" i="49" s="1"/>
  <c r="B40" i="48"/>
  <c r="B3" i="72" s="1"/>
  <c r="F35" i="4"/>
  <c r="J55" i="39" s="1"/>
  <c r="H34" i="43"/>
  <c r="H35" i="43"/>
  <c r="H36" i="43"/>
  <c r="H37" i="43"/>
  <c r="C18" i="43"/>
  <c r="F15" i="43"/>
  <c r="E15" i="43"/>
  <c r="D15" i="43"/>
  <c r="C15" i="43"/>
  <c r="C10" i="43"/>
  <c r="C11" i="43"/>
  <c r="C9" i="43"/>
  <c r="A7" i="43"/>
  <c r="F61" i="15"/>
  <c r="M19" i="15"/>
  <c r="B23" i="1"/>
  <c r="D78" i="9"/>
  <c r="D24" i="15"/>
  <c r="BC10" i="3"/>
  <c r="BD10" i="3"/>
  <c r="BB10" i="3"/>
  <c r="F35" i="11"/>
  <c r="F36" i="11"/>
  <c r="F38" i="11"/>
  <c r="E37" i="11"/>
  <c r="F20" i="11"/>
  <c r="F21" i="11"/>
  <c r="C21" i="11"/>
  <c r="F7" i="11"/>
  <c r="C7" i="11"/>
  <c r="C5" i="11" s="1"/>
  <c r="F12" i="12"/>
  <c r="F13" i="12"/>
  <c r="F15" i="12"/>
  <c r="E14" i="12"/>
  <c r="E19" i="12"/>
  <c r="E20" i="12"/>
  <c r="E17" i="12"/>
  <c r="F22" i="12"/>
  <c r="F23" i="12"/>
  <c r="F24" i="12"/>
  <c r="C17" i="9"/>
  <c r="D17" i="9"/>
  <c r="I55" i="9"/>
  <c r="F55" i="9" s="1"/>
  <c r="O53" i="9" s="1"/>
  <c r="D89" i="9"/>
  <c r="C89" i="9" s="1"/>
  <c r="C87" i="9" s="1"/>
  <c r="G12" i="1"/>
  <c r="J55" i="9"/>
  <c r="B31" i="1"/>
  <c r="M20" i="15"/>
  <c r="T4" i="1"/>
  <c r="D3" i="35"/>
  <c r="E59" i="9"/>
  <c r="N55" i="9" s="1"/>
  <c r="K55" i="9"/>
  <c r="F59" i="9"/>
  <c r="N54" i="9"/>
  <c r="N53" i="9"/>
  <c r="E48" i="9"/>
  <c r="N52" i="9" s="1"/>
  <c r="O55" i="9"/>
  <c r="F56" i="9"/>
  <c r="O54" i="9"/>
  <c r="D101" i="9"/>
  <c r="C101" i="9"/>
  <c r="H104" i="9"/>
  <c r="D10" i="53"/>
  <c r="B26" i="72" s="1"/>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W42" i="34"/>
  <c r="W38" i="34"/>
  <c r="D114" i="34"/>
  <c r="S38" i="34"/>
  <c r="H112" i="34"/>
  <c r="I112" i="34" s="1"/>
  <c r="J112" i="34" s="1"/>
  <c r="K112" i="34" s="1"/>
  <c r="L112" i="34" s="1"/>
  <c r="M112" i="34" s="1"/>
  <c r="F40" i="33"/>
  <c r="AA40" i="33" s="1"/>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J39" i="40"/>
  <c r="E115" i="40"/>
  <c r="F115" i="40"/>
  <c r="G115" i="40" s="1"/>
  <c r="H115" i="40" s="1"/>
  <c r="I115" i="40" s="1"/>
  <c r="J115" i="40" s="1"/>
  <c r="K115" i="40" s="1"/>
  <c r="L115" i="40" s="1"/>
  <c r="M115" i="40" s="1"/>
  <c r="F113" i="40"/>
  <c r="G113" i="40" s="1"/>
  <c r="H113" i="40" s="1"/>
  <c r="I113" i="40" s="1"/>
  <c r="J113" i="40" s="1"/>
  <c r="K113" i="40" s="1"/>
  <c r="L113" i="40" s="1"/>
  <c r="M113" i="40" s="1"/>
  <c r="E111" i="40"/>
  <c r="M107" i="40"/>
  <c r="L107" i="40"/>
  <c r="K107" i="40"/>
  <c r="J107" i="40"/>
  <c r="H107" i="40"/>
  <c r="G107" i="40"/>
  <c r="F107" i="40"/>
  <c r="E107" i="40"/>
  <c r="D107" i="40"/>
  <c r="C107" i="40"/>
  <c r="J33" i="40"/>
  <c r="W33" i="40"/>
  <c r="J32" i="40"/>
  <c r="AC32" i="40"/>
  <c r="J31" i="40"/>
  <c r="AC31" i="40"/>
  <c r="D100" i="40"/>
  <c r="E100" i="40"/>
  <c r="F100" i="40" s="1"/>
  <c r="G100" i="40" s="1"/>
  <c r="H100" i="40" s="1"/>
  <c r="I100" i="40" s="1"/>
  <c r="J100" i="40" s="1"/>
  <c r="K100" i="40" s="1"/>
  <c r="L100" i="40" s="1"/>
  <c r="M100" i="40" s="1"/>
  <c r="J28" i="40"/>
  <c r="AC28" i="40"/>
  <c r="E96" i="40"/>
  <c r="F96" i="40"/>
  <c r="G96" i="40" s="1"/>
  <c r="H96" i="40" s="1"/>
  <c r="I96" i="40" s="1"/>
  <c r="J96" i="40" s="1"/>
  <c r="K96" i="40" s="1"/>
  <c r="L96" i="40" s="1"/>
  <c r="M96" i="40" s="1"/>
  <c r="F92" i="40"/>
  <c r="G92" i="40" s="1"/>
  <c r="F90" i="40"/>
  <c r="G90" i="40" s="1"/>
  <c r="E88" i="40"/>
  <c r="F86" i="40"/>
  <c r="G86" i="40"/>
  <c r="F84" i="40"/>
  <c r="G84" i="40"/>
  <c r="J12" i="40"/>
  <c r="M74" i="40"/>
  <c r="L74" i="40"/>
  <c r="K74" i="40"/>
  <c r="J74" i="40"/>
  <c r="I74" i="40"/>
  <c r="H74" i="40"/>
  <c r="G74" i="40"/>
  <c r="F74" i="40"/>
  <c r="E74" i="40"/>
  <c r="D74" i="40"/>
  <c r="C74" i="40"/>
  <c r="P43" i="40"/>
  <c r="P42" i="40"/>
  <c r="P41" i="40"/>
  <c r="Q40" i="40"/>
  <c r="Z40" i="40" s="1"/>
  <c r="J40" i="40"/>
  <c r="W40" i="40" s="1"/>
  <c r="H40" i="40"/>
  <c r="AB40" i="40" s="1"/>
  <c r="Q39" i="40"/>
  <c r="Z39" i="40" s="1"/>
  <c r="H39" i="40"/>
  <c r="U39" i="40" s="1"/>
  <c r="Q38" i="40"/>
  <c r="Z38" i="40" s="1"/>
  <c r="J38" i="40"/>
  <c r="AC38" i="40" s="1"/>
  <c r="H38" i="40"/>
  <c r="AB38" i="40" s="1"/>
  <c r="Q37" i="40"/>
  <c r="Z37" i="40" s="1"/>
  <c r="Q36" i="40"/>
  <c r="Z36" i="40" s="1"/>
  <c r="Q35" i="40"/>
  <c r="Z35" i="40" s="1"/>
  <c r="Q34" i="40"/>
  <c r="Z34" i="40" s="1"/>
  <c r="J34" i="40"/>
  <c r="AC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W9" i="40"/>
  <c r="S9"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E126" i="34"/>
  <c r="F126" i="34" s="1"/>
  <c r="G126" i="34" s="1"/>
  <c r="D124" i="34"/>
  <c r="E124" i="34"/>
  <c r="F124" i="34" s="1"/>
  <c r="G124" i="34"/>
  <c r="H124" i="34" s="1"/>
  <c r="I124" i="34" s="1"/>
  <c r="J124" i="34" s="1"/>
  <c r="K124" i="34" s="1"/>
  <c r="L124" i="34" s="1"/>
  <c r="M124" i="34" s="1"/>
  <c r="E118" i="34"/>
  <c r="F118" i="34"/>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H88" i="34"/>
  <c r="I88" i="34"/>
  <c r="J88" i="34" s="1"/>
  <c r="K88" i="34"/>
  <c r="L88" i="34" s="1"/>
  <c r="M88" i="34" s="1"/>
  <c r="F86" i="34"/>
  <c r="G86" i="34"/>
  <c r="F82" i="34"/>
  <c r="G82" i="34"/>
  <c r="F80" i="34"/>
  <c r="G80" i="34"/>
  <c r="F78" i="34"/>
  <c r="G78" i="34"/>
  <c r="D70" i="34"/>
  <c r="E70" i="34"/>
  <c r="M68" i="34"/>
  <c r="L68" i="34"/>
  <c r="K68" i="34"/>
  <c r="J68" i="34"/>
  <c r="I68" i="34"/>
  <c r="H68" i="34"/>
  <c r="G68" i="34"/>
  <c r="F68" i="34"/>
  <c r="E68" i="34"/>
  <c r="D68" i="34"/>
  <c r="C68" i="34"/>
  <c r="P50" i="34"/>
  <c r="P49"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W12" i="34"/>
  <c r="S12" i="34"/>
  <c r="Q11" i="34"/>
  <c r="Z11" i="34"/>
  <c r="Q10" i="34"/>
  <c r="Z10" i="34"/>
  <c r="Q9" i="34"/>
  <c r="Z9" i="34"/>
  <c r="U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W9" i="34"/>
  <c r="S34" i="34"/>
  <c r="U34" i="34"/>
  <c r="H39" i="33"/>
  <c r="AB39" i="33"/>
  <c r="F26" i="33"/>
  <c r="AA26" i="33"/>
  <c r="U33" i="33"/>
  <c r="U35" i="33"/>
  <c r="S40"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H23" i="40"/>
  <c r="AB23" i="40" s="1"/>
  <c r="H17" i="40"/>
  <c r="U17" i="40" s="1"/>
  <c r="J15" i="40"/>
  <c r="W15" i="40" s="1"/>
  <c r="W11" i="40"/>
  <c r="AB8" i="39"/>
  <c r="AB12" i="33"/>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F114" i="34" s="1"/>
  <c r="G114" i="34" s="1"/>
  <c r="H114" i="34" s="1"/>
  <c r="I114" i="34" s="1"/>
  <c r="J114" i="34" s="1"/>
  <c r="K114" i="34" s="1"/>
  <c r="L114" i="34" s="1"/>
  <c r="M114" i="34" s="1"/>
  <c r="U36" i="34"/>
  <c r="S35" i="34"/>
  <c r="S9" i="34"/>
  <c r="W8" i="34"/>
  <c r="W28" i="34"/>
  <c r="F41" i="33"/>
  <c r="AA41" i="33"/>
  <c r="S38" i="33"/>
  <c r="E113" i="33"/>
  <c r="F32" i="33"/>
  <c r="AA32" i="33"/>
  <c r="J19" i="33"/>
  <c r="AC19" i="33"/>
  <c r="J15" i="33"/>
  <c r="AC15" i="33"/>
  <c r="F11" i="33"/>
  <c r="AA11" i="33"/>
  <c r="S26" i="33"/>
  <c r="U40" i="33"/>
  <c r="W40" i="33"/>
  <c r="U8" i="33"/>
  <c r="S8" i="33"/>
  <c r="H28" i="40"/>
  <c r="U28" i="40" s="1"/>
  <c r="J17" i="40"/>
  <c r="W17" i="40" s="1"/>
  <c r="S15" i="40"/>
  <c r="H15" i="40"/>
  <c r="AB15" i="40"/>
  <c r="S12" i="36"/>
  <c r="AA12" i="36"/>
  <c r="AB30" i="36"/>
  <c r="AC34" i="36"/>
  <c r="U33" i="35"/>
  <c r="F29" i="35"/>
  <c r="S29" i="35"/>
  <c r="H29" i="35"/>
  <c r="AB29" i="35"/>
  <c r="H33" i="37"/>
  <c r="AB33" i="37"/>
  <c r="F33" i="37"/>
  <c r="AA33" i="37"/>
  <c r="U34" i="37"/>
  <c r="W33" i="37"/>
  <c r="S34" i="37"/>
  <c r="AA34" i="37"/>
  <c r="W36" i="34"/>
  <c r="W17" i="34"/>
  <c r="S15" i="34"/>
  <c r="S41" i="33"/>
  <c r="F113" i="33"/>
  <c r="G113" i="33" s="1"/>
  <c r="H113" i="33" s="1"/>
  <c r="I113" i="33" s="1"/>
  <c r="J113" i="33" s="1"/>
  <c r="K113" i="33" s="1"/>
  <c r="L113" i="33" s="1"/>
  <c r="M113" i="33" s="1"/>
  <c r="H37" i="33"/>
  <c r="AB37" i="33" s="1"/>
  <c r="H15" i="33"/>
  <c r="AB15" i="33" s="1"/>
  <c r="H11" i="33"/>
  <c r="AB11" i="33" s="1"/>
  <c r="AA29" i="35"/>
  <c r="S42" i="34"/>
  <c r="J11" i="33"/>
  <c r="W11" i="33" s="1"/>
  <c r="S28" i="34"/>
  <c r="G123" i="21"/>
  <c r="H123" i="21" s="1"/>
  <c r="I123" i="21" s="1"/>
  <c r="J123" i="21" s="1"/>
  <c r="K123" i="21" s="1"/>
  <c r="L123" i="21" s="1"/>
  <c r="M123" i="21" s="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W14" i="34"/>
  <c r="S14" i="34"/>
  <c r="S30" i="34"/>
  <c r="W30" i="34"/>
  <c r="W32" i="34"/>
  <c r="U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S12" i="40"/>
  <c r="H12" i="40"/>
  <c r="AB12" i="40" s="1"/>
  <c r="H30" i="40"/>
  <c r="AB30" i="40" s="1"/>
  <c r="H33" i="40"/>
  <c r="U33" i="40"/>
  <c r="J37" i="40"/>
  <c r="AC37" i="40"/>
  <c r="H13" i="40"/>
  <c r="U13" i="40"/>
  <c r="J13" i="40"/>
  <c r="W13" i="40"/>
  <c r="F14" i="37"/>
  <c r="S14" i="37"/>
  <c r="F27" i="37"/>
  <c r="AA27" i="37"/>
  <c r="F13" i="39"/>
  <c r="J13" i="39"/>
  <c r="W13" i="39" s="1"/>
  <c r="H13" i="39"/>
  <c r="H14" i="40"/>
  <c r="AB14" i="40"/>
  <c r="J14" i="40"/>
  <c r="W14" i="40"/>
  <c r="J14" i="37"/>
  <c r="AC14" i="37"/>
  <c r="J27" i="37"/>
  <c r="AC27" i="37"/>
  <c r="AA13" i="35"/>
  <c r="U46" i="33"/>
  <c r="J36" i="37"/>
  <c r="AC36" i="37" s="1"/>
  <c r="G105" i="37"/>
  <c r="AB11" i="35"/>
  <c r="J10" i="36"/>
  <c r="AC10" i="36"/>
  <c r="AB30" i="21"/>
  <c r="AA14" i="37"/>
  <c r="W31" i="34"/>
  <c r="W13" i="36"/>
  <c r="W11" i="36"/>
  <c r="S45" i="33"/>
  <c r="AB31" i="33"/>
  <c r="W29"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S26" i="36" s="1"/>
  <c r="U35" i="34"/>
  <c r="S41" i="34"/>
  <c r="U41" i="34"/>
  <c r="F10" i="35"/>
  <c r="S10" i="35"/>
  <c r="F24" i="35"/>
  <c r="AA24" i="35"/>
  <c r="H24" i="35"/>
  <c r="AB24" i="35"/>
  <c r="H23" i="37"/>
  <c r="AB23" i="37"/>
  <c r="J32" i="37"/>
  <c r="AC32" i="37"/>
  <c r="F36" i="37"/>
  <c r="AA36" i="37"/>
  <c r="F37" i="37"/>
  <c r="AA37" i="37"/>
  <c r="H31" i="40"/>
  <c r="U31"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AC32" i="36"/>
  <c r="AC33" i="36"/>
  <c r="U35" i="35"/>
  <c r="W23" i="35"/>
  <c r="W14" i="37"/>
  <c r="AB28" i="37"/>
  <c r="U33" i="37"/>
  <c r="U39" i="37"/>
  <c r="AC8" i="37"/>
  <c r="U26" i="37"/>
  <c r="W47" i="34"/>
  <c r="AA13" i="33"/>
  <c r="AC45" i="33"/>
  <c r="U11" i="33"/>
  <c r="U19" i="21"/>
  <c r="W44" i="21"/>
  <c r="U26" i="21"/>
  <c r="AC46" i="21"/>
  <c r="U12" i="21"/>
  <c r="AB38" i="21"/>
  <c r="F43" i="33"/>
  <c r="AA43" i="33"/>
  <c r="W15" i="34"/>
  <c r="W16" i="35"/>
  <c r="G107" i="37"/>
  <c r="H107" i="37" s="1"/>
  <c r="I107" i="37" s="1"/>
  <c r="J107" i="37" s="1"/>
  <c r="K107" i="37" s="1"/>
  <c r="L107" i="37" s="1"/>
  <c r="M107" i="37" s="1"/>
  <c r="H37" i="21"/>
  <c r="U37" i="2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H103" i="9"/>
  <c r="D8" i="53" s="1"/>
  <c r="B16" i="53"/>
  <c r="B33" i="72" s="1"/>
  <c r="C7" i="37"/>
  <c r="C7" i="36"/>
  <c r="W35" i="40"/>
  <c r="A118" i="9"/>
  <c r="A4" i="52"/>
  <c r="B41" i="72" s="1"/>
  <c r="J11" i="39"/>
  <c r="W11" i="39" s="1"/>
  <c r="F11" i="39"/>
  <c r="AA11" i="39" s="1"/>
  <c r="S11" i="39"/>
  <c r="G4" i="4"/>
  <c r="I4" i="4"/>
  <c r="K5" i="4"/>
  <c r="B47" i="48"/>
  <c r="A2" i="9"/>
  <c r="N2" i="43"/>
  <c r="F59" i="43"/>
  <c r="F29" i="6"/>
  <c r="E8" i="6"/>
  <c r="F27" i="6"/>
  <c r="U36" i="40"/>
  <c r="N4" i="43"/>
  <c r="N5" i="43"/>
  <c r="F81" i="43"/>
  <c r="H83" i="43" s="1"/>
  <c r="F48" i="43"/>
  <c r="H52" i="43" s="1"/>
  <c r="N7" i="43"/>
  <c r="F70" i="43"/>
  <c r="H73" i="43"/>
  <c r="M6" i="43"/>
  <c r="M11" i="43"/>
  <c r="E17" i="43"/>
  <c r="U17" i="39"/>
  <c r="S14" i="35"/>
  <c r="U43" i="21"/>
  <c r="U35" i="21"/>
  <c r="AC35" i="21"/>
  <c r="U10" i="21"/>
  <c r="G8" i="1"/>
  <c r="G9" i="1"/>
  <c r="G10" i="1"/>
  <c r="F48" i="9"/>
  <c r="O52" i="9"/>
  <c r="W37" i="37"/>
  <c r="W44" i="34"/>
  <c r="S15" i="37"/>
  <c r="U13" i="37"/>
  <c r="U12" i="40"/>
  <c r="J37" i="33"/>
  <c r="W37" i="33"/>
  <c r="F106" i="33"/>
  <c r="G106" i="33"/>
  <c r="H106" i="33" s="1"/>
  <c r="I106" i="33" s="1"/>
  <c r="J106" i="33" s="1"/>
  <c r="K106" i="33" s="1"/>
  <c r="L106" i="33" s="1"/>
  <c r="M106" i="33" s="1"/>
  <c r="J34" i="33"/>
  <c r="W34" i="33"/>
  <c r="S33" i="34"/>
  <c r="W12" i="36"/>
  <c r="AC12" i="36"/>
  <c r="H20" i="36"/>
  <c r="U20" i="36" s="1"/>
  <c r="J20" i="36"/>
  <c r="W20" i="36" s="1"/>
  <c r="W24" i="36"/>
  <c r="J27" i="36"/>
  <c r="W27" i="36"/>
  <c r="AB25" i="37"/>
  <c r="AC33" i="40"/>
  <c r="F111" i="40"/>
  <c r="G111" i="40"/>
  <c r="H111" i="40" s="1"/>
  <c r="I111" i="40" s="1"/>
  <c r="J111" i="40" s="1"/>
  <c r="K111" i="40" s="1"/>
  <c r="L111" i="40" s="1"/>
  <c r="M111" i="40" s="1"/>
  <c r="AC29" i="35"/>
  <c r="W29" i="35"/>
  <c r="H35" i="37"/>
  <c r="U35" i="37"/>
  <c r="AC14" i="35"/>
  <c r="H20" i="35"/>
  <c r="U20" i="35" s="1"/>
  <c r="F20" i="35"/>
  <c r="AA20" i="35" s="1"/>
  <c r="AB23" i="35"/>
  <c r="AB29" i="36"/>
  <c r="U29" i="36"/>
  <c r="H32" i="37"/>
  <c r="AB32" i="37"/>
  <c r="F96" i="37"/>
  <c r="H27" i="40"/>
  <c r="U27" i="40" s="1"/>
  <c r="J27" i="40"/>
  <c r="AC27" i="40" s="1"/>
  <c r="S27" i="40"/>
  <c r="J30" i="40"/>
  <c r="AC30" i="40"/>
  <c r="AC21" i="40"/>
  <c r="S31" i="39"/>
  <c r="S11" i="40"/>
  <c r="H98" i="40"/>
  <c r="I98" i="40" s="1"/>
  <c r="J98" i="40" s="1"/>
  <c r="K98" i="40" s="1"/>
  <c r="L98" i="40" s="1"/>
  <c r="M98" i="40" s="1"/>
  <c r="F10" i="33"/>
  <c r="S10" i="33" s="1"/>
  <c r="F34" i="33"/>
  <c r="S34" i="33" s="1"/>
  <c r="H34" i="33"/>
  <c r="U34" i="33" s="1"/>
  <c r="F35" i="33"/>
  <c r="S35" i="33" s="1"/>
  <c r="S39" i="34"/>
  <c r="W39" i="34"/>
  <c r="S40" i="34"/>
  <c r="AC38" i="39"/>
  <c r="F39" i="39"/>
  <c r="S39" i="39" s="1"/>
  <c r="J39" i="39"/>
  <c r="AC39" i="39" s="1"/>
  <c r="E97" i="39"/>
  <c r="F97" i="39" s="1"/>
  <c r="G97" i="39" s="1"/>
  <c r="C40" i="11"/>
  <c r="H75" i="43"/>
  <c r="H74" i="43"/>
  <c r="H50" i="43"/>
  <c r="H49" i="43"/>
  <c r="H48" i="43"/>
  <c r="F23" i="39"/>
  <c r="AA23" i="39"/>
  <c r="H27" i="36"/>
  <c r="U27" i="36"/>
  <c r="F27" i="36"/>
  <c r="AA27" i="36"/>
  <c r="U33" i="34"/>
  <c r="F32" i="37"/>
  <c r="AA32" i="37" s="1"/>
  <c r="G96" i="37"/>
  <c r="H96" i="37" s="1"/>
  <c r="I96" i="37" s="1"/>
  <c r="J96" i="37" s="1"/>
  <c r="K96" i="37" s="1"/>
  <c r="L96" i="37" s="1"/>
  <c r="M96" i="37" s="1"/>
  <c r="F20" i="36"/>
  <c r="AA20" i="36"/>
  <c r="H23" i="39"/>
  <c r="U23" i="39"/>
  <c r="D48" i="9"/>
  <c r="M52" i="9"/>
  <c r="H82" i="43"/>
  <c r="K9" i="1"/>
  <c r="M9" i="1" s="1"/>
  <c r="D93" i="9"/>
  <c r="E12" i="6"/>
  <c r="E57" i="40" s="1"/>
  <c r="E15" i="6"/>
  <c r="E60" i="40" s="1"/>
  <c r="E13" i="6"/>
  <c r="E58" i="40" s="1"/>
  <c r="G29" i="6"/>
  <c r="AC26" i="33"/>
  <c r="W26" i="33"/>
  <c r="W27" i="34"/>
  <c r="AB34" i="36"/>
  <c r="U34" i="36"/>
  <c r="AB33" i="36"/>
  <c r="U33" i="36"/>
  <c r="AC12" i="39"/>
  <c r="W12" i="39"/>
  <c r="AC39" i="40"/>
  <c r="W39" i="40"/>
  <c r="W12" i="33"/>
  <c r="AC12" i="33"/>
  <c r="AA32" i="36"/>
  <c r="S32" i="36"/>
  <c r="U30" i="33"/>
  <c r="W28" i="37"/>
  <c r="S19" i="39"/>
  <c r="F12" i="33"/>
  <c r="H12" i="39"/>
  <c r="AB12" i="39"/>
  <c r="S12" i="1"/>
  <c r="R12" i="1"/>
  <c r="B12" i="1"/>
  <c r="E12" i="1" s="1"/>
  <c r="S10" i="1"/>
  <c r="AQ10" i="1" s="1"/>
  <c r="R10" i="1"/>
  <c r="B10" i="1"/>
  <c r="E10" i="1" s="1"/>
  <c r="D1" i="66"/>
  <c r="E10" i="66" s="1"/>
  <c r="K12" i="1"/>
  <c r="M12" i="1" s="1"/>
  <c r="O12" i="1" s="1"/>
  <c r="P12" i="1" s="1"/>
  <c r="S13" i="1"/>
  <c r="AR13" i="1" s="1"/>
  <c r="R13" i="1"/>
  <c r="S11" i="1"/>
  <c r="AQ11" i="1" s="1"/>
  <c r="R11" i="1"/>
  <c r="S9" i="1"/>
  <c r="AR9" i="1"/>
  <c r="J51" i="67"/>
  <c r="H100" i="43"/>
  <c r="C30" i="66"/>
  <c r="E26" i="66"/>
  <c r="AC34" i="33"/>
  <c r="AA34" i="33"/>
  <c r="F53" i="9"/>
  <c r="S22" i="31"/>
  <c r="J100" i="43"/>
  <c r="AB37" i="40"/>
  <c r="S35" i="40"/>
  <c r="U35" i="40"/>
  <c r="W38" i="40"/>
  <c r="S17" i="40"/>
  <c r="S23" i="40"/>
  <c r="AC17" i="40"/>
  <c r="AC15" i="40"/>
  <c r="S30" i="40"/>
  <c r="S28"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S9" i="39"/>
  <c r="U14" i="39"/>
  <c r="AC13" i="39"/>
  <c r="U12" i="39"/>
  <c r="S23" i="36"/>
  <c r="U13" i="36"/>
  <c r="AC27" i="36"/>
  <c r="AB27" i="36"/>
  <c r="U26" i="36"/>
  <c r="S33" i="36"/>
  <c r="S27"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W13" i="35"/>
  <c r="F9" i="35"/>
  <c r="H9" i="35"/>
  <c r="AB9" i="35" s="1"/>
  <c r="F26" i="35"/>
  <c r="AA26" i="35"/>
  <c r="J26" i="35"/>
  <c r="H26" i="35"/>
  <c r="U26"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U44" i="34"/>
  <c r="U43" i="34"/>
  <c r="W41" i="34"/>
  <c r="U39" i="34"/>
  <c r="S43" i="34"/>
  <c r="W34" i="34"/>
  <c r="U28" i="34"/>
  <c r="S17" i="34"/>
  <c r="U15" i="34"/>
  <c r="S10" i="34"/>
  <c r="S13" i="34"/>
  <c r="H67" i="34"/>
  <c r="I67" i="34" s="1"/>
  <c r="S11" i="34"/>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62" i="15"/>
  <c r="E10" i="6"/>
  <c r="E11" i="6"/>
  <c r="E61" i="39" s="1"/>
  <c r="E65" i="39"/>
  <c r="J56" i="9"/>
  <c r="J57" i="9" s="1"/>
  <c r="J59" i="9" s="1"/>
  <c r="J61" i="9" s="1"/>
  <c r="A24" i="51"/>
  <c r="B18" i="72" s="1"/>
  <c r="E14" i="6"/>
  <c r="E64" i="39" s="1"/>
  <c r="D9" i="11"/>
  <c r="C9" i="11" s="1"/>
  <c r="E32" i="6"/>
  <c r="G1" i="68"/>
  <c r="K1" i="12"/>
  <c r="AR12" i="1"/>
  <c r="AQ12" i="1"/>
  <c r="T12" i="1"/>
  <c r="T10" i="1"/>
  <c r="E19" i="69"/>
  <c r="E19" i="68"/>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M7" i="43"/>
  <c r="N6" i="43"/>
  <c r="M2" i="43"/>
  <c r="M10" i="43"/>
  <c r="N3" i="43"/>
  <c r="N11" i="43"/>
  <c r="M9" i="43"/>
  <c r="N12"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M47" i="9"/>
  <c r="T35" i="4"/>
  <c r="A19" i="51"/>
  <c r="B14" i="72" s="1"/>
  <c r="C46" i="36"/>
  <c r="D46" i="36" s="1"/>
  <c r="E46" i="36" s="1"/>
  <c r="F46" i="36" s="1"/>
  <c r="G46" i="36" s="1"/>
  <c r="C52" i="37"/>
  <c r="D52" i="37" s="1"/>
  <c r="E52" i="37" s="1"/>
  <c r="F52" i="37" s="1"/>
  <c r="G52" i="37" s="1"/>
  <c r="A4" i="51"/>
  <c r="B6" i="72" s="1"/>
  <c r="C48" i="35"/>
  <c r="D48" i="35" s="1"/>
  <c r="E48" i="35" s="1"/>
  <c r="F48" i="35" s="1"/>
  <c r="C58" i="21"/>
  <c r="D58" i="21" s="1"/>
  <c r="H62" i="43"/>
  <c r="H66" i="43"/>
  <c r="H61" i="43"/>
  <c r="H65" i="43"/>
  <c r="H60" i="43"/>
  <c r="H64" i="43"/>
  <c r="H59" i="43"/>
  <c r="H63" i="43"/>
  <c r="H67" i="43"/>
  <c r="H55" i="43"/>
  <c r="H51" i="43"/>
  <c r="H56" i="43"/>
  <c r="H76" i="43"/>
  <c r="H72" i="43"/>
  <c r="H77" i="43"/>
  <c r="E56" i="39"/>
  <c r="E51" i="40"/>
  <c r="B6" i="1"/>
  <c r="E6" i="1" s="1"/>
  <c r="K11" i="1"/>
  <c r="M11" i="1" s="1"/>
  <c r="AP6" i="1"/>
  <c r="C36" i="69" s="1"/>
  <c r="B9" i="1"/>
  <c r="E9" i="1"/>
  <c r="G1" i="69"/>
  <c r="G1" i="67"/>
  <c r="W23" i="40"/>
  <c r="U32" i="40"/>
  <c r="AB31" i="40"/>
  <c r="S37" i="40"/>
  <c r="AB28" i="40"/>
  <c r="W28" i="40"/>
  <c r="W34" i="40"/>
  <c r="W19"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W33" i="34"/>
  <c r="W29" i="34"/>
  <c r="W46" i="34"/>
  <c r="S32" i="34"/>
  <c r="U30" i="34"/>
  <c r="U38" i="34"/>
  <c r="W40" i="34"/>
  <c r="S19" i="34"/>
  <c r="S36" i="34"/>
  <c r="S8" i="34"/>
  <c r="U9" i="34"/>
  <c r="S46" i="34"/>
  <c r="U32"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O6" i="1"/>
  <c r="P6" i="1" s="1"/>
  <c r="F30" i="68"/>
  <c r="C30" i="68"/>
  <c r="F30" i="11"/>
  <c r="C48" i="11"/>
  <c r="F28" i="67"/>
  <c r="C28" i="67"/>
  <c r="F31" i="12"/>
  <c r="F52" i="9"/>
  <c r="M18" i="67"/>
  <c r="F32" i="67"/>
  <c r="F60" i="67" s="1"/>
  <c r="F30" i="69"/>
  <c r="C48" i="69" s="1"/>
  <c r="F60" i="15"/>
  <c r="M18" i="15"/>
  <c r="E63" i="39"/>
  <c r="T11" i="1"/>
  <c r="D9" i="69"/>
  <c r="C9" i="69" s="1"/>
  <c r="D19" i="12"/>
  <c r="C19" i="12" s="1"/>
  <c r="AQ9" i="1"/>
  <c r="AR11" i="1"/>
  <c r="E59" i="40"/>
  <c r="T9" i="1"/>
  <c r="T13" i="1"/>
  <c r="C48" i="68"/>
  <c r="C77" i="9"/>
  <c r="C74" i="9" s="1"/>
  <c r="C24" i="12"/>
  <c r="S39" i="40"/>
  <c r="S12" i="33"/>
  <c r="AA12" i="33"/>
  <c r="D68" i="9"/>
  <c r="F54" i="9"/>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U10" i="34"/>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D121" i="9"/>
  <c r="D7" i="52"/>
  <c r="K120" i="9"/>
  <c r="R22" i="31"/>
  <c r="B21" i="31" s="1"/>
  <c r="O19" i="43"/>
  <c r="E58" i="21"/>
  <c r="F58" i="21" s="1"/>
  <c r="K4" i="4"/>
  <c r="B46" i="48" s="1"/>
  <c r="B4" i="72" s="1"/>
  <c r="B5" i="62"/>
  <c r="B73" i="72" s="1"/>
  <c r="B4" i="62"/>
  <c r="B71" i="72" s="1"/>
  <c r="L27" i="6"/>
  <c r="AP7" i="1"/>
  <c r="AB45" i="21"/>
  <c r="W33" i="21"/>
  <c r="S33" i="21"/>
  <c r="AA33" i="21"/>
  <c r="AC32" i="21"/>
  <c r="U9" i="21"/>
  <c r="AA32" i="21"/>
  <c r="S32" i="21"/>
  <c r="W9" i="21"/>
  <c r="AC9" i="21"/>
  <c r="AB32" i="21"/>
  <c r="U32" i="21"/>
  <c r="S10" i="21"/>
  <c r="F31" i="15"/>
  <c r="M17" i="15"/>
  <c r="F59" i="67"/>
  <c r="F59" i="15"/>
  <c r="F31" i="67"/>
  <c r="M17" i="67"/>
  <c r="C30" i="11"/>
  <c r="A18" i="62"/>
  <c r="B64" i="72"/>
  <c r="D3" i="34"/>
  <c r="AB32" i="39"/>
  <c r="AC32" i="39"/>
  <c r="W32" i="39"/>
  <c r="AC19" i="37"/>
  <c r="W23" i="37"/>
  <c r="AC23" i="37"/>
  <c r="U11" i="37"/>
  <c r="J11" i="37"/>
  <c r="W10" i="37"/>
  <c r="AC10" i="37"/>
  <c r="U11" i="34"/>
  <c r="W10" i="34"/>
  <c r="AC36" i="33"/>
  <c r="U36" i="33"/>
  <c r="AB36" i="33"/>
  <c r="W27" i="33"/>
  <c r="AC27" i="33"/>
  <c r="W25" i="33"/>
  <c r="AC25" i="33"/>
  <c r="AA23" i="33"/>
  <c r="AB19" i="33"/>
  <c r="U19" i="33"/>
  <c r="AA17" i="33"/>
  <c r="S17" i="33"/>
  <c r="U17" i="33"/>
  <c r="U23" i="21"/>
  <c r="AC23" i="21"/>
  <c r="W23" i="21"/>
  <c r="G39" i="43"/>
  <c r="I39" i="43" s="1"/>
  <c r="F1" i="67"/>
  <c r="Q52" i="67"/>
  <c r="AC11" i="37"/>
  <c r="W11" i="37"/>
  <c r="W11" i="34"/>
  <c r="C13" i="12"/>
  <c r="F50" i="11"/>
  <c r="F50" i="69"/>
  <c r="F50" i="68"/>
  <c r="AG6" i="1"/>
  <c r="H109" i="9"/>
  <c r="F7" i="33"/>
  <c r="S7" i="33" s="1"/>
  <c r="H112" i="9"/>
  <c r="D21" i="53"/>
  <c r="B39" i="72" s="1"/>
  <c r="H111" i="9"/>
  <c r="D126" i="9" s="1"/>
  <c r="D19" i="53"/>
  <c r="B38" i="72" s="1"/>
  <c r="D59" i="9"/>
  <c r="M55" i="9"/>
  <c r="P21" i="43"/>
  <c r="P22" i="43"/>
  <c r="P23" i="43"/>
  <c r="B71" i="39"/>
  <c r="P25" i="43"/>
  <c r="C23" i="43"/>
  <c r="D4" i="73"/>
  <c r="F7" i="78"/>
  <c r="F40" i="78"/>
  <c r="M8" i="78"/>
  <c r="F8" i="15"/>
  <c r="F26" i="15"/>
  <c r="L48" i="15"/>
  <c r="M9" i="15"/>
  <c r="C76" i="78"/>
  <c r="M29" i="78"/>
  <c r="M22" i="78"/>
  <c r="M23" i="78"/>
  <c r="E8" i="76"/>
  <c r="E12" i="76"/>
  <c r="B11" i="76"/>
  <c r="B7" i="76"/>
  <c r="F5" i="73"/>
  <c r="F3" i="73"/>
  <c r="AO13" i="1"/>
  <c r="M22" i="15"/>
  <c r="L47" i="15"/>
  <c r="F4" i="73"/>
  <c r="F6" i="78"/>
  <c r="F16" i="78"/>
  <c r="F36" i="78"/>
  <c r="F37" i="78"/>
  <c r="F42" i="78"/>
  <c r="F9" i="15"/>
  <c r="F43" i="15"/>
  <c r="F13" i="15"/>
  <c r="F38" i="15"/>
  <c r="M6" i="15"/>
  <c r="M27" i="78"/>
  <c r="E9" i="76"/>
  <c r="E13" i="76"/>
  <c r="B10" i="76"/>
  <c r="D3" i="73"/>
  <c r="D7" i="73"/>
  <c r="AO10" i="1"/>
  <c r="M28" i="15"/>
  <c r="D2" i="21"/>
  <c r="E2" i="68"/>
  <c r="D35" i="9"/>
  <c r="M27" i="15"/>
  <c r="D2" i="36"/>
  <c r="D2" i="33"/>
  <c r="C76" i="67"/>
  <c r="F8" i="78"/>
  <c r="L48" i="78"/>
  <c r="F7" i="15"/>
  <c r="M8" i="15"/>
  <c r="M26" i="78"/>
  <c r="M24" i="78"/>
  <c r="B8" i="76"/>
  <c r="F7" i="73"/>
  <c r="AO9" i="1"/>
  <c r="F6" i="67"/>
  <c r="F7" i="67"/>
  <c r="F16" i="67"/>
  <c r="M28" i="67"/>
  <c r="F35" i="67"/>
  <c r="D5" i="73"/>
  <c r="G1" i="73" s="1"/>
  <c r="F43" i="78"/>
  <c r="F38" i="78"/>
  <c r="F16" i="15"/>
  <c r="F37" i="15"/>
  <c r="E7" i="76"/>
  <c r="B12" i="76"/>
  <c r="D6" i="73"/>
  <c r="M24" i="15"/>
  <c r="F26" i="67"/>
  <c r="M6" i="67"/>
  <c r="F37" i="67"/>
  <c r="M29" i="15"/>
  <c r="D2" i="37"/>
  <c r="D34" i="9"/>
  <c r="E2" i="69"/>
  <c r="D2" i="35"/>
  <c r="M21" i="67"/>
  <c r="M27" i="67"/>
  <c r="F20" i="31"/>
  <c r="F26" i="78"/>
  <c r="M9" i="78"/>
  <c r="F40" i="15"/>
  <c r="L47" i="78"/>
  <c r="J15" i="78"/>
  <c r="E10" i="76"/>
  <c r="B13" i="76"/>
  <c r="F6" i="73"/>
  <c r="AO12" i="1"/>
  <c r="M26" i="67"/>
  <c r="F43" i="67"/>
  <c r="F38" i="67"/>
  <c r="M8" i="67"/>
  <c r="F9" i="78"/>
  <c r="F13" i="78"/>
  <c r="M6" i="78"/>
  <c r="F36" i="15"/>
  <c r="F42" i="15"/>
  <c r="M28" i="78"/>
  <c r="E11" i="76"/>
  <c r="B9" i="76"/>
  <c r="AO11" i="1"/>
  <c r="M23" i="15"/>
  <c r="J15" i="15"/>
  <c r="C76" i="15"/>
  <c r="M26" i="15"/>
  <c r="D2" i="34"/>
  <c r="E4" i="49" l="1"/>
  <c r="B6" i="49"/>
  <c r="E9" i="49"/>
  <c r="E21" i="49"/>
  <c r="B11" i="49"/>
  <c r="B13" i="49"/>
  <c r="E6" i="49"/>
  <c r="E7" i="49"/>
  <c r="B16" i="49"/>
  <c r="B10" i="49"/>
  <c r="H110" i="9"/>
  <c r="D18" i="53" s="1"/>
  <c r="B35" i="72" s="1"/>
  <c r="D124" i="9"/>
  <c r="AC9" i="33"/>
  <c r="W9" i="33"/>
  <c r="AC9" i="36"/>
  <c r="W9" i="36"/>
  <c r="AB23" i="36"/>
  <c r="U23" i="36"/>
  <c r="AC26" i="37"/>
  <c r="W26" i="37"/>
  <c r="AA7" i="33"/>
  <c r="R48" i="33" s="1"/>
  <c r="D9" i="53"/>
  <c r="B25" i="72" s="1"/>
  <c r="B24" i="72"/>
  <c r="W12" i="35"/>
  <c r="AC12" i="35"/>
  <c r="H7" i="33"/>
  <c r="AB7" i="33" s="1"/>
  <c r="T48" i="33" s="1"/>
  <c r="G48" i="33" s="1"/>
  <c r="J7" i="33"/>
  <c r="W7" i="33" s="1"/>
  <c r="S13" i="21"/>
  <c r="AA23" i="21"/>
  <c r="E16" i="6"/>
  <c r="AQ13" i="1"/>
  <c r="AC15" i="21"/>
  <c r="AB34" i="33"/>
  <c r="AB20" i="35"/>
  <c r="W27" i="40"/>
  <c r="E62" i="39"/>
  <c r="AR10" i="1"/>
  <c r="AC9" i="37"/>
  <c r="AA36" i="35"/>
  <c r="AA26" i="36"/>
  <c r="AA12" i="39"/>
  <c r="S15" i="39"/>
  <c r="AB27" i="40"/>
  <c r="AC36" i="40"/>
  <c r="E29" i="6"/>
  <c r="H87" i="43"/>
  <c r="H86" i="43"/>
  <c r="AC11" i="39"/>
  <c r="W14" i="39"/>
  <c r="AA25" i="21"/>
  <c r="U12" i="37"/>
  <c r="W40" i="37"/>
  <c r="W44" i="33"/>
  <c r="AC31" i="33"/>
  <c r="U43" i="33"/>
  <c r="U13" i="33"/>
  <c r="AB45" i="33"/>
  <c r="W11" i="35"/>
  <c r="S11" i="36"/>
  <c r="AB26" i="33"/>
  <c r="AB11" i="36"/>
  <c r="AA14" i="33"/>
  <c r="AA44" i="33"/>
  <c r="U23" i="40"/>
  <c r="U30" i="35"/>
  <c r="W33" i="33"/>
  <c r="F9" i="33"/>
  <c r="F12" i="35"/>
  <c r="H36" i="35"/>
  <c r="J36" i="35"/>
  <c r="F9" i="36"/>
  <c r="F26" i="37"/>
  <c r="J34" i="35"/>
  <c r="H34" i="35"/>
  <c r="F34" i="35"/>
  <c r="F3" i="35"/>
  <c r="E81" i="43"/>
  <c r="B79" i="43" s="1"/>
  <c r="C24" i="43" s="1"/>
  <c r="M100" i="43"/>
  <c r="I100" i="43"/>
  <c r="E100" i="43"/>
  <c r="S18" i="35"/>
  <c r="P48" i="71"/>
  <c r="P47" i="71"/>
  <c r="C19" i="43"/>
  <c r="C34" i="71"/>
  <c r="D33" i="71"/>
  <c r="C42" i="71"/>
  <c r="D41" i="71"/>
  <c r="Q48" i="71"/>
  <c r="Q47" i="71"/>
  <c r="D16" i="71"/>
  <c r="C17" i="71"/>
  <c r="D10" i="71"/>
  <c r="U10" i="71" s="1"/>
  <c r="C9" i="71"/>
  <c r="T10" i="71"/>
  <c r="H23" i="34"/>
  <c r="J23" i="34"/>
  <c r="F23" i="34"/>
  <c r="C38" i="71"/>
  <c r="D37" i="71"/>
  <c r="D44" i="71"/>
  <c r="C45" i="71"/>
  <c r="M19" i="43"/>
  <c r="V22" i="71"/>
  <c r="D20" i="71"/>
  <c r="C21" i="71"/>
  <c r="D12" i="71"/>
  <c r="C13" i="71"/>
  <c r="S10" i="71"/>
  <c r="B9" i="71"/>
  <c r="B8" i="71" s="1"/>
  <c r="V6" i="71"/>
  <c r="E5" i="71"/>
  <c r="H37" i="34"/>
  <c r="J37" i="34"/>
  <c r="F37" i="34"/>
  <c r="H25" i="34"/>
  <c r="J25" i="34"/>
  <c r="F25" i="34"/>
  <c r="G5" i="3"/>
  <c r="B3" i="3" s="1"/>
  <c r="O47" i="71"/>
  <c r="C65" i="71"/>
  <c r="C61" i="71"/>
  <c r="C53" i="71"/>
  <c r="Q49" i="71"/>
  <c r="B49" i="71"/>
  <c r="AH10" i="43"/>
  <c r="AD10" i="43"/>
  <c r="Z10" i="43"/>
  <c r="AG10" i="43"/>
  <c r="AC10" i="43"/>
  <c r="P74" i="67"/>
  <c r="P61" i="79"/>
  <c r="I20" i="43"/>
  <c r="BL518" i="3"/>
  <c r="AZ518" i="3" s="1"/>
  <c r="BL516" i="3"/>
  <c r="AZ516" i="3" s="1"/>
  <c r="BL514" i="3"/>
  <c r="AZ514" i="3" s="1"/>
  <c r="BL512" i="3"/>
  <c r="AZ512" i="3" s="1"/>
  <c r="BL510" i="3"/>
  <c r="AZ510" i="3" s="1"/>
  <c r="BL508" i="3"/>
  <c r="AZ508" i="3" s="1"/>
  <c r="BL506" i="3"/>
  <c r="AZ506" i="3" s="1"/>
  <c r="BL504" i="3"/>
  <c r="AZ504" i="3" s="1"/>
  <c r="BL502" i="3"/>
  <c r="AZ502" i="3" s="1"/>
  <c r="BL500" i="3"/>
  <c r="AZ500" i="3" s="1"/>
  <c r="BL498" i="3"/>
  <c r="AZ498" i="3" s="1"/>
  <c r="BL496" i="3"/>
  <c r="AZ496" i="3" s="1"/>
  <c r="BL494" i="3"/>
  <c r="AZ494" i="3" s="1"/>
  <c r="BL492" i="3"/>
  <c r="AZ492" i="3" s="1"/>
  <c r="BL490" i="3"/>
  <c r="AZ490" i="3" s="1"/>
  <c r="BL488" i="3"/>
  <c r="AZ488" i="3" s="1"/>
  <c r="C5" i="43"/>
  <c r="H40" i="34"/>
  <c r="H31" i="34"/>
  <c r="H29" i="34"/>
  <c r="H27" i="34"/>
  <c r="H19" i="34"/>
  <c r="H17" i="34"/>
  <c r="H14" i="34"/>
  <c r="H12" i="34"/>
  <c r="G7" i="34"/>
  <c r="C59" i="34"/>
  <c r="D59" i="34" s="1"/>
  <c r="E59" i="34" s="1"/>
  <c r="F59" i="34" s="1"/>
  <c r="G59" i="34" s="1"/>
  <c r="H59" i="34" s="1"/>
  <c r="I59" i="34" s="1"/>
  <c r="J59" i="34" s="1"/>
  <c r="K59" i="34" s="1"/>
  <c r="L59" i="34" s="1"/>
  <c r="M59" i="34" s="1"/>
  <c r="N59" i="34" s="1"/>
  <c r="O59" i="34" s="1"/>
  <c r="F34" i="78"/>
  <c r="F62" i="78" s="1"/>
  <c r="BL519" i="3"/>
  <c r="AZ519" i="3" s="1"/>
  <c r="BL517" i="3"/>
  <c r="AZ517" i="3" s="1"/>
  <c r="BL515" i="3"/>
  <c r="AZ515" i="3" s="1"/>
  <c r="BL513" i="3"/>
  <c r="AZ513" i="3" s="1"/>
  <c r="BL511" i="3"/>
  <c r="AZ511" i="3" s="1"/>
  <c r="BL509" i="3"/>
  <c r="AZ509" i="3" s="1"/>
  <c r="BL507" i="3"/>
  <c r="AZ507" i="3" s="1"/>
  <c r="BL505" i="3"/>
  <c r="AZ505" i="3" s="1"/>
  <c r="BL503" i="3"/>
  <c r="AZ503" i="3" s="1"/>
  <c r="BL501" i="3"/>
  <c r="AZ501" i="3" s="1"/>
  <c r="BL499" i="3"/>
  <c r="AZ499" i="3" s="1"/>
  <c r="BL497" i="3"/>
  <c r="AZ497" i="3" s="1"/>
  <c r="BL495" i="3"/>
  <c r="AZ495" i="3" s="1"/>
  <c r="BL493" i="3"/>
  <c r="AZ493" i="3" s="1"/>
  <c r="BL491" i="3"/>
  <c r="AZ491" i="3" s="1"/>
  <c r="BL489" i="3"/>
  <c r="AZ489" i="3" s="1"/>
  <c r="BL183" i="3"/>
  <c r="BL181" i="3"/>
  <c r="BL179" i="3"/>
  <c r="BL184" i="3"/>
  <c r="AZ184" i="3" s="1"/>
  <c r="BL182" i="3"/>
  <c r="AZ182" i="3" s="1"/>
  <c r="BL180" i="3"/>
  <c r="AZ180" i="3" s="1"/>
  <c r="BA528" i="3"/>
  <c r="AZ528" i="3" s="1"/>
  <c r="BA524" i="3"/>
  <c r="AZ524" i="3" s="1"/>
  <c r="BA526" i="3"/>
  <c r="AZ526" i="3" s="1"/>
  <c r="BA211" i="3"/>
  <c r="AZ211" i="3" s="1"/>
  <c r="BA207" i="3"/>
  <c r="AZ207" i="3" s="1"/>
  <c r="BA203" i="3"/>
  <c r="AZ203" i="3" s="1"/>
  <c r="BA199" i="3"/>
  <c r="AZ199" i="3" s="1"/>
  <c r="BA195" i="3"/>
  <c r="AZ195" i="3" s="1"/>
  <c r="BA191" i="3"/>
  <c r="AZ191" i="3" s="1"/>
  <c r="BA187" i="3"/>
  <c r="AZ187" i="3" s="1"/>
  <c r="BA183" i="3"/>
  <c r="AZ183" i="3" s="1"/>
  <c r="BA179" i="3"/>
  <c r="BA175" i="3"/>
  <c r="AZ175" i="3" s="1"/>
  <c r="BA171" i="3"/>
  <c r="AZ171"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82" i="3"/>
  <c r="AZ82" i="3" s="1"/>
  <c r="BA78" i="3"/>
  <c r="AZ78" i="3" s="1"/>
  <c r="BA74" i="3"/>
  <c r="AZ74" i="3" s="1"/>
  <c r="BA70" i="3"/>
  <c r="AZ70" i="3" s="1"/>
  <c r="BA66" i="3"/>
  <c r="AZ66" i="3" s="1"/>
  <c r="BA62" i="3"/>
  <c r="AZ62" i="3" s="1"/>
  <c r="BA58" i="3"/>
  <c r="AZ58" i="3" s="1"/>
  <c r="BA54" i="3"/>
  <c r="AZ54" i="3" s="1"/>
  <c r="BA50" i="3"/>
  <c r="AZ50" i="3" s="1"/>
  <c r="BA46" i="3"/>
  <c r="AZ46" i="3" s="1"/>
  <c r="BA42" i="3"/>
  <c r="AZ42" i="3" s="1"/>
  <c r="BA38" i="3"/>
  <c r="AZ38" i="3" s="1"/>
  <c r="BA34" i="3"/>
  <c r="AZ34" i="3" s="1"/>
  <c r="BA30" i="3"/>
  <c r="AZ30" i="3" s="1"/>
  <c r="BA26" i="3"/>
  <c r="AZ26" i="3" s="1"/>
  <c r="BA22" i="3"/>
  <c r="AZ22" i="3" s="1"/>
  <c r="BA18" i="3"/>
  <c r="AZ18" i="3" s="1"/>
  <c r="BA14" i="3"/>
  <c r="BS5" i="3"/>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A20" i="3"/>
  <c r="AZ20" i="3" s="1"/>
  <c r="BA16" i="3"/>
  <c r="AZ16" i="3" s="1"/>
  <c r="G28" i="6"/>
  <c r="G30" i="6" s="1"/>
  <c r="G31" i="6" s="1"/>
  <c r="BQ5" i="3"/>
  <c r="F28" i="6" s="1"/>
  <c r="P24" i="43"/>
  <c r="B66" i="40" s="1"/>
  <c r="G1" i="79"/>
  <c r="I14" i="74"/>
  <c r="B8" i="74" s="1"/>
  <c r="D12" i="52"/>
  <c r="D127" i="9"/>
  <c r="D13" i="52" s="1"/>
  <c r="E48" i="33"/>
  <c r="R49" i="33"/>
  <c r="G58" i="21"/>
  <c r="H58" i="21" s="1"/>
  <c r="I58" i="21" s="1"/>
  <c r="J58" i="21" s="1"/>
  <c r="K58" i="21" s="1"/>
  <c r="L58" i="21" s="1"/>
  <c r="M58" i="21" s="1"/>
  <c r="N58" i="21" s="1"/>
  <c r="O58" i="21" s="1"/>
  <c r="J7" i="21"/>
  <c r="H52" i="37"/>
  <c r="I52" i="37" s="1"/>
  <c r="J52" i="37" s="1"/>
  <c r="K52" i="37" s="1"/>
  <c r="L52" i="37" s="1"/>
  <c r="M52" i="37" s="1"/>
  <c r="N52" i="37" s="1"/>
  <c r="O52" i="37" s="1"/>
  <c r="F7" i="37"/>
  <c r="G52" i="33"/>
  <c r="H52" i="33" s="1"/>
  <c r="G48" i="35"/>
  <c r="H48" i="35" s="1"/>
  <c r="I48" i="35" s="1"/>
  <c r="J48" i="35" s="1"/>
  <c r="K48" i="35" s="1"/>
  <c r="L48" i="35" s="1"/>
  <c r="M48" i="35" s="1"/>
  <c r="N48" i="35" s="1"/>
  <c r="O48" i="35" s="1"/>
  <c r="H46" i="36"/>
  <c r="I46" i="36" s="1"/>
  <c r="J46" i="36" s="1"/>
  <c r="K46" i="36" s="1"/>
  <c r="L46" i="36" s="1"/>
  <c r="M46" i="36" s="1"/>
  <c r="N46" i="36" s="1"/>
  <c r="O46" i="36" s="1"/>
  <c r="H7" i="36"/>
  <c r="D68" i="39"/>
  <c r="C70" i="39"/>
  <c r="O9" i="1"/>
  <c r="P9" i="1" s="1"/>
  <c r="C65" i="40"/>
  <c r="D63" i="40"/>
  <c r="U7" i="33"/>
  <c r="E66" i="39"/>
  <c r="D1" i="43"/>
  <c r="O11" i="1"/>
  <c r="P11" i="1" s="1"/>
  <c r="K15" i="1"/>
  <c r="C92" i="9"/>
  <c r="C94" i="9"/>
  <c r="G22" i="43"/>
  <c r="H22" i="43"/>
  <c r="C101" i="43"/>
  <c r="B113" i="43"/>
  <c r="K101" i="43"/>
  <c r="F101" i="43"/>
  <c r="N101" i="43"/>
  <c r="G101" i="43"/>
  <c r="J101" i="43"/>
  <c r="N104" i="46"/>
  <c r="L101" i="43"/>
  <c r="H101" i="43"/>
  <c r="S2" i="43"/>
  <c r="S5" i="43"/>
  <c r="S6" i="43"/>
  <c r="S3" i="43"/>
  <c r="J22" i="43"/>
  <c r="E22" i="43"/>
  <c r="F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4" i="43"/>
  <c r="S7" i="43"/>
  <c r="C9" i="68"/>
  <c r="M7" i="1"/>
  <c r="D20" i="53"/>
  <c r="B40" i="72" s="1"/>
  <c r="AC7" i="33"/>
  <c r="V48" i="33" s="1"/>
  <c r="I48" i="33" s="1"/>
  <c r="D125" i="9"/>
  <c r="D11" i="52" s="1"/>
  <c r="D16" i="53"/>
  <c r="C30" i="69"/>
  <c r="E56" i="40"/>
  <c r="E61" i="40" s="1"/>
  <c r="N1" i="43"/>
  <c r="K13" i="1"/>
  <c r="M13" i="1" s="1"/>
  <c r="I7" i="34"/>
  <c r="J7" i="34" s="1"/>
  <c r="E21" i="6"/>
  <c r="B20" i="31"/>
  <c r="J20" i="67"/>
  <c r="F65" i="67"/>
  <c r="Q71" i="15"/>
  <c r="C27" i="67"/>
  <c r="B10" i="70"/>
  <c r="B11" i="70"/>
  <c r="F66" i="15"/>
  <c r="F65" i="15"/>
  <c r="F64" i="15"/>
  <c r="F71" i="15"/>
  <c r="F66" i="78"/>
  <c r="F65" i="78"/>
  <c r="F64" i="78"/>
  <c r="F71" i="78"/>
  <c r="C6" i="78"/>
  <c r="B40" i="1"/>
  <c r="I1" i="73"/>
  <c r="B39" i="1" s="1"/>
  <c r="F63" i="67"/>
  <c r="C62" i="67" s="1"/>
  <c r="C34" i="67"/>
  <c r="F66" i="67"/>
  <c r="L58" i="15"/>
  <c r="M59" i="15"/>
  <c r="L59" i="15" s="1"/>
  <c r="N59" i="15"/>
  <c r="F71" i="67"/>
  <c r="M7" i="67"/>
  <c r="F50" i="67"/>
  <c r="Q71" i="67"/>
  <c r="B12" i="70"/>
  <c r="B13" i="70"/>
  <c r="B9" i="70"/>
  <c r="M59" i="78"/>
  <c r="L59" i="78" s="1"/>
  <c r="N59" i="78"/>
  <c r="L58" i="78"/>
  <c r="Q71" i="78"/>
  <c r="J53" i="15"/>
  <c r="I54" i="15"/>
  <c r="J57" i="15"/>
  <c r="J55" i="15" s="1"/>
  <c r="J58" i="15" s="1"/>
  <c r="Q50" i="15" s="1"/>
  <c r="L56" i="15"/>
  <c r="L57" i="15"/>
  <c r="L60" i="15"/>
  <c r="F68" i="15"/>
  <c r="C27" i="15"/>
  <c r="F50" i="15"/>
  <c r="M7" i="15"/>
  <c r="J6" i="15" s="1"/>
  <c r="F51" i="15"/>
  <c r="C49" i="15" s="1"/>
  <c r="J53" i="78"/>
  <c r="L57" i="78"/>
  <c r="L60" i="78"/>
  <c r="I54" i="78"/>
  <c r="J57" i="78"/>
  <c r="J55" i="78" s="1"/>
  <c r="J58" i="78" s="1"/>
  <c r="Q50" i="78" s="1"/>
  <c r="L56" i="78"/>
  <c r="F68" i="78"/>
  <c r="C27" i="78"/>
  <c r="M7" i="78"/>
  <c r="J6" i="78" s="1"/>
  <c r="F50" i="78"/>
  <c r="F51" i="78"/>
  <c r="E20" i="43"/>
  <c r="M23" i="67"/>
  <c r="F36" i="67"/>
  <c r="J15" i="67"/>
  <c r="F8" i="67"/>
  <c r="F42" i="67"/>
  <c r="F40" i="67"/>
  <c r="L48" i="67"/>
  <c r="C16" i="67"/>
  <c r="C16" i="15"/>
  <c r="C14" i="67"/>
  <c r="C16" i="78"/>
  <c r="F41" i="67"/>
  <c r="F9" i="67"/>
  <c r="M22" i="67"/>
  <c r="M9" i="67"/>
  <c r="M24" i="67"/>
  <c r="M29" i="67"/>
  <c r="L47" i="67"/>
  <c r="F13" i="67"/>
  <c r="C17" i="67"/>
  <c r="N59" i="67" l="1"/>
  <c r="L58" i="67"/>
  <c r="Q60" i="67" s="1"/>
  <c r="M59" i="67"/>
  <c r="L59" i="67"/>
  <c r="Q74" i="67" s="1"/>
  <c r="F69" i="67"/>
  <c r="I54" i="67"/>
  <c r="L56" i="67"/>
  <c r="J57" i="67"/>
  <c r="J55" i="67" s="1"/>
  <c r="J58" i="67" s="1"/>
  <c r="Q50" i="67" s="1"/>
  <c r="F68" i="67"/>
  <c r="F70" i="67"/>
  <c r="F51" i="67"/>
  <c r="C6" i="67"/>
  <c r="F64" i="67"/>
  <c r="J6" i="67"/>
  <c r="F7" i="35"/>
  <c r="J7" i="35"/>
  <c r="J7" i="37"/>
  <c r="H7" i="37"/>
  <c r="F7" i="21"/>
  <c r="H7" i="21"/>
  <c r="AZ179" i="3"/>
  <c r="H7" i="34"/>
  <c r="AB14" i="34"/>
  <c r="U14" i="34"/>
  <c r="AB19" i="34"/>
  <c r="U19" i="34"/>
  <c r="AB29" i="34"/>
  <c r="U29" i="34"/>
  <c r="AB40" i="34"/>
  <c r="U40" i="34"/>
  <c r="D61" i="71"/>
  <c r="C60" i="71"/>
  <c r="D60" i="71" s="1"/>
  <c r="AA25" i="34"/>
  <c r="S25" i="34"/>
  <c r="AB25" i="34"/>
  <c r="U25" i="34"/>
  <c r="AC37" i="34"/>
  <c r="W37" i="34"/>
  <c r="D13" i="71"/>
  <c r="C14" i="71"/>
  <c r="D21" i="71"/>
  <c r="C22" i="71"/>
  <c r="D45" i="71"/>
  <c r="C46" i="71"/>
  <c r="AA23" i="34"/>
  <c r="S23" i="34"/>
  <c r="AB23" i="34"/>
  <c r="U23" i="34"/>
  <c r="D42" i="71"/>
  <c r="T42" i="71"/>
  <c r="D34" i="71"/>
  <c r="T34" i="71"/>
  <c r="AA34" i="35"/>
  <c r="S34" i="35"/>
  <c r="AC34" i="35"/>
  <c r="W34" i="35"/>
  <c r="AA9" i="36"/>
  <c r="S9" i="36"/>
  <c r="AB36" i="35"/>
  <c r="U36" i="35"/>
  <c r="AA9" i="33"/>
  <c r="S9" i="33"/>
  <c r="D10" i="52"/>
  <c r="H14" i="74"/>
  <c r="B7" i="74" s="1"/>
  <c r="E28" i="6"/>
  <c r="F30" i="6"/>
  <c r="F31" i="6" s="1"/>
  <c r="AZ14" i="3"/>
  <c r="AZ5" i="3" s="1"/>
  <c r="BA5" i="3"/>
  <c r="BL5" i="3"/>
  <c r="AB12" i="34"/>
  <c r="U12" i="34"/>
  <c r="AB17" i="34"/>
  <c r="U17" i="34"/>
  <c r="AB27" i="34"/>
  <c r="U27" i="34"/>
  <c r="AB31" i="34"/>
  <c r="U31" i="34"/>
  <c r="F7" i="34"/>
  <c r="B48" i="71"/>
  <c r="N49" i="71"/>
  <c r="C52" i="71"/>
  <c r="D52" i="71" s="1"/>
  <c r="D53" i="71"/>
  <c r="C64" i="71"/>
  <c r="D64" i="71" s="1"/>
  <c r="D65" i="71"/>
  <c r="AT6" i="3"/>
  <c r="E143" i="3"/>
  <c r="E397" i="3"/>
  <c r="E353" i="3"/>
  <c r="E314" i="3"/>
  <c r="E385" i="3"/>
  <c r="E568" i="3"/>
  <c r="E495" i="3"/>
  <c r="E511" i="3"/>
  <c r="E518" i="3"/>
  <c r="I6" i="3"/>
  <c r="AN6" i="3"/>
  <c r="E16" i="3"/>
  <c r="AI6" i="3"/>
  <c r="E536" i="3"/>
  <c r="E586" i="3"/>
  <c r="AK6" i="3"/>
  <c r="E578" i="3"/>
  <c r="E549" i="3"/>
  <c r="E402" i="3"/>
  <c r="E434" i="3"/>
  <c r="E453" i="3"/>
  <c r="E350" i="3"/>
  <c r="E382" i="3"/>
  <c r="E303" i="3"/>
  <c r="E263" i="3"/>
  <c r="E301" i="3"/>
  <c r="E196" i="3"/>
  <c r="E136" i="3"/>
  <c r="E156" i="3"/>
  <c r="E236" i="3"/>
  <c r="E148" i="3"/>
  <c r="E269" i="3"/>
  <c r="E157" i="3"/>
  <c r="E149" i="3"/>
  <c r="E252" i="3"/>
  <c r="E271" i="3"/>
  <c r="E204" i="3"/>
  <c r="E145" i="3"/>
  <c r="E164" i="3"/>
  <c r="E107" i="3"/>
  <c r="E327" i="3"/>
  <c r="E575" i="3"/>
  <c r="AD6" i="3"/>
  <c r="E499" i="3"/>
  <c r="E542" i="3"/>
  <c r="E552" i="3"/>
  <c r="AO6" i="3"/>
  <c r="E421" i="3"/>
  <c r="E442" i="3"/>
  <c r="E464" i="3"/>
  <c r="E466" i="3"/>
  <c r="E548" i="3"/>
  <c r="P6" i="3"/>
  <c r="E398" i="3"/>
  <c r="E400" i="3"/>
  <c r="E432" i="3"/>
  <c r="E443" i="3"/>
  <c r="E477" i="3"/>
  <c r="E345" i="3"/>
  <c r="I3" i="6"/>
  <c r="E566" i="3"/>
  <c r="AP6" i="3"/>
  <c r="E557" i="3"/>
  <c r="E554" i="3"/>
  <c r="E582" i="3"/>
  <c r="E517" i="3"/>
  <c r="E413" i="3"/>
  <c r="E435" i="3"/>
  <c r="E476" i="3"/>
  <c r="E489" i="3"/>
  <c r="E546" i="3"/>
  <c r="E404" i="3"/>
  <c r="E479" i="3"/>
  <c r="E39" i="3"/>
  <c r="E56" i="3"/>
  <c r="E90" i="3"/>
  <c r="E27" i="3"/>
  <c r="E70" i="3"/>
  <c r="E92" i="3"/>
  <c r="E121" i="3"/>
  <c r="E162" i="3"/>
  <c r="E187" i="3"/>
  <c r="E132"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00" i="3"/>
  <c r="E267" i="3"/>
  <c r="E266" i="3"/>
  <c r="E307" i="3"/>
  <c r="E386" i="3"/>
  <c r="E354" i="3"/>
  <c r="E584" i="3"/>
  <c r="E66" i="3"/>
  <c r="E67" i="3"/>
  <c r="E33" i="3"/>
  <c r="E144" i="3"/>
  <c r="E184" i="3"/>
  <c r="E233" i="3"/>
  <c r="E355" i="3"/>
  <c r="E381" i="3"/>
  <c r="E51" i="3"/>
  <c r="E19" i="3"/>
  <c r="E154" i="3"/>
  <c r="E179" i="3"/>
  <c r="E283" i="3"/>
  <c r="E309" i="3"/>
  <c r="E513"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201" i="3"/>
  <c r="E97" i="3"/>
  <c r="E151" i="3"/>
  <c r="E423" i="3"/>
  <c r="E306" i="3"/>
  <c r="E368" i="3"/>
  <c r="E296" i="3"/>
  <c r="E244" i="3"/>
  <c r="E262" i="3"/>
  <c r="E245" i="3"/>
  <c r="E159" i="3"/>
  <c r="E191" i="3"/>
  <c r="E99" i="3"/>
  <c r="E188" i="3"/>
  <c r="E228" i="3"/>
  <c r="E181" i="3"/>
  <c r="E122" i="3"/>
  <c r="E89" i="3"/>
  <c r="E207" i="3"/>
  <c r="E77" i="3"/>
  <c r="E212" i="3"/>
  <c r="E253" i="3"/>
  <c r="E167" i="3"/>
  <c r="E199" i="3"/>
  <c r="E141" i="3"/>
  <c r="E286" i="3"/>
  <c r="E312" i="3"/>
  <c r="E379" i="3"/>
  <c r="E576" i="3"/>
  <c r="E585" i="3"/>
  <c r="Z6" i="3"/>
  <c r="U6" i="3"/>
  <c r="R6" i="3"/>
  <c r="AG6" i="3"/>
  <c r="E515" i="3"/>
  <c r="E502" i="3"/>
  <c r="E411" i="3"/>
  <c r="E448" i="3"/>
  <c r="E478" i="3"/>
  <c r="E485" i="3"/>
  <c r="E487" i="3"/>
  <c r="E541" i="3"/>
  <c r="E414" i="3"/>
  <c r="E430" i="3"/>
  <c r="E416" i="3"/>
  <c r="E449" i="3"/>
  <c r="E459" i="3"/>
  <c r="E255" i="3"/>
  <c r="E374" i="3"/>
  <c r="E367" i="3"/>
  <c r="E558" i="3"/>
  <c r="E505" i="3"/>
  <c r="E500" i="3"/>
  <c r="E547" i="3"/>
  <c r="E581" i="3"/>
  <c r="AS6" i="3"/>
  <c r="E531" i="3"/>
  <c r="E403" i="3"/>
  <c r="E444" i="3"/>
  <c r="E460" i="3"/>
  <c r="E491" i="3"/>
  <c r="E520" i="3"/>
  <c r="E417" i="3"/>
  <c r="E436" i="3"/>
  <c r="E447" i="3"/>
  <c r="E28" i="3"/>
  <c r="E71" i="3"/>
  <c r="E88" i="3"/>
  <c r="E37" i="3"/>
  <c r="E57" i="3"/>
  <c r="E95" i="3"/>
  <c r="E131" i="3"/>
  <c r="E152" i="3"/>
  <c r="E182" i="3"/>
  <c r="E126"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48" i="3"/>
  <c r="E209" i="3"/>
  <c r="E249" i="3"/>
  <c r="E300" i="3"/>
  <c r="E371" i="3"/>
  <c r="E310" i="3"/>
  <c r="E492" i="3"/>
  <c r="E23" i="3"/>
  <c r="E84" i="3"/>
  <c r="E24" i="3"/>
  <c r="E48" i="3"/>
  <c r="E87" i="3"/>
  <c r="E127" i="3"/>
  <c r="E250" i="3"/>
  <c r="E284" i="3"/>
  <c r="E341" i="3"/>
  <c r="Y6" i="3"/>
  <c r="E68" i="3"/>
  <c r="E63" i="3"/>
  <c r="E81" i="3"/>
  <c r="E118" i="3"/>
  <c r="E264" i="3"/>
  <c r="E222" i="3"/>
  <c r="E323" i="3"/>
  <c r="E373" i="3"/>
  <c r="E82" i="3"/>
  <c r="AC25" i="34"/>
  <c r="W25" i="34"/>
  <c r="AA37" i="34"/>
  <c r="S37" i="34"/>
  <c r="AB37" i="34"/>
  <c r="U37" i="34"/>
  <c r="D38" i="71"/>
  <c r="T38" i="71"/>
  <c r="AC23" i="34"/>
  <c r="W23" i="34"/>
  <c r="C8" i="71"/>
  <c r="D8" i="71" s="1"/>
  <c r="D9" i="71"/>
  <c r="D17" i="71"/>
  <c r="C18" i="71"/>
  <c r="AB34" i="35"/>
  <c r="U34" i="35"/>
  <c r="AA26" i="37"/>
  <c r="S26" i="37"/>
  <c r="W36" i="35"/>
  <c r="AC36" i="35"/>
  <c r="S12" i="35"/>
  <c r="AA12" i="35"/>
  <c r="K8" i="1"/>
  <c r="E27" i="6"/>
  <c r="D7" i="12"/>
  <c r="O7" i="1"/>
  <c r="P7" i="1" s="1"/>
  <c r="E104" i="43"/>
  <c r="E107" i="43"/>
  <c r="E105" i="43"/>
  <c r="E106" i="43"/>
  <c r="E109" i="43"/>
  <c r="E102" i="43"/>
  <c r="E103" i="43"/>
  <c r="M109" i="43"/>
  <c r="M104" i="43"/>
  <c r="M107" i="43"/>
  <c r="M105" i="43"/>
  <c r="M102" i="43"/>
  <c r="M103" i="43"/>
  <c r="M106" i="43"/>
  <c r="AC7" i="34"/>
  <c r="V49" i="34" s="1"/>
  <c r="I49" i="34" s="1"/>
  <c r="I53" i="34" s="1"/>
  <c r="J53" i="34" s="1"/>
  <c r="W7" i="34"/>
  <c r="D17" i="53"/>
  <c r="B36" i="72" s="1"/>
  <c r="B34" i="72"/>
  <c r="I52" i="33"/>
  <c r="J52" i="33" s="1"/>
  <c r="I53" i="33"/>
  <c r="J53" i="33" s="1"/>
  <c r="I109" i="43"/>
  <c r="I102" i="43"/>
  <c r="I106" i="43"/>
  <c r="I103" i="43"/>
  <c r="I104" i="43"/>
  <c r="I107" i="43"/>
  <c r="I105" i="43"/>
  <c r="D102" i="43"/>
  <c r="D104" i="43"/>
  <c r="D106" i="43"/>
  <c r="D109" i="43"/>
  <c r="D103" i="43"/>
  <c r="D105" i="43"/>
  <c r="D107" i="43"/>
  <c r="H107" i="43"/>
  <c r="H106" i="43"/>
  <c r="H105" i="43"/>
  <c r="H103" i="43"/>
  <c r="H102" i="43"/>
  <c r="H104" i="43"/>
  <c r="H109" i="43"/>
  <c r="G102" i="43"/>
  <c r="G103" i="43"/>
  <c r="G105" i="43"/>
  <c r="G107" i="43"/>
  <c r="G104" i="43"/>
  <c r="G106" i="43"/>
  <c r="G109" i="43"/>
  <c r="F102" i="43"/>
  <c r="F105" i="43"/>
  <c r="F109" i="43"/>
  <c r="F104" i="43"/>
  <c r="F107" i="43"/>
  <c r="F106" i="43"/>
  <c r="F103" i="43"/>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B115" i="43"/>
  <c r="B116" i="43"/>
  <c r="C116" i="43" s="1"/>
  <c r="B117" i="43"/>
  <c r="C117" i="43" s="1"/>
  <c r="B118" i="43"/>
  <c r="C118" i="43" s="1"/>
  <c r="D115" i="43"/>
  <c r="E115" i="43" s="1"/>
  <c r="F115" i="43" s="1"/>
  <c r="G115" i="43" s="1"/>
  <c r="H115" i="43" s="1"/>
  <c r="D116" i="43"/>
  <c r="E116" i="43" s="1"/>
  <c r="F116" i="43" s="1"/>
  <c r="G116" i="43" s="1"/>
  <c r="H116" i="43" s="1"/>
  <c r="D117" i="43"/>
  <c r="E117" i="43" s="1"/>
  <c r="F117" i="43" s="1"/>
  <c r="G117" i="43" s="1"/>
  <c r="H117" i="43" s="1"/>
  <c r="D118" i="43"/>
  <c r="E118" i="43" s="1"/>
  <c r="F118" i="43" s="1"/>
  <c r="D65" i="40"/>
  <c r="E63" i="40"/>
  <c r="U7" i="36"/>
  <c r="AB7" i="36"/>
  <c r="T36" i="36" s="1"/>
  <c r="G36" i="36" s="1"/>
  <c r="AA7" i="35"/>
  <c r="R38" i="35" s="1"/>
  <c r="S7" i="35"/>
  <c r="AC7" i="35"/>
  <c r="V38" i="35" s="1"/>
  <c r="I38" i="35" s="1"/>
  <c r="W7" i="35"/>
  <c r="W7" i="37"/>
  <c r="AC7" i="37"/>
  <c r="V42" i="37" s="1"/>
  <c r="I42" i="37" s="1"/>
  <c r="U7" i="37"/>
  <c r="AB7" i="37"/>
  <c r="T42" i="37" s="1"/>
  <c r="G42" i="37" s="1"/>
  <c r="S7" i="21"/>
  <c r="AA7" i="21"/>
  <c r="R48" i="21" s="1"/>
  <c r="AB7" i="21"/>
  <c r="T48" i="21" s="1"/>
  <c r="G48" i="21" s="1"/>
  <c r="U7" i="21"/>
  <c r="C49" i="33"/>
  <c r="C48" i="33"/>
  <c r="K21" i="6"/>
  <c r="D22" i="43"/>
  <c r="C21" i="43" s="1"/>
  <c r="G53" i="33"/>
  <c r="H53" i="33" s="1"/>
  <c r="P13" i="1"/>
  <c r="O13" i="1"/>
  <c r="L109" i="43"/>
  <c r="L102" i="43"/>
  <c r="L105" i="43"/>
  <c r="L104" i="43"/>
  <c r="L106" i="43"/>
  <c r="L107" i="43"/>
  <c r="L103" i="43"/>
  <c r="J107" i="43"/>
  <c r="J102" i="43"/>
  <c r="J109" i="43"/>
  <c r="J104" i="43"/>
  <c r="J105" i="43"/>
  <c r="J103" i="43"/>
  <c r="J106" i="43"/>
  <c r="N105" i="43"/>
  <c r="N104" i="43"/>
  <c r="N109" i="43"/>
  <c r="N102" i="43"/>
  <c r="N103" i="43"/>
  <c r="N106" i="43"/>
  <c r="N107" i="43"/>
  <c r="K107" i="43"/>
  <c r="K104" i="43"/>
  <c r="K106" i="43"/>
  <c r="K109" i="43"/>
  <c r="K103" i="43"/>
  <c r="K102" i="43"/>
  <c r="K105" i="43"/>
  <c r="C103" i="43"/>
  <c r="C105" i="43"/>
  <c r="C107" i="43"/>
  <c r="C102" i="43"/>
  <c r="C104" i="43"/>
  <c r="C106" i="43"/>
  <c r="C109" i="43"/>
  <c r="D70" i="39"/>
  <c r="E68" i="39"/>
  <c r="S7" i="37"/>
  <c r="AA7" i="37"/>
  <c r="R42" i="37" s="1"/>
  <c r="AC7" i="21"/>
  <c r="V48" i="21" s="1"/>
  <c r="I48" i="21" s="1"/>
  <c r="W7" i="21"/>
  <c r="E53" i="33"/>
  <c r="F53" i="33" s="1"/>
  <c r="E52" i="33"/>
  <c r="F52" i="33" s="1"/>
  <c r="F7" i="36"/>
  <c r="J7" i="36"/>
  <c r="H7" i="35"/>
  <c r="C49" i="78"/>
  <c r="C18" i="67"/>
  <c r="C15" i="67"/>
  <c r="Q57" i="78"/>
  <c r="Q66" i="78"/>
  <c r="Q52" i="78"/>
  <c r="F1" i="78"/>
  <c r="Q52" i="15"/>
  <c r="F1" i="15"/>
  <c r="Q74" i="15"/>
  <c r="Q61" i="15"/>
  <c r="Q61" i="67"/>
  <c r="P17" i="43"/>
  <c r="G20" i="43" s="1"/>
  <c r="C20" i="43" s="1"/>
  <c r="N17" i="43"/>
  <c r="O17" i="43"/>
  <c r="M17" i="43"/>
  <c r="Q57" i="15"/>
  <c r="Q66" i="15"/>
  <c r="Q73" i="78"/>
  <c r="Q60" i="78"/>
  <c r="Q61" i="78"/>
  <c r="Q74" i="78"/>
  <c r="Q60" i="15"/>
  <c r="Q73" i="15"/>
  <c r="F11" i="79"/>
  <c r="M11" i="78"/>
  <c r="J10" i="78" s="1"/>
  <c r="J5" i="78" s="1"/>
  <c r="M11" i="15"/>
  <c r="J10" i="15" s="1"/>
  <c r="J5" i="15" s="1"/>
  <c r="F11" i="67"/>
  <c r="M11" i="79"/>
  <c r="F11" i="78"/>
  <c r="F11" i="15"/>
  <c r="M11" i="67"/>
  <c r="J10" i="67" s="1"/>
  <c r="F22" i="11"/>
  <c r="F22" i="69"/>
  <c r="F24" i="79"/>
  <c r="C24" i="79" s="1"/>
  <c r="F24" i="78"/>
  <c r="C24" i="78" s="1"/>
  <c r="F24" i="15"/>
  <c r="C24" i="15" s="1"/>
  <c r="F25" i="12"/>
  <c r="C26" i="12" s="1"/>
  <c r="D25" i="12" s="1"/>
  <c r="F24" i="67"/>
  <c r="C24" i="67" s="1"/>
  <c r="F22" i="68"/>
  <c r="C49" i="67"/>
  <c r="F36" i="79"/>
  <c r="F42" i="79"/>
  <c r="L47" i="79"/>
  <c r="M23" i="79"/>
  <c r="M8" i="79"/>
  <c r="F26" i="79"/>
  <c r="M26" i="79"/>
  <c r="M9" i="79"/>
  <c r="F8" i="79"/>
  <c r="L48" i="79"/>
  <c r="J15" i="79"/>
  <c r="F40" i="79"/>
  <c r="F43" i="79"/>
  <c r="AE6" i="1"/>
  <c r="M29" i="79"/>
  <c r="F7" i="79"/>
  <c r="F16" i="79"/>
  <c r="F37" i="79"/>
  <c r="M6" i="79"/>
  <c r="M22" i="79"/>
  <c r="F6" i="79"/>
  <c r="M27" i="79"/>
  <c r="F38" i="79"/>
  <c r="M24" i="79"/>
  <c r="M28" i="79"/>
  <c r="F13" i="79"/>
  <c r="C76" i="79"/>
  <c r="F9" i="79"/>
  <c r="AE7" i="1"/>
  <c r="Q73" i="67" l="1"/>
  <c r="J5" i="67"/>
  <c r="J24" i="67" s="1"/>
  <c r="Q71" i="79"/>
  <c r="F66" i="79"/>
  <c r="F65" i="79"/>
  <c r="F68" i="79"/>
  <c r="J57" i="79"/>
  <c r="J55" i="79" s="1"/>
  <c r="J58" i="79" s="1"/>
  <c r="Q50" i="79" s="1"/>
  <c r="L60" i="79"/>
  <c r="J53" i="79"/>
  <c r="I54" i="79"/>
  <c r="L57" i="79"/>
  <c r="L56" i="79"/>
  <c r="F51" i="79"/>
  <c r="C27" i="79"/>
  <c r="M59" i="79"/>
  <c r="L59" i="79" s="1"/>
  <c r="L58" i="79"/>
  <c r="N59" i="79"/>
  <c r="F64" i="79"/>
  <c r="D18" i="71"/>
  <c r="T18" i="71"/>
  <c r="H6" i="3"/>
  <c r="N48" i="71"/>
  <c r="N47" i="71"/>
  <c r="AY6" i="3"/>
  <c r="E3" i="6"/>
  <c r="K14" i="1"/>
  <c r="M14" i="1" s="1"/>
  <c r="O14" i="1" s="1"/>
  <c r="P14" i="1" s="1"/>
  <c r="E30" i="6"/>
  <c r="AC6" i="3"/>
  <c r="AA7" i="34"/>
  <c r="R49" i="34" s="1"/>
  <c r="S7" i="34"/>
  <c r="D46" i="71"/>
  <c r="T46" i="71"/>
  <c r="D22" i="71"/>
  <c r="M20" i="43" s="1"/>
  <c r="T22" i="71"/>
  <c r="D14" i="71"/>
  <c r="T14" i="71"/>
  <c r="AB7" i="34"/>
  <c r="T49" i="34" s="1"/>
  <c r="G49" i="34" s="1"/>
  <c r="U7" i="34"/>
  <c r="F50" i="79"/>
  <c r="C49" i="79" s="1"/>
  <c r="C6" i="79"/>
  <c r="M7" i="79"/>
  <c r="J6" i="79" s="1"/>
  <c r="J10" i="79" s="1"/>
  <c r="J5" i="79" s="1"/>
  <c r="F71" i="79"/>
  <c r="AB7" i="35"/>
  <c r="T38" i="35" s="1"/>
  <c r="G38" i="35" s="1"/>
  <c r="U7" i="35"/>
  <c r="W7" i="36"/>
  <c r="AC7" i="36"/>
  <c r="V36" i="36" s="1"/>
  <c r="I36" i="36" s="1"/>
  <c r="R43" i="37"/>
  <c r="E42" i="37"/>
  <c r="F68" i="39"/>
  <c r="E70" i="39"/>
  <c r="M21" i="6"/>
  <c r="I21" i="6" s="1"/>
  <c r="S8" i="1"/>
  <c r="G52" i="21"/>
  <c r="H52" i="21" s="1"/>
  <c r="G53" i="21"/>
  <c r="H53" i="21" s="1"/>
  <c r="I42" i="35"/>
  <c r="J42" i="35" s="1"/>
  <c r="R39" i="35"/>
  <c r="E38" i="35"/>
  <c r="E65" i="40"/>
  <c r="F63" i="40"/>
  <c r="K24" i="6"/>
  <c r="M24" i="6" s="1"/>
  <c r="I24" i="6" s="1"/>
  <c r="K22" i="6"/>
  <c r="M22" i="6" s="1"/>
  <c r="I22" i="6" s="1"/>
  <c r="K25" i="6"/>
  <c r="M25" i="6" s="1"/>
  <c r="I25" i="6" s="1"/>
  <c r="K20" i="6"/>
  <c r="E31" i="6"/>
  <c r="K26" i="6"/>
  <c r="M26" i="6" s="1"/>
  <c r="I26" i="6" s="1"/>
  <c r="K23" i="6"/>
  <c r="M23" i="6" s="1"/>
  <c r="I23" i="6" s="1"/>
  <c r="K19" i="6"/>
  <c r="S7" i="36"/>
  <c r="AA7" i="36"/>
  <c r="R36" i="36" s="1"/>
  <c r="I52" i="21"/>
  <c r="J52" i="21" s="1"/>
  <c r="R49" i="21"/>
  <c r="E48" i="21"/>
  <c r="G47" i="37"/>
  <c r="H47" i="37" s="1"/>
  <c r="G46" i="37"/>
  <c r="H46" i="37" s="1"/>
  <c r="I47" i="37"/>
  <c r="J47" i="37" s="1"/>
  <c r="I46" i="37"/>
  <c r="J46" i="37" s="1"/>
  <c r="G40" i="36"/>
  <c r="H40" i="36" s="1"/>
  <c r="G41" i="36"/>
  <c r="H41" i="36" s="1"/>
  <c r="C115" i="43"/>
  <c r="D113" i="43" s="1"/>
  <c r="M8" i="1"/>
  <c r="H16" i="1"/>
  <c r="G16" i="1"/>
  <c r="Q16" i="1"/>
  <c r="K16" i="1"/>
  <c r="E8" i="70"/>
  <c r="C19" i="67"/>
  <c r="C20" i="67" s="1"/>
  <c r="C23" i="67" s="1"/>
  <c r="J18" i="78"/>
  <c r="J26" i="78"/>
  <c r="J24" i="78"/>
  <c r="J18" i="15"/>
  <c r="J26" i="15"/>
  <c r="J24" i="15"/>
  <c r="C29" i="43"/>
  <c r="C33" i="43"/>
  <c r="C34" i="43"/>
  <c r="C35" i="43"/>
  <c r="C36" i="43"/>
  <c r="C37" i="43"/>
  <c r="C38" i="43"/>
  <c r="C39" i="43"/>
  <c r="E39"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J18" i="67"/>
  <c r="J26" i="67"/>
  <c r="J29" i="67" s="1"/>
  <c r="C26" i="68"/>
  <c r="D22" i="68" s="1"/>
  <c r="C44" i="68"/>
  <c r="D41" i="68" s="1"/>
  <c r="C24" i="68"/>
  <c r="C26" i="69"/>
  <c r="D22" i="69" s="1"/>
  <c r="C44" i="69"/>
  <c r="D41" i="69" s="1"/>
  <c r="C10" i="78"/>
  <c r="C5" i="78" s="1"/>
  <c r="C53" i="78"/>
  <c r="C48" i="78" s="1"/>
  <c r="C53" i="67"/>
  <c r="C48" i="67" s="1"/>
  <c r="C10" i="67"/>
  <c r="C5" i="67" s="1"/>
  <c r="C26" i="11"/>
  <c r="D22" i="11" s="1"/>
  <c r="C44" i="11"/>
  <c r="D41" i="11" s="1"/>
  <c r="C23" i="11"/>
  <c r="C10" i="15"/>
  <c r="C53" i="15"/>
  <c r="C48" i="15" s="1"/>
  <c r="C10" i="79"/>
  <c r="C53" i="79"/>
  <c r="F41" i="78"/>
  <c r="F41" i="15"/>
  <c r="C16" i="79"/>
  <c r="C17" i="79"/>
  <c r="C5" i="79" l="1"/>
  <c r="J26" i="79"/>
  <c r="J18" i="79"/>
  <c r="C48" i="79"/>
  <c r="F69" i="15"/>
  <c r="F69" i="78"/>
  <c r="G53" i="34"/>
  <c r="H53" i="34" s="1"/>
  <c r="G54" i="34"/>
  <c r="H54" i="34" s="1"/>
  <c r="E49" i="34"/>
  <c r="R50"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Q73" i="79"/>
  <c r="Q60" i="79"/>
  <c r="Q57" i="79"/>
  <c r="Q66" i="79"/>
  <c r="J29" i="15"/>
  <c r="J24" i="79"/>
  <c r="J29" i="78"/>
  <c r="C34" i="69"/>
  <c r="C35" i="69" s="1"/>
  <c r="E6" i="6"/>
  <c r="M18" i="9"/>
  <c r="B118" i="9" s="1"/>
  <c r="B14" i="74" s="1"/>
  <c r="B1" i="74" s="1"/>
  <c r="D19" i="11"/>
  <c r="C19" i="11" s="1"/>
  <c r="D3" i="37"/>
  <c r="D3" i="21"/>
  <c r="C17" i="4"/>
  <c r="B4" i="52" s="1"/>
  <c r="B43" i="72" s="1"/>
  <c r="D37" i="11"/>
  <c r="D14" i="12"/>
  <c r="D17" i="12" s="1"/>
  <c r="C17" i="12" s="1"/>
  <c r="D3" i="33"/>
  <c r="B2" i="33" s="1"/>
  <c r="B3" i="33" s="1"/>
  <c r="L18" i="9"/>
  <c r="E6" i="3"/>
  <c r="Q61" i="79"/>
  <c r="Q74" i="79"/>
  <c r="F1" i="79"/>
  <c r="Q52" i="79"/>
  <c r="H10" i="40"/>
  <c r="J10" i="39"/>
  <c r="F10" i="39"/>
  <c r="F10" i="40"/>
  <c r="J10" i="40"/>
  <c r="H10" i="39"/>
  <c r="O8" i="1"/>
  <c r="M16" i="1"/>
  <c r="L16" i="1" s="1"/>
  <c r="C49" i="21"/>
  <c r="B2" i="21" s="1"/>
  <c r="B3" i="21" s="1"/>
  <c r="C48" i="21"/>
  <c r="S23" i="6"/>
  <c r="H23" i="6"/>
  <c r="H25" i="6"/>
  <c r="S25" i="6"/>
  <c r="S24" i="6"/>
  <c r="H24" i="6"/>
  <c r="C39" i="35"/>
  <c r="B2" i="35" s="1"/>
  <c r="B3" i="35" s="1"/>
  <c r="C38" i="35"/>
  <c r="H21" i="6"/>
  <c r="S21" i="6"/>
  <c r="F70" i="39"/>
  <c r="G68" i="39"/>
  <c r="C43" i="37"/>
  <c r="B2" i="37" s="1"/>
  <c r="B3" i="37" s="1"/>
  <c r="C42" i="37"/>
  <c r="G43" i="35"/>
  <c r="H43" i="35" s="1"/>
  <c r="G42" i="35"/>
  <c r="H42" i="35" s="1"/>
  <c r="C38" i="69"/>
  <c r="F27" i="69"/>
  <c r="F27" i="68"/>
  <c r="F27" i="11"/>
  <c r="F28" i="12"/>
  <c r="C29" i="12" s="1"/>
  <c r="D28" i="12" s="1"/>
  <c r="E52" i="21"/>
  <c r="F52" i="21" s="1"/>
  <c r="E53" i="21"/>
  <c r="F53" i="21" s="1"/>
  <c r="E36" i="36"/>
  <c r="R37" i="36"/>
  <c r="M19" i="6"/>
  <c r="S6" i="1"/>
  <c r="K27" i="6"/>
  <c r="H26" i="6"/>
  <c r="S26" i="6"/>
  <c r="S7" i="1"/>
  <c r="M20" i="6"/>
  <c r="I20" i="6" s="1"/>
  <c r="S22" i="6"/>
  <c r="H22" i="6"/>
  <c r="F65" i="40"/>
  <c r="G63" i="40"/>
  <c r="E43" i="35"/>
  <c r="F43" i="35" s="1"/>
  <c r="E42" i="35"/>
  <c r="F42" i="35" s="1"/>
  <c r="T8" i="1"/>
  <c r="AR8" i="1"/>
  <c r="AQ8" i="1"/>
  <c r="E47" i="37"/>
  <c r="F47" i="37" s="1"/>
  <c r="E46" i="37"/>
  <c r="F46" i="37" s="1"/>
  <c r="I41" i="36"/>
  <c r="J41" i="36" s="1"/>
  <c r="I40" i="36"/>
  <c r="J40" i="36" s="1"/>
  <c r="I53" i="21"/>
  <c r="J53" i="21" s="1"/>
  <c r="I43" i="35"/>
  <c r="J43" i="35" s="1"/>
  <c r="C26" i="67"/>
  <c r="C29" i="67"/>
  <c r="C13" i="67" s="1"/>
  <c r="C60" i="79"/>
  <c r="C66" i="79"/>
  <c r="C38" i="78"/>
  <c r="C32" i="78"/>
  <c r="C33" i="78"/>
  <c r="E37" i="43"/>
  <c r="G37" i="43"/>
  <c r="I37" i="43" s="1"/>
  <c r="G35" i="43"/>
  <c r="I35" i="43" s="1"/>
  <c r="E35" i="43"/>
  <c r="G33" i="43"/>
  <c r="I33" i="43" s="1"/>
  <c r="E33" i="43"/>
  <c r="C32" i="79"/>
  <c r="C33" i="79"/>
  <c r="C38" i="79"/>
  <c r="C60" i="67"/>
  <c r="C66" i="67"/>
  <c r="C66" i="15"/>
  <c r="C60" i="15"/>
  <c r="C32" i="67"/>
  <c r="C38" i="67"/>
  <c r="C60" i="78"/>
  <c r="C66" i="78"/>
  <c r="G38" i="43"/>
  <c r="I38" i="43" s="1"/>
  <c r="E38" i="43"/>
  <c r="G36" i="43"/>
  <c r="I36" i="43" s="1"/>
  <c r="E36" i="43"/>
  <c r="G34" i="43"/>
  <c r="I34" i="43" s="1"/>
  <c r="E34" i="43"/>
  <c r="E29" i="43"/>
  <c r="C30" i="43"/>
  <c r="E30" i="43" s="1"/>
  <c r="AE8" i="1"/>
  <c r="C17" i="15"/>
  <c r="C14" i="79"/>
  <c r="C17" i="78"/>
  <c r="C20" i="11" l="1"/>
  <c r="C25" i="11" s="1"/>
  <c r="C24" i="11"/>
  <c r="D10" i="68"/>
  <c r="D20" i="12"/>
  <c r="C20" i="12" s="1"/>
  <c r="D10" i="11"/>
  <c r="C10" i="11" s="1"/>
  <c r="D10" i="69"/>
  <c r="J59" i="67"/>
  <c r="J60" i="67" s="1"/>
  <c r="N16" i="1"/>
  <c r="C8" i="74"/>
  <c r="C7" i="74"/>
  <c r="D20" i="6"/>
  <c r="M19" i="9"/>
  <c r="C118" i="9" s="1"/>
  <c r="C14" i="74" s="1"/>
  <c r="B2" i="74" s="1"/>
  <c r="D26" i="6"/>
  <c r="R26" i="6" s="1"/>
  <c r="C18" i="4"/>
  <c r="D8" i="6"/>
  <c r="D24" i="6"/>
  <c r="R24" i="6" s="1"/>
  <c r="D5" i="6"/>
  <c r="D12" i="6"/>
  <c r="D11" i="6"/>
  <c r="D13" i="6"/>
  <c r="D28" i="6"/>
  <c r="D25" i="6"/>
  <c r="R25" i="6" s="1"/>
  <c r="D22" i="6"/>
  <c r="D14" i="6"/>
  <c r="D9" i="6"/>
  <c r="L19" i="9"/>
  <c r="D15" i="6"/>
  <c r="D23" i="6"/>
  <c r="R23" i="6" s="1"/>
  <c r="D6" i="6"/>
  <c r="D10" i="6"/>
  <c r="D29" i="6"/>
  <c r="D19" i="6"/>
  <c r="D27" i="6" s="1"/>
  <c r="D21" i="6"/>
  <c r="E54" i="34"/>
  <c r="F54" i="34" s="1"/>
  <c r="I54" i="34"/>
  <c r="J54" i="34" s="1"/>
  <c r="E53" i="34"/>
  <c r="F53" i="34" s="1"/>
  <c r="R22" i="6"/>
  <c r="R21" i="6"/>
  <c r="R8" i="1" s="1"/>
  <c r="C49" i="34"/>
  <c r="C50" i="34"/>
  <c r="C18" i="79"/>
  <c r="C15" i="79"/>
  <c r="T7" i="1"/>
  <c r="AQ7" i="1"/>
  <c r="AR7" i="1"/>
  <c r="E7" i="70"/>
  <c r="T6" i="1"/>
  <c r="AQ6" i="1"/>
  <c r="E6" i="70"/>
  <c r="S16" i="1"/>
  <c r="AR6" i="1"/>
  <c r="C37" i="36"/>
  <c r="B2" i="36" s="1"/>
  <c r="B3" i="36" s="1"/>
  <c r="C36" i="36"/>
  <c r="C29" i="68"/>
  <c r="D27" i="68" s="1"/>
  <c r="C47" i="68"/>
  <c r="D45" i="68" s="1"/>
  <c r="F34" i="68"/>
  <c r="F34" i="11"/>
  <c r="F11" i="12"/>
  <c r="C14" i="12" s="1"/>
  <c r="P8" i="1"/>
  <c r="P16" i="1" s="1"/>
  <c r="C11" i="12" s="1"/>
  <c r="O16" i="1"/>
  <c r="AC10" i="40"/>
  <c r="W10" i="40"/>
  <c r="AA10" i="39"/>
  <c r="S10" i="39"/>
  <c r="U10" i="40"/>
  <c r="AB10" i="40"/>
  <c r="G65" i="40"/>
  <c r="H63" i="40"/>
  <c r="H20" i="6"/>
  <c r="R20" i="6" s="1"/>
  <c r="R7" i="1" s="1"/>
  <c r="S20" i="6"/>
  <c r="I19" i="6"/>
  <c r="M27" i="6"/>
  <c r="E40" i="36"/>
  <c r="F40" i="36" s="1"/>
  <c r="E41" i="36"/>
  <c r="F41" i="36" s="1"/>
  <c r="C47" i="11"/>
  <c r="D45" i="11" s="1"/>
  <c r="C28" i="11"/>
  <c r="C27" i="11" s="1"/>
  <c r="C29" i="11"/>
  <c r="D27" i="11" s="1"/>
  <c r="C29" i="69"/>
  <c r="D27" i="69" s="1"/>
  <c r="C47" i="69"/>
  <c r="D45" i="69" s="1"/>
  <c r="H68" i="39"/>
  <c r="G70" i="39"/>
  <c r="AB10" i="39"/>
  <c r="U10" i="39"/>
  <c r="AA10" i="40"/>
  <c r="S10" i="40"/>
  <c r="W10" i="39"/>
  <c r="AC10" i="39"/>
  <c r="C33" i="67"/>
  <c r="C31" i="67" s="1"/>
  <c r="Q49" i="67"/>
  <c r="J19" i="67"/>
  <c r="J17" i="67" s="1"/>
  <c r="C26" i="43"/>
  <c r="B2" i="43" s="1"/>
  <c r="C27" i="43"/>
  <c r="J14" i="67"/>
  <c r="J13" i="67" s="1"/>
  <c r="J23" i="67" s="1"/>
  <c r="C57" i="67"/>
  <c r="C61" i="67" s="1"/>
  <c r="C59" i="67" s="1"/>
  <c r="C36" i="67"/>
  <c r="Q48" i="67"/>
  <c r="L46" i="67"/>
  <c r="C56" i="67"/>
  <c r="C65" i="67" s="1"/>
  <c r="C37" i="67"/>
  <c r="Q70" i="67"/>
  <c r="C75" i="67"/>
  <c r="F41" i="79"/>
  <c r="C14" i="15"/>
  <c r="M21" i="78"/>
  <c r="E6" i="76"/>
  <c r="C14" i="78"/>
  <c r="F35" i="79"/>
  <c r="M21" i="79"/>
  <c r="F35" i="78"/>
  <c r="B6" i="76"/>
  <c r="J22" i="67" l="1"/>
  <c r="C19" i="79"/>
  <c r="C20" i="79" s="1"/>
  <c r="C23" i="79" s="1"/>
  <c r="J20" i="79"/>
  <c r="C34" i="79"/>
  <c r="C31" i="79" s="1"/>
  <c r="F63" i="79"/>
  <c r="C62" i="79" s="1"/>
  <c r="F69" i="79"/>
  <c r="J29" i="79"/>
  <c r="B2" i="34"/>
  <c r="B3" i="34"/>
  <c r="A7" i="51"/>
  <c r="B7" i="72" s="1"/>
  <c r="C4" i="52"/>
  <c r="B45" i="72" s="1"/>
  <c r="A10" i="51"/>
  <c r="B9" i="72" s="1"/>
  <c r="D8" i="74"/>
  <c r="D7" i="74"/>
  <c r="C10" i="68"/>
  <c r="B29" i="1" s="1"/>
  <c r="C8" i="68" s="1"/>
  <c r="D19" i="68"/>
  <c r="D37" i="68" s="1"/>
  <c r="D30" i="6"/>
  <c r="D31" i="6" s="1"/>
  <c r="D16" i="6"/>
  <c r="D19" i="69"/>
  <c r="C10" i="69"/>
  <c r="C8" i="69" s="1"/>
  <c r="C5" i="69" s="1"/>
  <c r="C18" i="12"/>
  <c r="C22" i="11"/>
  <c r="C31" i="11" s="1"/>
  <c r="C18" i="78"/>
  <c r="C15" i="78"/>
  <c r="J20" i="78"/>
  <c r="C34" i="78"/>
  <c r="C31" i="78" s="1"/>
  <c r="F63" i="78"/>
  <c r="C62" i="78" s="1"/>
  <c r="C15" i="15"/>
  <c r="C18" i="15"/>
  <c r="H70" i="39"/>
  <c r="I68" i="39"/>
  <c r="H19" i="6"/>
  <c r="S19" i="6"/>
  <c r="S27" i="6" s="1"/>
  <c r="I27" i="6"/>
  <c r="C12" i="12"/>
  <c r="C15" i="12"/>
  <c r="C37" i="11"/>
  <c r="C34" i="11"/>
  <c r="C36" i="11"/>
  <c r="H65" i="40"/>
  <c r="I63" i="40"/>
  <c r="C36" i="68"/>
  <c r="C34" i="68"/>
  <c r="C37" i="68"/>
  <c r="T16" i="1"/>
  <c r="E2" i="70"/>
  <c r="C64" i="67"/>
  <c r="C30" i="67"/>
  <c r="C39" i="67" s="1"/>
  <c r="C80" i="67" s="1"/>
  <c r="C79" i="67" s="1"/>
  <c r="J16" i="67"/>
  <c r="J25" i="67" s="1"/>
  <c r="E2" i="76"/>
  <c r="C58" i="67"/>
  <c r="C67" i="67" s="1"/>
  <c r="C68" i="67" s="1"/>
  <c r="C71" i="67" s="1"/>
  <c r="B2" i="76"/>
  <c r="C6" i="68"/>
  <c r="B3" i="43"/>
  <c r="F6" i="15"/>
  <c r="L51" i="67"/>
  <c r="C19" i="78" l="1"/>
  <c r="C20" i="78" s="1"/>
  <c r="C23" i="78" s="1"/>
  <c r="C19" i="15"/>
  <c r="C6" i="15"/>
  <c r="C5" i="15" s="1"/>
  <c r="I6" i="6"/>
  <c r="I5" i="6"/>
  <c r="C26" i="79"/>
  <c r="C29" i="79" s="1"/>
  <c r="J19" i="79" s="1"/>
  <c r="J17" i="79" s="1"/>
  <c r="C23" i="69"/>
  <c r="C16" i="12"/>
  <c r="C21" i="12" s="1"/>
  <c r="C22" i="12" s="1"/>
  <c r="C19" i="69"/>
  <c r="C24" i="69" s="1"/>
  <c r="D37" i="69"/>
  <c r="C37" i="69" s="1"/>
  <c r="C33" i="69" s="1"/>
  <c r="C35" i="11"/>
  <c r="C38" i="11"/>
  <c r="J68" i="39"/>
  <c r="I70" i="39"/>
  <c r="C20" i="15"/>
  <c r="C23" i="15" s="1"/>
  <c r="C38" i="68"/>
  <c r="C35" i="68"/>
  <c r="I65" i="40"/>
  <c r="J63" i="40"/>
  <c r="H27" i="6"/>
  <c r="R19" i="6"/>
  <c r="Q69" i="67"/>
  <c r="Q68" i="67" s="1"/>
  <c r="C40" i="67"/>
  <c r="C43" i="67" s="1"/>
  <c r="Q67" i="67"/>
  <c r="L57" i="67"/>
  <c r="L60" i="67" s="1"/>
  <c r="Q66" i="67" s="1"/>
  <c r="B3" i="76"/>
  <c r="Q47" i="67"/>
  <c r="Q53" i="67" s="1"/>
  <c r="C7" i="68"/>
  <c r="C5" i="68" s="1"/>
  <c r="J59" i="79" l="1"/>
  <c r="J60" i="79" s="1"/>
  <c r="L46" i="79" s="1"/>
  <c r="C57" i="79"/>
  <c r="C13" i="79"/>
  <c r="Q70" i="79" s="1"/>
  <c r="J14" i="79"/>
  <c r="C36" i="79"/>
  <c r="Q49" i="79"/>
  <c r="Q57" i="67"/>
  <c r="C39" i="69"/>
  <c r="C43" i="69" s="1"/>
  <c r="C42" i="69"/>
  <c r="C46" i="69"/>
  <c r="C45" i="69" s="1"/>
  <c r="C20" i="69"/>
  <c r="C25" i="69" s="1"/>
  <c r="C22" i="69" s="1"/>
  <c r="C38" i="15"/>
  <c r="C32" i="15"/>
  <c r="C33" i="15"/>
  <c r="K68" i="39"/>
  <c r="J70" i="39"/>
  <c r="C64" i="79"/>
  <c r="C61" i="79"/>
  <c r="C59" i="79" s="1"/>
  <c r="Q48" i="79"/>
  <c r="R27" i="6"/>
  <c r="R6" i="1"/>
  <c r="J65" i="40"/>
  <c r="K63" i="40"/>
  <c r="J13" i="79"/>
  <c r="J23" i="79" s="1"/>
  <c r="J22" i="79"/>
  <c r="C33" i="68"/>
  <c r="C26" i="78"/>
  <c r="C29" i="78" s="1"/>
  <c r="C26" i="15"/>
  <c r="C29" i="15" s="1"/>
  <c r="C33" i="11"/>
  <c r="C83" i="67"/>
  <c r="C82" i="67" s="1"/>
  <c r="Q65" i="67"/>
  <c r="Q75" i="67" s="1"/>
  <c r="C45" i="67"/>
  <c r="C46" i="67" s="1"/>
  <c r="D2" i="67"/>
  <c r="B2" i="67" s="1"/>
  <c r="Q56" i="67"/>
  <c r="C20" i="68"/>
  <c r="C25" i="68" s="1"/>
  <c r="C23" i="68"/>
  <c r="Q62" i="67"/>
  <c r="M21" i="15"/>
  <c r="F35" i="15"/>
  <c r="C37" i="79" l="1"/>
  <c r="C30" i="79" s="1"/>
  <c r="C39" i="79" s="1"/>
  <c r="Q69" i="79" s="1"/>
  <c r="Q68" i="79" s="1"/>
  <c r="C56" i="79"/>
  <c r="C65" i="79" s="1"/>
  <c r="C58" i="79" s="1"/>
  <c r="C67" i="79" s="1"/>
  <c r="C68" i="79" s="1"/>
  <c r="C71" i="79" s="1"/>
  <c r="J16" i="79"/>
  <c r="J25" i="79" s="1"/>
  <c r="C75" i="79"/>
  <c r="C41" i="69"/>
  <c r="C49" i="69" s="1"/>
  <c r="C51" i="69" s="1"/>
  <c r="C28" i="69"/>
  <c r="C27" i="69" s="1"/>
  <c r="C31" i="69" s="1"/>
  <c r="J20" i="15"/>
  <c r="C34" i="15"/>
  <c r="C31" i="15" s="1"/>
  <c r="F63" i="15"/>
  <c r="C62" i="15" s="1"/>
  <c r="C13" i="78"/>
  <c r="C36" i="78"/>
  <c r="Q49" i="78"/>
  <c r="J59" i="78"/>
  <c r="J60" i="78" s="1"/>
  <c r="C57" i="78"/>
  <c r="J19" i="78"/>
  <c r="J17" i="78" s="1"/>
  <c r="J14" i="78"/>
  <c r="C13" i="15"/>
  <c r="Q49" i="15"/>
  <c r="J14" i="15"/>
  <c r="C36" i="15"/>
  <c r="J19" i="15"/>
  <c r="J17" i="15" s="1"/>
  <c r="C57" i="15"/>
  <c r="J59" i="15"/>
  <c r="J60" i="15" s="1"/>
  <c r="C39" i="68"/>
  <c r="C42" i="68"/>
  <c r="K65" i="40"/>
  <c r="L63" i="40"/>
  <c r="C39" i="11"/>
  <c r="C42" i="11"/>
  <c r="L68" i="39"/>
  <c r="K70" i="39"/>
  <c r="B3" i="67"/>
  <c r="R16" i="1"/>
  <c r="C22" i="68"/>
  <c r="C28" i="68"/>
  <c r="C27" i="68" s="1"/>
  <c r="L51" i="79"/>
  <c r="C40" i="79" l="1"/>
  <c r="B2" i="79" s="1"/>
  <c r="E8" i="12" s="1"/>
  <c r="Q67" i="79"/>
  <c r="C80" i="79"/>
  <c r="C79" i="79" s="1"/>
  <c r="C52" i="69"/>
  <c r="B2" i="69" s="1"/>
  <c r="B3" i="69" s="1"/>
  <c r="C46" i="79"/>
  <c r="M68" i="39"/>
  <c r="L70" i="39"/>
  <c r="C46" i="11"/>
  <c r="C45" i="11" s="1"/>
  <c r="C43" i="11"/>
  <c r="C41" i="11" s="1"/>
  <c r="C49" i="11" s="1"/>
  <c r="C51" i="11" s="1"/>
  <c r="C46" i="68"/>
  <c r="C45" i="68" s="1"/>
  <c r="C43" i="68"/>
  <c r="C41" i="68" s="1"/>
  <c r="C64" i="15"/>
  <c r="C61" i="15"/>
  <c r="C59" i="15" s="1"/>
  <c r="J22" i="78"/>
  <c r="J13" i="78"/>
  <c r="J23" i="78" s="1"/>
  <c r="C61" i="78"/>
  <c r="C59" i="78" s="1"/>
  <c r="C64" i="78"/>
  <c r="C56" i="78"/>
  <c r="C65" i="78" s="1"/>
  <c r="Q70" i="78"/>
  <c r="C37" i="78"/>
  <c r="C30" i="78" s="1"/>
  <c r="C39" i="78" s="1"/>
  <c r="C75" i="78"/>
  <c r="L65" i="40"/>
  <c r="M63" i="40"/>
  <c r="L46" i="15"/>
  <c r="Q48" i="15"/>
  <c r="J13" i="15"/>
  <c r="J23" i="15" s="1"/>
  <c r="J22" i="15"/>
  <c r="C56" i="15"/>
  <c r="C65" i="15" s="1"/>
  <c r="C37" i="15"/>
  <c r="C30" i="15" s="1"/>
  <c r="C39" i="15" s="1"/>
  <c r="C75" i="15"/>
  <c r="Q70" i="15"/>
  <c r="Q48" i="78"/>
  <c r="L46" i="78"/>
  <c r="C31" i="68"/>
  <c r="L51" i="78"/>
  <c r="AO8" i="1"/>
  <c r="L51" i="15"/>
  <c r="Q56" i="79" l="1"/>
  <c r="Q62" i="79" s="1"/>
  <c r="C43" i="79"/>
  <c r="Q47" i="79"/>
  <c r="Q53" i="79" s="1"/>
  <c r="C83" i="79"/>
  <c r="C82" i="79" s="1"/>
  <c r="Q65" i="79"/>
  <c r="Q75" i="79" s="1"/>
  <c r="C49" i="68"/>
  <c r="C51" i="68" s="1"/>
  <c r="C52" i="68" s="1"/>
  <c r="B2" i="68" s="1"/>
  <c r="J16" i="15"/>
  <c r="J25" i="15" s="1"/>
  <c r="J16" i="78"/>
  <c r="J25" i="78" s="1"/>
  <c r="C57" i="69"/>
  <c r="C56" i="69" s="1"/>
  <c r="Q67" i="15"/>
  <c r="Q67" i="78"/>
  <c r="B8" i="70"/>
  <c r="Q69" i="15"/>
  <c r="Q68" i="15" s="1"/>
  <c r="C40" i="15"/>
  <c r="C52" i="11"/>
  <c r="B2" i="11" s="1"/>
  <c r="B3" i="11" s="1"/>
  <c r="M65" i="40"/>
  <c r="N63" i="40"/>
  <c r="C80" i="78"/>
  <c r="C79" i="78" s="1"/>
  <c r="C58" i="15"/>
  <c r="C67" i="15" s="1"/>
  <c r="C68" i="15" s="1"/>
  <c r="C40" i="78"/>
  <c r="Q69" i="78"/>
  <c r="Q68" i="78" s="1"/>
  <c r="N68" i="39"/>
  <c r="M70" i="39"/>
  <c r="B3" i="79"/>
  <c r="D6" i="12" s="1"/>
  <c r="C80" i="15"/>
  <c r="C79" i="15" s="1"/>
  <c r="C58" i="78"/>
  <c r="C67" i="78" s="1"/>
  <c r="C68" i="78" s="1"/>
  <c r="C19" i="9"/>
  <c r="C57" i="68" l="1"/>
  <c r="C56" i="68" s="1"/>
  <c r="C21" i="9"/>
  <c r="C102" i="9"/>
  <c r="B3" i="68"/>
  <c r="C71" i="78"/>
  <c r="C46" i="78"/>
  <c r="C71" i="15"/>
  <c r="C46" i="15"/>
  <c r="N65" i="40"/>
  <c r="O63" i="40"/>
  <c r="O65" i="40" s="1"/>
  <c r="B2" i="15"/>
  <c r="Q65" i="15"/>
  <c r="Q75" i="15" s="1"/>
  <c r="Q56" i="15"/>
  <c r="Q62" i="15" s="1"/>
  <c r="C43" i="15"/>
  <c r="Q47" i="15"/>
  <c r="Q53" i="15" s="1"/>
  <c r="C83" i="15"/>
  <c r="C82" i="15" s="1"/>
  <c r="N70" i="39"/>
  <c r="O68" i="39"/>
  <c r="O70" i="39" s="1"/>
  <c r="C43" i="78"/>
  <c r="Q56" i="78"/>
  <c r="Q62" i="78" s="1"/>
  <c r="Q65" i="78"/>
  <c r="Q75" i="78" s="1"/>
  <c r="B2" i="78"/>
  <c r="D8" i="12" s="1"/>
  <c r="Q47" i="78"/>
  <c r="Q53" i="78" s="1"/>
  <c r="C83" i="78"/>
  <c r="C82" i="78" s="1"/>
  <c r="C56" i="11"/>
  <c r="C57" i="11" s="1"/>
  <c r="C20" i="9"/>
  <c r="AO6" i="1"/>
  <c r="AO7" i="1"/>
  <c r="C103" i="9" l="1"/>
  <c r="B6" i="70"/>
  <c r="B7" i="70"/>
  <c r="B3" i="15"/>
  <c r="C6" i="12" s="1"/>
  <c r="C8" i="12"/>
  <c r="B3" i="78"/>
  <c r="E6" i="12" s="1"/>
  <c r="F7" i="39"/>
  <c r="J7" i="39"/>
  <c r="H7" i="39"/>
  <c r="J7" i="40"/>
  <c r="F7" i="40"/>
  <c r="H7" i="40"/>
  <c r="B2" i="70" l="1"/>
  <c r="B3" i="70" s="1"/>
  <c r="AA7" i="40"/>
  <c r="R42" i="40" s="1"/>
  <c r="S7" i="40"/>
  <c r="AB7" i="39"/>
  <c r="T47" i="39" s="1"/>
  <c r="G47" i="39" s="1"/>
  <c r="U7" i="39"/>
  <c r="S7" i="39"/>
  <c r="AA7" i="39"/>
  <c r="R47" i="39" s="1"/>
  <c r="AB7" i="40"/>
  <c r="T42" i="40" s="1"/>
  <c r="G42" i="40" s="1"/>
  <c r="U7" i="40"/>
  <c r="AC7" i="40"/>
  <c r="V42" i="40" s="1"/>
  <c r="I42" i="40" s="1"/>
  <c r="W7" i="40"/>
  <c r="AC7" i="39"/>
  <c r="V47" i="39" s="1"/>
  <c r="I47" i="39" s="1"/>
  <c r="W7" i="39"/>
  <c r="C4" i="12"/>
  <c r="C23" i="12" l="1"/>
  <c r="C31" i="12"/>
  <c r="I51" i="39"/>
  <c r="J51" i="39" s="1"/>
  <c r="I46" i="40"/>
  <c r="J46" i="40" s="1"/>
  <c r="G46" i="40"/>
  <c r="H46" i="40" s="1"/>
  <c r="G47" i="40"/>
  <c r="H47" i="40" s="1"/>
  <c r="G52" i="39"/>
  <c r="H52" i="39" s="1"/>
  <c r="G51" i="39"/>
  <c r="H51" i="39" s="1"/>
  <c r="R43" i="40"/>
  <c r="E42" i="40"/>
  <c r="E47" i="39"/>
  <c r="I52" i="39" s="1"/>
  <c r="J52" i="39" s="1"/>
  <c r="R48" i="39"/>
  <c r="C47" i="39" l="1"/>
  <c r="C48" i="39"/>
  <c r="E47" i="40"/>
  <c r="F47" i="40" s="1"/>
  <c r="E46" i="40"/>
  <c r="F46" i="40" s="1"/>
  <c r="C27" i="12"/>
  <c r="C25" i="12" s="1"/>
  <c r="C30" i="12"/>
  <c r="C28" i="12" s="1"/>
  <c r="E51" i="39"/>
  <c r="F51" i="39" s="1"/>
  <c r="E52" i="39"/>
  <c r="F52" i="39" s="1"/>
  <c r="C43" i="40"/>
  <c r="C42" i="40"/>
  <c r="I47" i="40"/>
  <c r="J47" i="40" s="1"/>
  <c r="C32" i="12" l="1"/>
  <c r="B2" i="12" s="1"/>
  <c r="B3" i="12" s="1"/>
  <c r="B51" i="40"/>
  <c r="F51" i="40" s="1"/>
  <c r="B52" i="40"/>
  <c r="F52" i="40" s="1"/>
  <c r="B53" i="40"/>
  <c r="F53" i="40" s="1"/>
  <c r="B54" i="40"/>
  <c r="F54" i="40" s="1"/>
  <c r="B55" i="40"/>
  <c r="F55" i="40" s="1"/>
  <c r="B56" i="40"/>
  <c r="F56" i="40" s="1"/>
  <c r="B57" i="40"/>
  <c r="F57" i="40" s="1"/>
  <c r="B58" i="40"/>
  <c r="F58" i="40" s="1"/>
  <c r="B59" i="40"/>
  <c r="F59" i="40" s="1"/>
  <c r="B60" i="40"/>
  <c r="F60"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9" i="9"/>
  <c r="D20" i="9"/>
  <c r="G19" i="9" l="1"/>
  <c r="G21" i="9" s="1"/>
  <c r="D102" i="9"/>
  <c r="D22" i="9"/>
  <c r="D21" i="9"/>
  <c r="D103" i="9"/>
  <c r="G20" i="9"/>
  <c r="F61" i="40"/>
  <c r="B2" i="40" s="1"/>
  <c r="B3" i="40" s="1"/>
  <c r="C32" i="9" l="1"/>
  <c r="H118" i="9" s="1"/>
  <c r="C35" i="9" l="1"/>
  <c r="F118" i="9" s="1"/>
  <c r="G118" i="9" s="1"/>
  <c r="G4" i="52" s="1"/>
  <c r="B52" i="72" s="1"/>
  <c r="H101" i="9"/>
  <c r="H119" i="9"/>
  <c r="H5" i="52" s="1"/>
  <c r="H4" i="52"/>
  <c r="I118" i="9"/>
  <c r="D14" i="74"/>
  <c r="C104" i="9"/>
  <c r="F119" i="9" l="1"/>
  <c r="F5" i="52" s="1"/>
  <c r="B53" i="72" s="1"/>
  <c r="F4" i="52"/>
  <c r="B51" i="72" s="1"/>
  <c r="C34" i="9"/>
  <c r="D118" i="9" s="1"/>
  <c r="D119" i="9" s="1"/>
  <c r="D5" i="52" s="1"/>
  <c r="B49" i="72" s="1"/>
  <c r="E118" i="9"/>
  <c r="E4" i="52" s="1"/>
  <c r="B48" i="72" s="1"/>
  <c r="I4" i="52"/>
  <c r="H102" i="9"/>
  <c r="D7" i="53" s="1"/>
  <c r="B21" i="72" s="1"/>
  <c r="C105" i="9"/>
  <c r="E14" i="74"/>
  <c r="B5" i="74"/>
  <c r="F14" i="74"/>
  <c r="H107" i="9"/>
  <c r="M48" i="9"/>
  <c r="D45" i="9"/>
  <c r="D5" i="53"/>
  <c r="D4" i="52" l="1"/>
  <c r="B47" i="72" s="1"/>
  <c r="D6" i="53"/>
  <c r="B22" i="72" s="1"/>
  <c r="B20" i="72"/>
  <c r="C93" i="9"/>
  <c r="C86" i="9" s="1"/>
  <c r="D52" i="9"/>
  <c r="D55" i="9"/>
  <c r="M53" i="9" s="1"/>
  <c r="C64" i="9"/>
  <c r="C63" i="9" s="1"/>
  <c r="C67" i="9" s="1"/>
  <c r="C68" i="9" s="1"/>
  <c r="D54" i="9" s="1"/>
  <c r="C72" i="9"/>
  <c r="D53" i="9"/>
  <c r="C78" i="9"/>
  <c r="C73" i="9" s="1"/>
  <c r="C85" i="9"/>
  <c r="D122" i="9"/>
  <c r="H108" i="9"/>
  <c r="D15" i="53" s="1"/>
  <c r="B31" i="72" s="1"/>
  <c r="D13" i="53"/>
  <c r="M49" i="9"/>
  <c r="D5" i="74"/>
  <c r="C5" i="74"/>
  <c r="D14" i="53" l="1"/>
  <c r="B32" i="72" s="1"/>
  <c r="B30" i="72"/>
  <c r="C79" i="9"/>
  <c r="G14" i="74"/>
  <c r="B6" i="74" s="1"/>
  <c r="D123" i="9"/>
  <c r="D9" i="52" s="1"/>
  <c r="D8" i="52"/>
  <c r="L65" i="9"/>
  <c r="M65" i="9" s="1"/>
  <c r="L68" i="9"/>
  <c r="M68" i="9" s="1"/>
  <c r="L67" i="9"/>
  <c r="M67" i="9" s="1"/>
  <c r="L63" i="9"/>
  <c r="M63" i="9" s="1"/>
  <c r="L66" i="9"/>
  <c r="M66" i="9" s="1"/>
  <c r="L64" i="9"/>
  <c r="M64" i="9" s="1"/>
  <c r="C95" i="9"/>
  <c r="C80" i="9" l="1"/>
  <c r="E80" i="9" s="1"/>
  <c r="E81" i="9" s="1"/>
  <c r="C96" i="9"/>
  <c r="E96" i="9" s="1"/>
  <c r="E97" i="9" s="1"/>
  <c r="D6" i="74"/>
  <c r="C6" i="74"/>
  <c r="M69" i="9"/>
  <c r="N69" i="9" s="1"/>
  <c r="C97" i="9" l="1"/>
  <c r="D58" i="9" s="1"/>
  <c r="D56" i="9" s="1"/>
  <c r="M54" i="9" s="1"/>
  <c r="N57" i="9" s="1"/>
  <c r="P57" i="9" s="1"/>
  <c r="C81" i="9"/>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<sst xmlns="http://schemas.openxmlformats.org/spreadsheetml/2006/main" count="8673" uniqueCount="3332">
  <si>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</si>
  <si>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</si>
  <si>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</si>
  <si>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</si>
  <si>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</si>
  <si>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</si>
  <si>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</si>
  <si>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</si>
  <si>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</si>
  <si>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</si>
  <si>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</si>
  <si>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</si>
  <si>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</si>
  <si>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</si>
  <si>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</si>
  <si>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</si>
  <si>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</si>
  <si>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</si>
  <si>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</si>
  <si>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</si>
  <si>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</si>
  <si>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</si>
  <si>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</si>
  <si>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</si>
  <si>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</si>
  <si>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</si>
  <si>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</si>
  <si>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</si>
  <si>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</si>
  <si>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</si>
  <si>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</si>
  <si>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</si>
  <si>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</si>
  <si>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</si>
  <si>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</si>
  <si>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</si>
  <si>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</si>
  <si>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</si>
  <si>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</si>
  <si>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</si>
  <si>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</si>
  <si>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</si>
  <si>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</si>
  <si>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</si>
  <si>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</si>
  <si>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</si>
  <si>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</si>
  <si>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</si>
  <si>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</si>
  <si>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</si>
  <si>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</si>
  <si>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</si>
  <si>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</si>
  <si>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</si>
  <si>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</si>
  <si>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</si>
  <si>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</si>
  <si>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</si>
  <si>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</si>
  <si>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</si>
  <si>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</si>
  <si>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</si>
  <si>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</si>
  <si>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</si>
  <si>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</si>
  <si>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</si>
  <si>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</si>
  <si>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</si>
  <si>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</si>
  <si>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</si>
  <si>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</si>
  <si>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</si>
  <si>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</si>
  <si>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</si>
  <si>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</si>
  <si>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</si>
  <si>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</si>
  <si>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</si>
  <si>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</si>
  <si>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</si>
  <si>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</si>
  <si>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</si>
  <si>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</si>
  <si>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</si>
  <si>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</si>
  <si>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</si>
  <si>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</si>
  <si>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</si>
  <si>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</si>
  <si>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</si>
  <si>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</si>
  <si>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</si>
  <si>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</si>
  <si>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</si>
  <si>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</si>
  <si>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</si>
  <si>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</si>
  <si>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</si>
  <si>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</si>
  <si>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</si>
  <si>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</si>
  <si>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</si>
  <si>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</si>
  <si>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</si>
  <si>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</si>
  <si>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</si>
  <si>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</si>
  <si>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</si>
  <si>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</si>
  <si>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</si>
  <si>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</si>
  <si>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</si>
  <si>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</si>
  <si>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</si>
  <si>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</si>
  <si>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</si>
  <si>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</si>
  <si>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</si>
  <si>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</si>
  <si>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</si>
  <si>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</si>
  <si>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</si>
  <si>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</si>
  <si>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</si>
  <si>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</si>
  <si>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</si>
  <si>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</si>
  <si>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</si>
  <si>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</si>
  <si>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</si>
  <si>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</si>
  <si>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</si>
  <si>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</si>
  <si>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</si>
  <si>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</si>
  <si>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</si>
  <si>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</si>
  <si>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</si>
  <si>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</si>
  <si>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</si>
  <si>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</si>
  <si>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</si>
  <si>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</si>
  <si>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</si>
  <si>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</si>
  <si>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</si>
  <si>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</si>
  <si>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</si>
  <si>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</si>
  <si>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</si>
  <si>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</si>
  <si>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</si>
  <si>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</si>
  <si>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</si>
  <si>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</si>
  <si>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</si>
  <si>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</si>
  <si>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</si>
  <si>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</si>
  <si>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</si>
  <si>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</si>
  <si>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</si>
  <si>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</si>
  <si>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</si>
  <si>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</si>
  <si>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</si>
  <si>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</si>
  <si>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</si>
  <si>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</si>
  <si>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</si>
  <si>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</si>
  <si>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</si>
  <si>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</si>
  <si>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</si>
  <si>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</si>
  <si>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</si>
  <si>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</si>
  <si>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</si>
  <si>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</si>
  <si>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</si>
  <si>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</si>
  <si>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</si>
  <si>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</si>
  <si>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</si>
  <si>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</si>
  <si>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</si>
  <si>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</si>
  <si>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</si>
  <si>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</si>
  <si>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</si>
  <si>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</si>
  <si>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</si>
  <si>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</si>
  <si>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</si>
  <si>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</si>
  <si>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</si>
  <si>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</si>
  <si>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</si>
  <si>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</si>
  <si>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</si>
  <si>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</si>
  <si>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</si>
  <si>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</si>
  <si>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</si>
  <si>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</si>
  <si>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</si>
  <si>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</si>
  <si>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</si>
  <si>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</si>
  <si>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</si>
  <si>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</si>
  <si>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</si>
  <si>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</si>
  <si>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</si>
  <si>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</si>
  <si>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</si>
  <si>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</si>
  <si>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</si>
  <si>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</si>
  <si>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</si>
  <si>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</si>
  <si>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</si>
  <si>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</si>
  <si>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</si>
  <si>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</si>
  <si>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</si>
  <si>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</si>
  <si>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</si>
  <si>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</si>
  <si>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</si>
  <si>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</si>
  <si>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</si>
  <si>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</si>
  <si>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</si>
  <si>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</si>
  <si>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</si>
  <si>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</si>
  <si>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</si>
  <si>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</si>
  <si>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</si>
  <si>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</si>
  <si>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</si>
  <si>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</si>
  <si>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</si>
  <si>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</si>
  <si>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</si>
  <si>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</si>
  <si>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</si>
  <si>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</si>
  <si>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</si>
  <si>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</si>
  <si>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</si>
  <si>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</si>
  <si>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</si>
  <si>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</si>
  <si>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</si>
  <si>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</si>
  <si>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</si>
  <si>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</si>
  <si>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</si>
  <si>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</si>
  <si>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</si>
  <si>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</si>
  <si>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</si>
  <si>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</si>
  <si>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</si>
  <si>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</si>
  <si>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</si>
  <si>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</si>
  <si>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</si>
  <si>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</si>
  <si>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</si>
  <si>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</si>
  <si>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</si>
  <si>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</si>
  <si>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</si>
  <si>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</si>
  <si>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</si>
  <si>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</si>
  <si>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</si>
  <si>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</si>
  <si>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</si>
  <si>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</si>
  <si>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</si>
  <si>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</si>
  <si>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</si>
  <si>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</si>
  <si>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</si>
  <si>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</si>
  <si>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</si>
  <si>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</si>
  <si>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</si>
  <si>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</si>
  <si>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</si>
  <si>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</si>
  <si>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</si>
  <si>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</si>
  <si>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</si>
  <si>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</si>
  <si>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</si>
  <si>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</si>
  <si>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</si>
  <si>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</si>
  <si>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</si>
  <si>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</si>
  <si>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</si>
  <si>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</si>
  <si>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</si>
  <si>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</si>
  <si>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</si>
  <si>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</si>
  <si>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</si>
  <si>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</si>
  <si>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</si>
  <si>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</si>
  <si>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</si>
  <si>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</si>
  <si>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</si>
  <si>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</si>
  <si>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</si>
  <si>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</si>
  <si>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</si>
  <si>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</si>
  <si>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</si>
  <si>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</si>
  <si>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</si>
  <si>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</si>
  <si>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</si>
  <si>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</si>
  <si>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</si>
  <si>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</si>
  <si>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</si>
  <si>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</si>
  <si>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</si>
  <si>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</si>
  <si>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</si>
  <si>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</si>
  <si>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</si>
  <si>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</si>
  <si>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</si>
  <si>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</si>
  <si>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</si>
  <si>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</si>
  <si>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</si>
  <si>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</si>
  <si>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</si>
  <si>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</si>
  <si>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</si>
  <si>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</si>
  <si>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</si>
  <si>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</si>
  <si>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</si>
  <si>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</si>
  <si>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</si>
  <si>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</si>
  <si>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</si>
  <si>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</si>
  <si>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</si>
  <si>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</si>
  <si>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</si>
  <si>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</si>
  <si>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</si>
  <si>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</si>
  <si>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</si>
  <si>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</si>
  <si>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</si>
  <si>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</si>
  <si>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</si>
  <si>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</si>
  <si>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</si>
  <si>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</si>
  <si>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</si>
  <si>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</si>
  <si>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</si>
  <si>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</si>
  <si>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</si>
  <si>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</si>
  <si>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</si>
  <si>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</si>
  <si>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</si>
  <si>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</si>
  <si>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</si>
  <si>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</si>
  <si>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</si>
  <si>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</si>
  <si>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</si>
  <si>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</si>
  <si>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</si>
  <si>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</si>
  <si>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</si>
  <si>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</si>
  <si>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</si>
  <si>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</si>
  <si>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</si>
  <si>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</si>
  <si>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</si>
  <si>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</si>
  <si>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</si>
  <si>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</si>
  <si>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</si>
  <si>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</si>
  <si>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</si>
  <si>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</si>
  <si>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</si>
  <si>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</si>
  <si>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</si>
  <si>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</si>
  <si>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</si>
  <si>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</si>
  <si>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</si>
  <si>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</si>
  <si>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</si>
  <si>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</si>
  <si>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</si>
  <si>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</si>
  <si>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</si>
  <si>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</si>
  <si>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</si>
  <si>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</si>
  <si>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</si>
  <si>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</si>
  <si>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</si>
  <si>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</si>
  <si>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</si>
  <si>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</si>
  <si>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</si>
  <si>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</si>
  <si>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</si>
  <si>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</si>
  <si>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</si>
  <si>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</si>
  <si>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</si>
  <si>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</si>
  <si>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</si>
  <si>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</si>
  <si>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</si>
  <si>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</si>
  <si>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</si>
  <si>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</si>
  <si>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</si>
  <si>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</si>
  <si>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</si>
  <si>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</si>
  <si>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</si>
  <si>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</si>
  <si>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</si>
  <si>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</si>
  <si>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</si>
  <si>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</si>
  <si>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</si>
  <si>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</si>
  <si>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</si>
  <si>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</si>
  <si>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</si>
  <si>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</si>
  <si>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</si>
  <si>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</si>
  <si>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</si>
  <si>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</si>
  <si>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</si>
  <si>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</si>
  <si>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</si>
  <si>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</si>
  <si>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</si>
  <si>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</si>
  <si>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</si>
  <si>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</si>
  <si>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</si>
  <si>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</si>
  <si>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</si>
  <si>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</si>
  <si>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</si>
  <si>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</si>
  <si>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</si>
  <si>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</si>
  <si>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</si>
  <si>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</si>
  <si>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</si>
  <si>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</si>
  <si>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</si>
  <si>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</si>
  <si>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</si>
  <si>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</si>
  <si>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</si>
  <si>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</si>
  <si>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</si>
  <si>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</si>
  <si>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</si>
  <si>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</si>
  <si>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</si>
  <si>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</si>
  <si>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</si>
  <si>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</si>
  <si>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</si>
  <si>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</si>
  <si>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</si>
  <si>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</si>
  <si>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</si>
  <si>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</si>
  <si>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</si>
  <si>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</si>
  <si>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</si>
  <si>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</si>
  <si>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</si>
  <si>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</si>
  <si>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</si>
  <si>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</si>
  <si>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</si>
  <si>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</si>
  <si>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</si>
  <si>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</si>
  <si>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</si>
  <si>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</si>
  <si>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</si>
  <si>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</si>
  <si>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</si>
  <si>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</si>
  <si>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</si>
  <si>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</si>
  <si>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</si>
  <si>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</si>
  <si>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</si>
  <si>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</si>
  <si>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</si>
  <si>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</si>
  <si>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</si>
  <si>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</si>
  <si>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</si>
  <si>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</si>
  <si>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</si>
  <si>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</si>
  <si>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</si>
  <si>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</si>
  <si>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</si>
  <si>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</si>
  <si>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</si>
  <si>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</si>
  <si>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</si>
  <si>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</si>
  <si>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</si>
  <si>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</si>
  <si>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</si>
  <si>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</si>
  <si>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</si>
  <si>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</si>
  <si>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</si>
  <si>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</si>
  <si>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</si>
  <si>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</si>
  <si>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</si>
  <si>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</si>
  <si>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</si>
  <si>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</si>
  <si>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</si>
  <si>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</si>
  <si>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</si>
  <si>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</si>
  <si>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</si>
  <si>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</si>
  <si>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</si>
  <si>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</si>
  <si>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</si>
  <si>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</si>
  <si>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</si>
  <si>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</si>
  <si>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</si>
  <si>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</si>
  <si>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</si>
  <si>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</si>
  <si>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</si>
  <si>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</si>
  <si>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</si>
  <si>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</si>
  <si>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</si>
  <si>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</si>
  <si>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</si>
  <si>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</si>
  <si>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</si>
  <si>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</si>
  <si>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</si>
  <si>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</si>
  <si>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</si>
  <si>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</si>
  <si>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</si>
  <si>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</si>
  <si>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</si>
  <si>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</si>
  <si>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</si>
  <si>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</si>
  <si>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</si>
  <si>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</si>
  <si>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</si>
  <si>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</si>
  <si>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</si>
  <si>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</si>
  <si>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</si>
  <si>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</si>
  <si>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</si>
  <si>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</si>
  <si>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</si>
  <si>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</si>
  <si>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</si>
  <si>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</si>
  <si>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</si>
  <si>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</si>
  <si>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</si>
  <si>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</si>
  <si>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</si>
  <si>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</si>
  <si>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</si>
  <si>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</si>
  <si>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</si>
  <si>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</si>
  <si>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</si>
  <si>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</si>
  <si>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</si>
  <si>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</si>
  <si>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</si>
  <si>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</si>
  <si>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</si>
  <si>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</si>
  <si>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</si>
  <si>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</si>
  <si>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</si>
  <si>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</si>
  <si>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</si>
  <si>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</si>
  <si>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</si>
  <si>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</si>
  <si>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</si>
  <si>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</si>
  <si>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</si>
  <si>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</si>
  <si>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</si>
  <si>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</si>
  <si>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</si>
  <si>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</si>
  <si>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</si>
  <si>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</si>
  <si>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</si>
  <si>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</si>
  <si>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</si>
  <si>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</si>
  <si>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</si>
  <si>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</si>
  <si>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</si>
  <si>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</si>
  <si>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</si>
  <si>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</si>
  <si>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</si>
  <si>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</si>
  <si>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</si>
  <si>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</si>
  <si>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</si>
  <si>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</si>
  <si>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</si>
  <si>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</si>
  <si>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</si>
  <si>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</si>
  <si>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</si>
  <si>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</si>
  <si>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</si>
  <si>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</si>
  <si>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</si>
  <si>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</si>
  <si>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</si>
  <si>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</si>
  <si>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</si>
  <si>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</si>
  <si>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</si>
  <si>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</si>
  <si>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</si>
  <si>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</si>
  <si>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</si>
  <si>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</si>
  <si>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</si>
  <si>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</si>
  <si>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</si>
  <si>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</si>
  <si>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</si>
  <si>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</si>
  <si>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</si>
  <si>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</si>
  <si>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</si>
  <si>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</si>
  <si>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</si>
  <si>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</si>
  <si>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</si>
  <si>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</si>
  <si>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</si>
  <si>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</si>
  <si>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</si>
  <si>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</si>
  <si>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</si>
  <si>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</si>
  <si>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</si>
  <si>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</si>
  <si>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</si>
  <si>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</si>
  <si>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</si>
  <si>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</si>
  <si>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</si>
  <si>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</si>
  <si>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</si>
  <si>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</si>
  <si>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</si>
  <si>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</si>
  <si>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</si>
  <si>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</si>
  <si>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</si>
  <si>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</si>
  <si>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</si>
  <si>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</si>
  <si>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</si>
  <si>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</si>
  <si>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</si>
  <si>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</si>
  <si>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</si>
  <si>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</si>
  <si>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</si>
  <si>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</si>
  <si>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</si>
  <si>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</si>
  <si>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</si>
  <si>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</si>
  <si>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</si>
  <si>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</si>
  <si>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</si>
  <si>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</si>
  <si>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</si>
  <si>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</si>
  <si>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</si>
  <si>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</si>
  <si>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</si>
  <si>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</si>
  <si>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</si>
  <si>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</si>
  <si>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</si>
  <si>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</si>
  <si>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</si>
  <si>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</si>
  <si>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</si>
  <si>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</si>
  <si>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</si>
  <si>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</si>
  <si>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</si>
  <si>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</si>
  <si>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</si>
  <si>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</si>
  <si>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</si>
  <si>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</si>
  <si>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</si>
  <si>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</si>
  <si>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</si>
  <si>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</si>
  <si>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</si>
  <si>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</si>
  <si>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</si>
  <si>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</si>
  <si>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</si>
  <si>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</si>
  <si>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</si>
  <si>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</si>
  <si>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</si>
  <si>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</si>
  <si>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</si>
  <si>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</si>
  <si>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</si>
  <si>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</si>
  <si>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</si>
  <si>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</si>
  <si>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</si>
  <si>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</si>
  <si>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</si>
  <si>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</si>
  <si>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</si>
  <si>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</si>
  <si>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</si>
  <si>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</si>
  <si>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</si>
  <si>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</si>
  <si>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</si>
  <si>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</si>
  <si>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</si>
  <si>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</si>
  <si>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</si>
  <si>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</si>
  <si>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</si>
  <si>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</si>
  <si>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</si>
  <si>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</si>
  <si>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</si>
  <si>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</si>
  <si>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</si>
  <si>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</si>
  <si>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</si>
  <si>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</si>
  <si>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</si>
  <si>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</si>
  <si>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</si>
  <si>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</si>
  <si>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</si>
  <si>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</si>
  <si>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</si>
  <si>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</si>
  <si>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</si>
  <si>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</si>
  <si>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</si>
  <si>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</si>
  <si>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</si>
  <si>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</si>
  <si>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</si>
  <si>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</si>
  <si>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</si>
  <si>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</si>
  <si>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</si>
  <si>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</si>
  <si>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</si>
  <si>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</si>
  <si>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</si>
  <si>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</si>
  <si>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</si>
  <si>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</si>
  <si>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</si>
  <si>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</si>
  <si>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</si>
  <si>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</si>
  <si>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</si>
  <si>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</si>
  <si>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</si>
  <si>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</si>
  <si>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</si>
  <si>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</si>
  <si>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</si>
  <si>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</si>
  <si>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</si>
  <si>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</si>
  <si>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</si>
  <si>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</si>
  <si>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</si>
  <si>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</si>
  <si>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</si>
  <si>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</si>
  <si>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</si>
  <si>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</si>
  <si>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</si>
  <si>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</si>
  <si>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</si>
  <si>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</si>
  <si>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</si>
  <si>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</si>
  <si>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</si>
  <si>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</si>
  <si>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</si>
  <si>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</si>
  <si>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</si>
  <si>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</si>
  <si>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</si>
  <si>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</si>
  <si>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</si>
  <si>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</si>
  <si>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</si>
  <si>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</si>
  <si>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</si>
  <si>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</si>
  <si>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</si>
  <si>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</si>
  <si>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</si>
  <si>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</si>
  <si>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</si>
  <si>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</si>
  <si>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</si>
  <si>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</si>
  <si>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</si>
  <si>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</si>
  <si>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</si>
  <si>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</si>
  <si>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</si>
  <si>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</si>
  <si>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</si>
  <si>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</si>
  <si>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</si>
  <si>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</si>
  <si>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</si>
  <si>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</si>
  <si>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</si>
  <si>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</si>
  <si>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</si>
  <si>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</si>
  <si>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</si>
  <si>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</si>
  <si>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</si>
  <si>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</si>
  <si>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</si>
  <si>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</si>
  <si>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</si>
  <si>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</si>
  <si>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</si>
  <si>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</si>
  <si>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</si>
  <si>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</si>
  <si>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</si>
  <si>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</si>
  <si>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</si>
  <si>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</si>
  <si>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</si>
  <si>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</si>
  <si>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</si>
  <si>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</si>
  <si>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</si>
  <si>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</si>
  <si>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</si>
  <si>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</si>
  <si>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</si>
  <si>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</si>
  <si>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</si>
  <si>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</si>
  <si>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</si>
  <si>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</si>
  <si>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</si>
  <si>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</si>
  <si>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</si>
  <si>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</si>
  <si>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</si>
  <si>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</si>
  <si>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</si>
  <si>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</si>
  <si>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</si>
  <si>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</si>
  <si>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</si>
  <si>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</si>
  <si>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</si>
  <si>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</si>
  <si>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</si>
  <si>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</si>
  <si>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</si>
  <si>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</si>
  <si>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</si>
  <si>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</si>
  <si>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</si>
  <si>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</si>
  <si>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</si>
  <si>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</si>
  <si>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</si>
  <si>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</si>
  <si>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</si>
  <si>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</si>
  <si>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</si>
  <si>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</si>
  <si>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</si>
  <si>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</si>
  <si>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</si>
  <si>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</si>
  <si>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</si>
  <si>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</si>
  <si>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</si>
  <si>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</si>
  <si>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</si>
  <si>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</si>
  <si>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</si>
  <si>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</si>
  <si>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</si>
  <si>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</si>
  <si>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</si>
  <si>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</si>
  <si>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</si>
  <si>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</si>
  <si>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</si>
  <si>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</si>
  <si>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</si>
  <si>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</si>
  <si>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</si>
  <si>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</si>
  <si>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</si>
  <si>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</si>
  <si>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</si>
  <si>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</si>
  <si>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</si>
  <si>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</si>
  <si>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</si>
  <si>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</si>
  <si>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</si>
  <si>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</si>
  <si>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</si>
  <si>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</si>
  <si>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</si>
  <si>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</si>
  <si>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</si>
  <si>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</si>
  <si>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</si>
  <si>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</si>
  <si>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</si>
  <si>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</si>
  <si>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</si>
  <si>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</si>
  <si>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</si>
  <si>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</si>
  <si>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</si>
  <si>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</si>
  <si>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</si>
  <si>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</si>
  <si>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</si>
  <si>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</si>
  <si>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</si>
  <si>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</si>
  <si>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</si>
  <si>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</si>
  <si>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</si>
  <si>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</si>
  <si>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</si>
  <si>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</si>
  <si>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</si>
  <si>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</si>
  <si>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</si>
  <si>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</si>
  <si>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</si>
  <si>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</si>
  <si>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</si>
  <si>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</si>
  <si>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</si>
  <si>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</si>
  <si>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</si>
  <si>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</si>
  <si>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</si>
  <si>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</si>
  <si>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</si>
  <si>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</si>
  <si>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</si>
  <si>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</si>
  <si>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</si>
  <si>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</si>
  <si>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</si>
  <si>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</si>
  <si>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</si>
  <si>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</si>
  <si>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</si>
  <si>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</si>
  <si>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</si>
  <si>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</si>
  <si>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</si>
  <si>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</si>
  <si>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</si>
  <si>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</si>
  <si>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</si>
  <si>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</si>
  <si>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</si>
  <si>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</si>
  <si>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</si>
  <si>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</si>
  <si>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</si>
  <si>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</si>
  <si>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</si>
  <si>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</si>
  <si>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</si>
  <si>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</si>
  <si>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</si>
  <si>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</si>
  <si>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</si>
  <si>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</si>
  <si>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</si>
  <si>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</si>
  <si>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</si>
  <si>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</si>
  <si>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</si>
  <si>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</si>
  <si>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</si>
  <si>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</si>
  <si>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</si>
  <si>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</si>
  <si>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</si>
  <si>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</si>
  <si>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</si>
  <si>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</si>
  <si>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</si>
  <si>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</si>
  <si>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</si>
  <si>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</si>
  <si>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</si>
  <si>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</si>
  <si>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</si>
  <si>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</si>
  <si>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</si>
  <si>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</si>
  <si>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</si>
  <si>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</si>
  <si>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</si>
  <si>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</si>
  <si>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</si>
  <si>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</si>
  <si>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</si>
  <si>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</si>
  <si>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</si>
  <si>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</si>
  <si>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</si>
  <si>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</si>
  <si>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</si>
  <si>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</si>
  <si>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</si>
  <si>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</si>
  <si>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</si>
  <si>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</si>
  <si>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</si>
  <si>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</si>
  <si>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</si>
  <si>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</si>
  <si>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</si>
  <si>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</si>
  <si>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</si>
  <si>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</si>
  <si>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</si>
  <si>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</si>
  <si>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</si>
  <si>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</si>
  <si>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</si>
  <si>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</si>
  <si>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</si>
  <si>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</si>
  <si>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</si>
  <si>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</si>
  <si>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</si>
  <si>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</si>
  <si>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</si>
  <si>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</si>
  <si>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</si>
  <si>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</si>
  <si>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</si>
  <si>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</si>
  <si>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</si>
  <si>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</si>
  <si>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</si>
  <si>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</si>
  <si>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</si>
  <si>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</si>
  <si>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</si>
  <si>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</si>
  <si>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</si>
  <si>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</si>
  <si>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</si>
  <si>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</si>
  <si>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</si>
  <si>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</si>
  <si>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</si>
  <si>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</si>
  <si>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</si>
  <si>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</si>
  <si>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</si>
  <si>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</si>
  <si>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</si>
  <si>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</si>
  <si>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</si>
  <si>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</si>
  <si>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</si>
  <si>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</si>
  <si>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</si>
  <si>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</si>
  <si>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</si>
  <si>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</si>
  <si>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</si>
  <si>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</si>
  <si>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</si>
  <si>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</si>
  <si>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</si>
  <si>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</si>
  <si>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</si>
  <si>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</si>
  <si>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</si>
  <si>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</si>
  <si>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</si>
  <si>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</si>
  <si>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</si>
  <si>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</si>
  <si>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</si>
  <si>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</si>
  <si>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</si>
  <si>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</si>
  <si>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</si>
  <si>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</si>
  <si>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</si>
  <si>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</si>
  <si>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</si>
  <si>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</si>
  <si>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</si>
  <si>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</si>
  <si>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</si>
  <si>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</si>
  <si>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</si>
  <si>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</si>
  <si>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</si>
  <si>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</si>
  <si>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</si>
  <si>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</si>
  <si>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</si>
  <si>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</si>
  <si>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</si>
  <si>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</si>
  <si>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</si>
  <si>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</si>
  <si>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</si>
  <si>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</si>
  <si>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</si>
  <si>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</si>
  <si>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</si>
  <si>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</si>
  <si>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</si>
  <si>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</si>
  <si>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</si>
  <si>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</si>
  <si>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</si>
  <si>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</si>
  <si>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</si>
  <si>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</si>
  <si>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</si>
  <si>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</si>
  <si>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</si>
  <si>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</si>
  <si>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</si>
  <si>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</si>
  <si>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</si>
  <si>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</si>
  <si>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</si>
  <si>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</si>
  <si>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</si>
  <si>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</si>
  <si>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</si>
  <si>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</si>
  <si>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</si>
  <si>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</si>
  <si>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</si>
  <si>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</si>
  <si>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</si>
  <si>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</si>
  <si>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</si>
  <si>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</si>
  <si>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</si>
  <si>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</si>
  <si>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</si>
  <si>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</si>
  <si>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</si>
  <si>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</si>
  <si>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</si>
  <si>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</si>
  <si>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</si>
  <si>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</si>
  <si>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</si>
  <si>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</si>
  <si>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</si>
  <si>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</si>
  <si>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</si>
  <si>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</si>
  <si>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</si>
  <si>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</si>
  <si>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</si>
  <si>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</si>
  <si>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</si>
  <si>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</si>
  <si>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</si>
  <si>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</si>
  <si>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</si>
  <si>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</si>
  <si>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</si>
  <si>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</si>
  <si>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</si>
  <si>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</si>
  <si>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</si>
  <si>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</si>
  <si>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</si>
  <si>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</si>
  <si>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</si>
  <si>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</si>
  <si>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</si>
  <si>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</si>
  <si>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</si>
  <si>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</si>
  <si>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</si>
  <si>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</si>
  <si>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</si>
  <si>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</si>
  <si>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</si>
  <si>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</si>
  <si>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</si>
  <si>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</si>
  <si>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</si>
  <si>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</si>
  <si>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</si>
  <si>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</si>
  <si>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</si>
  <si>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</si>
  <si>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</si>
  <si>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</si>
  <si>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</si>
  <si>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</si>
  <si>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</si>
  <si>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</si>
  <si>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</si>
  <si>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</si>
  <si>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</si>
  <si>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</si>
  <si>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</si>
  <si>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</si>
  <si>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</si>
  <si>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</si>
  <si>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</si>
  <si>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</si>
  <si>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</si>
  <si>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</si>
  <si>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</si>
  <si>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</si>
  <si>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</si>
  <si>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</si>
  <si>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</si>
  <si>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</si>
  <si>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</si>
  <si>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</si>
  <si>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</si>
  <si>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</si>
  <si>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</si>
  <si>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</si>
  <si>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</si>
  <si>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</si>
  <si>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</si>
  <si>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</si>
  <si>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</si>
  <si>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</si>
  <si>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</si>
  <si>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</si>
  <si>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</si>
  <si>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</si>
  <si>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</si>
  <si>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</si>
  <si>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</si>
  <si>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</si>
  <si>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</si>
  <si>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</si>
  <si>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</si>
  <si>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</si>
  <si>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</si>
  <si>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</si>
  <si>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</si>
  <si>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</si>
  <si>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</si>
  <si>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</si>
  <si>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</si>
  <si>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</si>
  <si>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</si>
  <si>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</si>
  <si>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</si>
  <si>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</si>
  <si>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</si>
  <si>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</si>
  <si>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</si>
  <si>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</si>
  <si>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</si>
  <si>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</si>
  <si>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</si>
  <si>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</si>
  <si>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</si>
  <si>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</si>
  <si>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</si>
  <si>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</si>
  <si>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</si>
  <si>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</si>
  <si>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</si>
  <si>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</si>
  <si>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</si>
  <si>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</si>
  <si>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</si>
  <si>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</si>
  <si>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</si>
  <si>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</si>
  <si>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</si>
  <si>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</si>
  <si>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</si>
  <si>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</si>
  <si>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</si>
  <si>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</si>
  <si>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</si>
  <si>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</si>
  <si>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</si>
  <si>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</si>
  <si>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</si>
  <si>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</si>
  <si>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</si>
  <si>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</si>
  <si>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</si>
  <si>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</si>
  <si>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</si>
  <si>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</si>
  <si>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</si>
  <si>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</si>
  <si>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</si>
  <si>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</si>
  <si>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</si>
  <si>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</si>
  <si>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</si>
  <si>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</si>
  <si>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</si>
  <si>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</si>
  <si>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</si>
  <si>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</si>
  <si>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</si>
  <si>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</si>
  <si>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</si>
  <si>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</si>
  <si>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</si>
  <si>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</si>
  <si>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</si>
  <si>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</si>
  <si>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</si>
  <si>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</si>
  <si>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</si>
  <si>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</si>
  <si>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</si>
  <si>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</si>
  <si>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</si>
  <si>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</si>
  <si>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</si>
  <si>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</si>
  <si>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</si>
  <si>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</si>
  <si>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</si>
  <si>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</si>
  <si>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</si>
  <si>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</si>
  <si>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</si>
  <si>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</si>
  <si>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</si>
  <si>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</si>
  <si>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</si>
  <si>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</si>
  <si>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</si>
  <si>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</si>
  <si>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</si>
  <si>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</si>
  <si>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</si>
  <si>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</si>
  <si>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</si>
  <si>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</si>
  <si>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</si>
  <si>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</si>
  <si>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</si>
  <si>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</si>
  <si>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</si>
  <si>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</si>
  <si>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</si>
  <si>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</si>
  <si>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</si>
  <si>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</si>
  <si>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</si>
  <si>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</si>
  <si>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</si>
  <si>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</si>
  <si>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</si>
  <si>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</si>
  <si>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</si>
  <si>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</si>
  <si>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</si>
  <si>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</si>
  <si>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</si>
  <si>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</si>
  <si>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</si>
  <si>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</si>
  <si>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</si>
  <si>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</si>
  <si>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</si>
  <si>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</si>
  <si>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</si>
  <si>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</si>
  <si>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</si>
  <si>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</si>
  <si>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</si>
  <si>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</si>
  <si>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</si>
  <si>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</si>
  <si>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</si>
  <si>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</si>
  <si>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</si>
  <si>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</si>
  <si>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</si>
  <si>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</si>
  <si>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</si>
  <si>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</si>
  <si>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</si>
  <si>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</si>
  <si>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</si>
  <si>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</si>
  <si>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</si>
  <si>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</si>
  <si>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</si>
  <si>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</si>
  <si>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</si>
  <si>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</si>
  <si>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</si>
  <si>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</si>
  <si>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</si>
  <si>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</si>
  <si>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</si>
  <si>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</si>
  <si>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</si>
  <si>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</si>
  <si>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</si>
  <si>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</si>
  <si>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</si>
  <si>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</si>
  <si>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</si>
  <si>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</si>
  <si>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</si>
  <si>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</si>
  <si>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</si>
  <si>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</si>
  <si>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</si>
  <si>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</si>
  <si>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</si>
  <si>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</si>
  <si>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</si>
  <si>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</si>
  <si>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</si>
  <si>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</si>
  <si>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</si>
  <si>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</si>
  <si>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</si>
  <si>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</si>
  <si>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</si>
  <si>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</si>
  <si>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</si>
  <si>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</si>
  <si>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</si>
  <si>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</si>
  <si>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</si>
  <si>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</si>
  <si>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</si>
  <si>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</si>
  <si>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</si>
  <si>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</si>
  <si>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</si>
  <si>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</si>
  <si>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</si>
  <si>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</si>
  <si>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</si>
  <si>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</si>
  <si>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</si>
  <si>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</si>
  <si>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</si>
  <si>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</si>
  <si>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</si>
  <si>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</si>
  <si>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</si>
  <si>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</si>
  <si>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</si>
  <si>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</si>
  <si>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</si>
  <si>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</si>
  <si>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</si>
  <si>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</si>
  <si>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</si>
  <si>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</si>
  <si>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</si>
  <si>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</si>
  <si>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</si>
  <si>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</si>
  <si>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</si>
  <si>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</si>
  <si>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</si>
  <si>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</si>
  <si>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</si>
  <si>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</si>
  <si>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</si>
  <si>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</si>
  <si>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</si>
  <si>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</si>
  <si>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</si>
  <si>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</si>
  <si>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</si>
  <si>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</si>
  <si>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</si>
  <si>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</si>
  <si>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</si>
  <si>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</si>
  <si>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</si>
  <si>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</si>
  <si>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</si>
  <si>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</si>
  <si>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</si>
  <si>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</si>
  <si>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</si>
  <si>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</si>
  <si>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</si>
  <si>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</si>
  <si>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</si>
  <si>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</si>
  <si>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</si>
  <si>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</si>
  <si>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</si>
  <si>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</si>
  <si>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</si>
  <si>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</si>
  <si>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</si>
  <si>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</si>
  <si>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</si>
  <si>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</si>
  <si>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</si>
  <si>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</si>
  <si>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</si>
  <si>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</si>
  <si>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</si>
  <si>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</si>
  <si>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</si>
  <si>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</si>
  <si>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</si>
  <si>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</si>
  <si>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</si>
  <si>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</si>
  <si>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</si>
  <si>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</si>
  <si>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</si>
  <si>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</si>
  <si>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</si>
  <si>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</si>
  <si>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</si>
  <si>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</si>
  <si>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</si>
  <si>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</si>
  <si>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</si>
  <si>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</si>
  <si>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</si>
  <si>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</si>
  <si>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</si>
  <si>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</si>
  <si>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</si>
  <si>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</si>
  <si>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</si>
  <si>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</si>
  <si>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</si>
  <si>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</si>
  <si>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</si>
  <si>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</si>
  <si>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</si>
  <si>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</si>
  <si>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</si>
  <si>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</si>
  <si>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</si>
  <si>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</si>
  <si>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</si>
  <si>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</si>
  <si>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</si>
  <si>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</si>
  <si>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</si>
  <si>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</si>
  <si>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</si>
  <si>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</si>
  <si>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</si>
  <si>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</si>
  <si>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</si>
  <si>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</si>
  <si>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</si>
  <si>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</si>
  <si>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</si>
  <si>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</si>
  <si>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</si>
  <si>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</si>
  <si>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</si>
  <si>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</si>
  <si>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</si>
  <si>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</si>
  <si>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</si>
  <si>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</si>
  <si>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</si>
  <si>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</si>
  <si>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</si>
  <si>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</si>
  <si>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</si>
  <si>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</si>
  <si>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</si>
  <si>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</si>
  <si>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</si>
  <si>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</si>
  <si>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</si>
  <si>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</si>
  <si>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</si>
  <si>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</si>
  <si>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</si>
  <si>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</si>
  <si>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</si>
  <si>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</si>
  <si>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</si>
  <si>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</si>
  <si>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</si>
  <si>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</si>
  <si>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</si>
  <si>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</si>
  <si>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</si>
  <si>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</si>
  <si>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</si>
  <si>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</si>
  <si>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</si>
  <si>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</si>
  <si>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</si>
  <si>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</si>
  <si>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</si>
  <si>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</si>
  <si>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</si>
  <si>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</si>
  <si>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</si>
  <si>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</si>
  <si>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</si>
  <si>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</si>
  <si>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</si>
  <si>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</si>
  <si>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</si>
  <si>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</si>
  <si>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</si>
  <si>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</si>
  <si>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</si>
  <si>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</si>
  <si>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</si>
  <si>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</si>
  <si>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</si>
  <si>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</si>
  <si>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</si>
  <si>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</si>
  <si>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</si>
  <si>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</si>
  <si>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</si>
  <si>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</si>
  <si>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</si>
  <si>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</si>
  <si>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</si>
  <si>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</si>
  <si>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</si>
  <si>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</si>
  <si>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</si>
  <si>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</si>
  <si>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</si>
  <si>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</si>
  <si>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</si>
  <si>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</si>
  <si>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</si>
  <si>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</si>
  <si>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</si>
  <si>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</si>
  <si>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</si>
  <si>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</si>
  <si>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</si>
  <si>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</si>
  <si>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</si>
  <si>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</si>
  <si>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</si>
  <si>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</si>
  <si>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</si>
  <si>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</si>
  <si>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</si>
  <si>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</si>
  <si>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</si>
  <si>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</si>
  <si>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</si>
  <si>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</si>
  <si>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</si>
  <si>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</si>
  <si>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</si>
  <si>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</si>
  <si>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</si>
  <si>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</si>
  <si>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</si>
  <si>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</si>
  <si>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</si>
  <si>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</si>
  <si>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</si>
  <si>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</si>
  <si>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</si>
  <si>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</si>
  <si>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</si>
  <si>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</si>
  <si>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</si>
  <si>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</si>
  <si>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</si>
  <si>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</si>
  <si>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</si>
  <si>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</si>
  <si>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</si>
  <si>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</si>
  <si>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</si>
  <si>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</si>
  <si>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</si>
  <si>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</si>
  <si>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</si>
  <si>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</si>
  <si>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</si>
  <si>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</si>
  <si>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</si>
  <si>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</si>
  <si>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</si>
  <si>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</si>
  <si>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</si>
  <si>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</si>
  <si>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</si>
  <si>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</si>
  <si>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</si>
  <si>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</si>
  <si>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</si>
  <si>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</si>
  <si>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</si>
  <si>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</si>
  <si>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</si>
  <si>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</si>
  <si>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</si>
  <si>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</si>
  <si>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</si>
  <si>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</si>
  <si>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</si>
  <si>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</si>
  <si>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</si>
  <si>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</si>
  <si>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</si>
  <si>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</si>
  <si>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</si>
  <si>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</si>
  <si>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</si>
  <si>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</si>
  <si>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</si>
  <si>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</si>
  <si>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</si>
  <si>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</si>
  <si>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</si>
  <si>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</si>
  <si>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</si>
  <si>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</si>
  <si>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</si>
  <si>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</si>
  <si>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</si>
  <si>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</si>
  <si>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</si>
  <si>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</si>
  <si>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</si>
  <si>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</si>
  <si>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</si>
  <si>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</si>
  <si>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</si>
  <si>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</si>
  <si>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</si>
  <si>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</si>
  <si>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</si>
  <si>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</si>
  <si>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</si>
  <si>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</si>
  <si>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</si>
  <si>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</si>
  <si>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</si>
  <si>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</si>
  <si>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</si>
  <si>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</si>
  <si>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</si>
  <si>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</si>
  <si>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</si>
  <si>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</si>
  <si>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</si>
  <si>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</si>
  <si>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</si>
  <si>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</si>
  <si>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</si>
  <si>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</si>
  <si>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</si>
  <si>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</si>
  <si>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</si>
  <si>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</si>
  <si>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</si>
  <si>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</si>
  <si>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</si>
  <si>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</si>
  <si>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</si>
  <si>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</si>
  <si>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</si>
  <si>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</si>
  <si>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</si>
  <si>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</si>
  <si>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</si>
  <si>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</si>
  <si>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</si>
  <si>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</si>
  <si>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</si>
  <si>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</si>
  <si>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</si>
  <si>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</si>
  <si>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</si>
  <si>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</si>
  <si>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</si>
  <si>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</si>
  <si>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</si>
  <si>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</si>
  <si>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</si>
  <si>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</si>
  <si>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</si>
  <si>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</si>
  <si>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</si>
  <si>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</si>
  <si>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</si>
  <si>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</si>
  <si>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</si>
  <si>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</si>
  <si>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</si>
  <si>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</si>
  <si>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</si>
  <si>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</si>
  <si>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</si>
  <si>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</si>
  <si>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</si>
  <si>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</si>
  <si>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</si>
  <si>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</si>
  <si>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</si>
  <si>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</si>
  <si>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</si>
  <si>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</si>
  <si>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</si>
  <si>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</si>
  <si>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</si>
  <si>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</si>
  <si>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</si>
  <si>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</si>
  <si>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</si>
  <si>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</si>
  <si>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</si>
  <si>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</si>
  <si>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</si>
  <si>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</si>
  <si>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</si>
  <si>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</si>
  <si>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</si>
  <si>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</si>
  <si>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</si>
  <si>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</si>
  <si>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</si>
  <si>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</si>
  <si>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</si>
  <si>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</si>
  <si>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</si>
  <si>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</si>
  <si>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</si>
  <si>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</si>
  <si>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</si>
  <si>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</si>
  <si>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</si>
  <si>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</si>
  <si>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</si>
  <si>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</si>
  <si>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</si>
  <si>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</si>
  <si>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</si>
  <si>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</si>
  <si>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</si>
  <si>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</si>
  <si>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</si>
  <si>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</si>
  <si>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</si>
  <si>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</si>
  <si>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</si>
  <si>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</si>
  <si>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</si>
  <si>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</si>
  <si>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</si>
  <si>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</si>
  <si>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</si>
  <si>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</si>
  <si>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</si>
  <si>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</si>
  <si>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</si>
  <si>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</si>
  <si>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</si>
  <si>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</si>
  <si>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</si>
  <si>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</si>
  <si>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</si>
  <si>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</si>
  <si>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</si>
  <si>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</si>
  <si>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</si>
  <si>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</si>
  <si>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</si>
  <si>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</si>
  <si>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</si>
  <si>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</si>
  <si>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</si>
  <si>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</si>
  <si>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</si>
  <si>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</si>
  <si>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</si>
  <si>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</si>
  <si>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</si>
  <si>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</si>
  <si>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</si>
  <si>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</si>
  <si>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</si>
  <si>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</si>
  <si>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</si>
  <si>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</si>
  <si>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</si>
  <si>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</si>
  <si>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</si>
  <si>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</si>
  <si>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</si>
  <si>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</si>
  <si>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</si>
  <si>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</si>
  <si>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</si>
  <si>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</si>
  <si>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</si>
  <si>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</si>
  <si>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</si>
  <si>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</si>
  <si>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</si>
  <si>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</si>
  <si>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</si>
  <si>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</si>
  <si>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</si>
  <si>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</si>
  <si>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</si>
  <si>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</si>
  <si>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</si>
  <si>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</si>
  <si>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</si>
  <si>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</si>
  <si>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</si>
  <si>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</si>
  <si>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</si>
  <si>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</si>
  <si>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</si>
  <si>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</si>
  <si>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</si>
  <si>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</si>
  <si>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</si>
  <si>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</si>
  <si>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</si>
  <si>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</si>
  <si>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</si>
  <si>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</si>
  <si>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</si>
  <si>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</si>
  <si>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</si>
  <si>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</si>
  <si>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</si>
  <si>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</si>
  <si>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</si>
  <si>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</si>
  <si>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</si>
  <si>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</si>
  <si>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</si>
  <si>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</si>
  <si>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</si>
  <si>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</si>
  <si>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</si>
  <si>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</si>
  <si>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</si>
  <si>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</si>
  <si>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</si>
  <si>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</si>
  <si>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</si>
  <si>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</si>
  <si>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</si>
  <si>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</si>
  <si>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</si>
  <si>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</si>
  <si>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</si>
  <si>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</si>
  <si>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</si>
  <si>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</si>
  <si>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</si>
  <si>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</si>
  <si>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</si>
  <si>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</si>
  <si>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</si>
  <si>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</si>
  <si>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</si>
  <si>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</si>
  <si>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</si>
  <si>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</si>
  <si>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</si>
  <si>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</si>
  <si>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</si>
  <si>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</si>
  <si>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</si>
  <si>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</si>
  <si>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</si>
  <si>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</si>
  <si>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</si>
  <si>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</si>
  <si>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</si>
  <si>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</si>
  <si>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</si>
  <si>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</si>
  <si>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</si>
  <si>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</si>
  <si>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</si>
  <si>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</si>
  <si>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</si>
  <si>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</si>
  <si>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</si>
  <si>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</si>
  <si>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</si>
  <si>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</si>
  <si>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</si>
  <si>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</si>
  <si>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</si>
  <si>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</si>
  <si>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</si>
  <si>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</si>
  <si>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</si>
  <si>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</si>
  <si>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</si>
  <si>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</si>
  <si>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</si>
  <si>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</si>
  <si>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</si>
  <si>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</si>
  <si>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</si>
  <si>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</si>
  <si>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</si>
  <si>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</si>
  <si>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</si>
  <si>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</si>
  <si>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</si>
  <si>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</si>
  <si>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</si>
  <si>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</si>
  <si>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</si>
  <si>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</si>
  <si>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</si>
  <si>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</si>
  <si>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</si>
  <si>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</si>
  <si>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</si>
  <si>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</si>
  <si>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</si>
  <si>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</si>
  <si>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</si>
  <si>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</si>
  <si>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</si>
  <si>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</si>
  <si>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</si>
  <si>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</si>
  <si>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</si>
  <si>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</si>
  <si>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</si>
  <si>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</si>
  <si>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</si>
  <si>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</si>
  <si>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</si>
  <si>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</si>
  <si>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</si>
  <si>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</si>
  <si>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</si>
  <si>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</si>
  <si>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</si>
  <si>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</si>
  <si>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</si>
  <si>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</si>
  <si>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</si>
  <si>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</si>
  <si>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</si>
  <si>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</si>
  <si>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</si>
  <si>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</si>
  <si>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</si>
  <si>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</si>
  <si>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</si>
  <si>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</si>
  <si>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</si>
  <si>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</si>
  <si>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</si>
  <si>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</si>
  <si>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</si>
  <si>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</si>
  <si>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</si>
  <si>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</si>
  <si>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</si>
  <si>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</si>
  <si>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</si>
  <si>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</si>
  <si>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</si>
  <si>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</si>
  <si>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</si>
  <si>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</si>
  <si>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</si>
  <si>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</si>
  <si>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</si>
  <si>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</si>
  <si>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</si>
  <si>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</si>
  <si>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</si>
  <si>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</si>
  <si>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</si>
  <si>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</si>
  <si>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</si>
  <si>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</si>
  <si>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</si>
  <si>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</si>
  <si>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</si>
  <si>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</si>
  <si>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</si>
  <si>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</si>
  <si>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</si>
  <si>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</si>
  <si>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</si>
  <si>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</si>
  <si>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</si>
  <si>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</si>
  <si>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</si>
  <si>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</si>
  <si>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</si>
  <si>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</si>
  <si>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</si>
  <si>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</si>
  <si>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</si>
  <si>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</si>
  <si>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</si>
  <si>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</si>
  <si>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</si>
  <si>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</si>
  <si>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</si>
  <si>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</si>
  <si>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</si>
  <si>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</si>
  <si>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</si>
  <si>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</si>
  <si>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</si>
  <si>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</si>
  <si>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</si>
  <si>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</si>
  <si>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</si>
  <si>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</si>
  <si>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</si>
  <si>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</si>
  <si>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</si>
  <si>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</si>
  <si>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</si>
  <si>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</si>
  <si>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</si>
  <si>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</si>
  <si>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</si>
  <si>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</si>
  <si>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</si>
  <si>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</si>
  <si>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</si>
  <si>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</si>
  <si>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</si>
  <si>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</si>
  <si>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</si>
  <si>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</si>
  <si>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</si>
  <si>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</si>
  <si>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</si>
  <si>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</si>
  <si>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</si>
  <si>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</si>
  <si>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</si>
  <si>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</si>
  <si>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</si>
  <si>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</si>
  <si>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</si>
  <si>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</si>
  <si>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</si>
  <si>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</si>
  <si>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</si>
  <si>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</si>
  <si>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</si>
  <si>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</si>
  <si>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</si>
  <si>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</si>
  <si>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</si>
  <si>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</si>
  <si>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</si>
  <si>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</si>
  <si>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</si>
  <si>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</si>
  <si>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</si>
  <si>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</si>
  <si>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</si>
  <si>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</si>
  <si>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</si>
  <si>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</si>
  <si>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</si>
  <si>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</si>
  <si>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</si>
  <si>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</si>
  <si>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</si>
  <si>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</si>
  <si>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</si>
  <si>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</si>
  <si>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</si>
  <si>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</si>
  <si>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</si>
  <si>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</si>
  <si>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</si>
  <si>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</si>
  <si>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</si>
  <si>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</si>
  <si>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</si>
  <si>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</si>
  <si>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</si>
  <si>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</si>
  <si>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</si>
  <si>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</si>
  <si>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</si>
  <si>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</si>
  <si>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</si>
  <si>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</si>
  <si>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</si>
  <si>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</si>
  <si>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</si>
  <si>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</si>
  <si>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</si>
  <si>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</si>
  <si>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</si>
  <si>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</si>
  <si>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</si>
  <si>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</si>
  <si>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</si>
  <si>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</si>
  <si>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</si>
  <si>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</si>
  <si>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</si>
  <si>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</si>
  <si>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</si>
  <si>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</si>
  <si>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</si>
  <si>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</si>
  <si>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</si>
  <si>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</si>
  <si>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</si>
  <si>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</si>
  <si>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</si>
  <si>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</si>
  <si>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</si>
  <si>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</si>
  <si>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</si>
  <si>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</si>
  <si>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</si>
  <si>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</si>
  <si>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</si>
  <si>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</si>
  <si>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</si>
  <si>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</si>
  <si>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</si>
  <si>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</si>
  <si>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</si>
  <si>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</si>
  <si>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</si>
  <si>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</si>
  <si>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</si>
  <si>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</si>
  <si>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</si>
  <si>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</si>
  <si>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</si>
  <si>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</si>
  <si>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</si>
  <si>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</si>
  <si>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</si>
  <si>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</si>
  <si>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</si>
  <si>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</si>
  <si>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</si>
  <si>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</si>
  <si>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</si>
  <si>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</si>
  <si>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</si>
  <si>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</si>
  <si>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</si>
  <si>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</si>
  <si>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</si>
  <si>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</si>
  <si>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</si>
  <si>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</si>
  <si>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</si>
  <si>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</si>
  <si>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</si>
  <si>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</si>
  <si>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</si>
  <si>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</si>
  <si>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</si>
  <si>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</si>
  <si>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</si>
  <si>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</si>
  <si>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</si>
  <si>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</si>
  <si>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</si>
  <si>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</si>
  <si>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</si>
  <si>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</si>
  <si>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</si>
  <si>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</si>
  <si>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</si>
  <si>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</si>
  <si>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</si>
  <si>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</si>
  <si>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</si>
  <si>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</si>
  <si>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</si>
  <si>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</si>
  <si>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</si>
  <si>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</si>
  <si>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</si>
  <si>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</si>
  <si>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</si>
  <si>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</si>
  <si>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</si>
  <si>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</si>
  <si>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</si>
  <si>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</si>
  <si>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</si>
  <si>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</si>
  <si>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</si>
  <si>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</si>
  <si>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</si>
  <si>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</si>
  <si>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</si>
  <si>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</si>
  <si>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</si>
  <si>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</si>
  <si>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</si>
  <si>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</si>
  <si>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</si>
  <si>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</si>
  <si>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</si>
  <si>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</si>
  <si>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</si>
  <si>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</si>
  <si>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</si>
  <si>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</si>
  <si>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</si>
  <si>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</si>
  <si>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</si>
  <si>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</si>
  <si>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</si>
  <si>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</si>
  <si>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</si>
  <si>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</si>
  <si>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</si>
  <si>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</si>
  <si>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</si>
  <si>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</si>
  <si>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</si>
  <si>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</si>
  <si>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</si>
  <si>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</si>
  <si>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</si>
  <si>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</si>
  <si>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</si>
  <si>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</si>
  <si>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</si>
  <si>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</si>
  <si>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</si>
  <si>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</si>
  <si>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</si>
  <si>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</si>
  <si>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</si>
  <si>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</si>
  <si>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</si>
  <si>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</si>
  <si>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</si>
  <si>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</si>
  <si>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</si>
  <si>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</si>
  <si>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</si>
  <si>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</si>
  <si>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</si>
  <si>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</si>
  <si>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</si>
  <si>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</si>
  <si>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</si>
  <si>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</si>
  <si>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</si>
  <si>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</si>
  <si>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</si>
  <si>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</si>
  <si>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</si>
  <si>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</si>
  <si>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</si>
  <si>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</si>
  <si>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</si>
  <si>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</si>
  <si>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</si>
  <si>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</si>
  <si>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</si>
  <si>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</si>
  <si>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</si>
  <si>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</si>
  <si>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</si>
  <si>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</si>
  <si>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</si>
  <si>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</si>
  <si>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</si>
  <si>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</si>
  <si>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</si>
  <si>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</si>
  <si>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</si>
  <si>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</si>
  <si>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</si>
  <si>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</si>
  <si>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</si>
  <si>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</si>
  <si>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</si>
  <si>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</si>
  <si>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</si>
  <si>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</si>
  <si>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</si>
  <si>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</si>
  <si>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</si>
  <si>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</si>
  <si>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</si>
  <si>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</si>
  <si>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</si>
  <si>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</si>
  <si>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</si>
  <si>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</si>
  <si>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</si>
  <si>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</si>
  <si>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</si>
  <si>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</si>
  <si>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</si>
  <si>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</si>
  <si>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</si>
  <si>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</si>
  <si>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</si>
  <si>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</si>
  <si>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</si>
  <si>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</si>
  <si>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</si>
  <si>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</si>
  <si>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</si>
  <si>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</si>
  <si>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</si>
  <si>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</si>
  <si>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</si>
  <si>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</si>
  <si>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</si>
  <si>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</si>
  <si>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</si>
  <si>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</si>
  <si>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</si>
  <si>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</si>
  <si>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</si>
  <si>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</si>
  <si>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</si>
  <si>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</si>
  <si>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</si>
  <si>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</si>
  <si>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</si>
  <si>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</si>
  <si>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</si>
  <si>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</si>
  <si>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</si>
  <si>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</si>
  <si>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</si>
  <si>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</si>
  <si>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</si>
  <si>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</si>
  <si>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</si>
  <si>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</si>
  <si>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</si>
  <si>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</si>
  <si>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</si>
  <si>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</si>
  <si>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</si>
  <si>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</si>
  <si>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</si>
  <si>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</si>
  <si>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</si>
  <si>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</si>
  <si>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</si>
  <si>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</si>
  <si>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</si>
  <si>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</si>
  <si>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</si>
  <si>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</si>
  <si>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</si>
  <si>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</si>
  <si>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</si>
  <si>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</si>
  <si>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</si>
  <si>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</si>
  <si>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</si>
  <si>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</si>
  <si>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</si>
  <si>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</si>
  <si>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</si>
  <si>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</si>
  <si>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</si>
  <si>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</si>
  <si>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</si>
  <si>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</si>
  <si>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</si>
  <si>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</si>
  <si>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</si>
  <si>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</si>
  <si>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</si>
  <si>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</si>
  <si>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</si>
  <si>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</si>
  <si>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</si>
  <si>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</si>
  <si>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</si>
  <si>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</si>
  <si>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</si>
  <si>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</si>
  <si>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</si>
  <si>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</si>
  <si>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</si>
  <si>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</si>
  <si>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</si>
  <si>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</si>
  <si>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</si>
  <si>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</si>
  <si>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</si>
  <si>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</si>
  <si>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</si>
  <si>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</si>
  <si>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</si>
  <si>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</si>
  <si>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</si>
  <si>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</si>
  <si>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</si>
  <si>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</si>
  <si>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</si>
  <si>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</si>
  <si>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</si>
  <si>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</si>
  <si>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</si>
  <si>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</si>
  <si>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</si>
  <si>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</si>
  <si>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</si>
  <si>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</si>
  <si>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</si>
  <si>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</si>
  <si>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</si>
  <si>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</si>
  <si>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</si>
  <si>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</si>
  <si>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</si>
  <si>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</si>
  <si>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</si>
  <si>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</si>
  <si>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</si>
  <si>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</si>
  <si>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</si>
  <si>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</si>
  <si>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</si>
  <si>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</si>
  <si>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</si>
  <si>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</si>
  <si>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</si>
  <si>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</si>
  <si>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</si>
  <si>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</si>
  <si>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</si>
  <si>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</si>
  <si>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</si>
  <si>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</si>
  <si>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</si>
  <si>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</si>
  <si>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</si>
  <si>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</si>
  <si>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</si>
  <si>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</si>
  <si>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</si>
  <si>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</si>
  <si>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</si>
  <si>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</si>
  <si>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</si>
  <si>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</si>
  <si>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</si>
  <si>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</si>
  <si>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</si>
  <si>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</si>
  <si>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</si>
  <si>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</si>
  <si>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</si>
  <si>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</si>
  <si>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</si>
  <si>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</si>
  <si>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</si>
  <si>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</si>
  <si>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</si>
  <si>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</si>
  <si>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</si>
  <si>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</si>
  <si>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</si>
  <si>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</si>
  <si>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</si>
  <si>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</si>
  <si>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</si>
  <si>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</si>
  <si>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</si>
  <si>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</si>
  <si>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</si>
  <si>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</si>
  <si>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</si>
  <si>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</si>
  <si>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</si>
  <si>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</si>
  <si>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</si>
  <si>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</si>
  <si>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</si>
  <si>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</si>
  <si>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</si>
  <si>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</si>
  <si>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</si>
  <si>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</si>
  <si>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</si>
  <si>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</si>
  <si>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</si>
  <si>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</si>
  <si>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</si>
  <si>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</si>
  <si>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</si>
  <si>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</si>
  <si>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</si>
  <si>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</si>
  <si>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</si>
  <si>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</si>
  <si>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</si>
  <si>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</si>
  <si>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</si>
  <si>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</si>
  <si>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</si>
  <si>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</si>
  <si>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</si>
  <si>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</si>
  <si>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</si>
  <si>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</si>
  <si>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</si>
  <si>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</si>
  <si>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</si>
  <si>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</si>
  <si>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</si>
  <si>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</si>
  <si>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</si>
  <si>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</si>
  <si>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</si>
  <si>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</si>
  <si>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</si>
  <si>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</si>
  <si>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</si>
  <si>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</si>
  <si>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</si>
  <si>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</si>
  <si>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</si>
  <si>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</si>
  <si>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</si>
  <si>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</si>
  <si>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</si>
  <si>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</si>
  <si>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</si>
  <si>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</si>
  <si>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</si>
  <si>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</si>
  <si>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</si>
  <si>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</si>
  <si>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</si>
  <si>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</si>
  <si>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</si>
  <si>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</si>
  <si>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</si>
  <si>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</si>
  <si>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</si>
  <si>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</si>
  <si>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</si>
  <si>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</si>
  <si>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</si>
  <si>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</si>
  <si>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</si>
  <si>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</si>
  <si>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</si>
  <si>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</si>
  <si>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</si>
  <si>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</si>
  <si>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</si>
  <si>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</si>
  <si>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</si>
  <si>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</si>
  <si>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</si>
  <si>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</si>
  <si>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</si>
  <si>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</si>
  <si>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</si>
  <si>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</si>
  <si>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</si>
  <si>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</si>
  <si>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</si>
  <si>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</si>
  <si>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</si>
  <si>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</si>
  <si>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</si>
  <si>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</si>
  <si>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</si>
  <si>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</si>
  <si>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</si>
  <si>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</si>
  <si>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</si>
  <si>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</si>
  <si>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</si>
  <si>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</si>
  <si>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</si>
  <si>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</si>
  <si>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</si>
  <si>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</si>
  <si>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</si>
  <si>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</si>
  <si>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</si>
  <si>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</si>
  <si>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</si>
  <si>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</si>
  <si>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</si>
  <si>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</si>
  <si>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</si>
  <si>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</si>
  <si>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</si>
  <si>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</si>
  <si>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</si>
  <si>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</si>
  <si>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</si>
  <si>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</si>
  <si>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</si>
  <si>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</si>
  <si>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</si>
  <si>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</si>
  <si>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</si>
  <si>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</si>
  <si>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</si>
  <si>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</si>
  <si>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</si>
  <si>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</si>
  <si>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</si>
  <si>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</si>
  <si>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</si>
  <si>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</si>
  <si>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</si>
  <si>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</si>
  <si>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</si>
  <si>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</si>
  <si>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</si>
  <si>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</si>
  <si>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</si>
  <si>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</si>
  <si>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</si>
  <si>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</si>
  <si>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</si>
  <si>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</si>
  <si>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</si>
  <si>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</si>
  <si>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</si>
  <si>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</si>
  <si>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</si>
  <si>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</si>
  <si>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</si>
  <si>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</si>
  <si>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</si>
  <si>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</si>
  <si>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</si>
  <si>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</si>
  <si>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</si>
  <si>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</si>
  <si>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</si>
  <si>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</si>
  <si>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</si>
  <si>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</si>
  <si>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</si>
  <si>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</si>
  <si>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</si>
  <si>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</si>
  <si>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</si>
  <si>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</si>
  <si>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</si>
  <si>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</si>
  <si>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</si>
  <si>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</si>
  <si>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</si>
  <si>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</si>
  <si>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</si>
  <si>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</si>
  <si>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</si>
  <si>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</si>
  <si>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</si>
  <si>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</si>
  <si>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</si>
  <si>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</si>
  <si>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</si>
  <si>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</si>
  <si>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</si>
  <si>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</si>
  <si>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</si>
  <si>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</si>
  <si>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</si>
  <si>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</si>
  <si>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</si>
  <si>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</si>
  <si>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</si>
  <si>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</si>
  <si>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</si>
  <si>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</si>
  <si>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</si>
  <si>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</si>
  <si>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</si>
  <si>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</si>
  <si>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</si>
  <si>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</si>
  <si>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</si>
  <si>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</si>
  <si>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</si>
  <si>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</si>
  <si>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</si>
  <si>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</si>
  <si>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</si>
  <si>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</si>
  <si>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</si>
  <si>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</si>
  <si>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</si>
  <si>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</si>
  <si>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</si>
  <si>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</si>
  <si>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</si>
  <si>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</si>
  <si>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</si>
  <si>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</si>
  <si>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</si>
  <si>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</si>
  <si>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</si>
  <si>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</si>
  <si>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</si>
  <si>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</si>
  <si>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</si>
  <si>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</si>
  <si>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</si>
  <si>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</si>
  <si>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</si>
  <si>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</si>
  <si>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</si>
  <si>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</si>
  <si>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</si>
  <si>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</si>
  <si>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</si>
  <si>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</si>
  <si>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</si>
  <si>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</si>
  <si>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</si>
  <si>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</si>
  <si>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</si>
  <si>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</si>
  <si>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</si>
  <si>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</si>
  <si>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</si>
  <si>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</si>
  <si>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</si>
  <si>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</si>
  <si>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</si>
  <si>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</si>
  <si>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</si>
  <si>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</si>
  <si>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</si>
  <si>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</si>
  <si>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</si>
  <si>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</si>
  <si>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</si>
  <si>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</si>
  <si>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</si>
  <si>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</si>
  <si>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</si>
  <si>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</si>
  <si>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</si>
  <si>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</si>
  <si>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</si>
  <si>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</si>
  <si>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</si>
  <si>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</si>
  <si>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</si>
  <si>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</si>
  <si>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</si>
  <si>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</si>
  <si>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</si>
  <si>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</si>
  <si>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</si>
  <si>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</si>
  <si>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</si>
  <si>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</si>
  <si>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</si>
  <si>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</si>
  <si>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</si>
  <si>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</si>
  <si>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</si>
  <si>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</si>
  <si>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</si>
  <si>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</si>
  <si>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</si>
  <si>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</si>
  <si>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</si>
  <si>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</si>
  <si>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</si>
  <si>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</si>
  <si>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</si>
  <si>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</si>
  <si>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</si>
  <si>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</si>
  <si>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</si>
  <si>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</si>
  <si>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</si>
  <si>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</si>
  <si>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</si>
  <si>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</si>
  <si>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</si>
  <si>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</si>
  <si>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</si>
  <si>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</si>
  <si>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</si>
  <si>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</si>
  <si>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</si>
  <si>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</si>
  <si>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</si>
  <si>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</si>
  <si>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</si>
  <si>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</si>
  <si>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</si>
  <si>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</si>
  <si>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</si>
  <si>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</si>
  <si>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</si>
  <si>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</si>
  <si>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</si>
  <si>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</si>
  <si>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</si>
  <si>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</si>
  <si>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</si>
  <si>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</si>
  <si>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</si>
  <si>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</si>
  <si>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</si>
  <si>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</si>
  <si>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</si>
  <si>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</si>
  <si>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</si>
  <si>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</si>
  <si>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</si>
  <si>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</si>
  <si>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</si>
  <si>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</si>
  <si>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</si>
  <si>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</si>
  <si>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</si>
  <si>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</si>
  <si>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</si>
  <si>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</si>
  <si>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</si>
  <si>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</si>
  <si>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</si>
  <si>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</si>
  <si>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</si>
  <si>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</si>
  <si>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</si>
  <si>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</si>
  <si>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</si>
  <si>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</si>
  <si>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</si>
  <si>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</si>
  <si>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</si>
  <si>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</si>
  <si>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</si>
  <si>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</si>
  <si>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</si>
  <si>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</si>
  <si>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</si>
  <si>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</si>
  <si>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</si>
  <si>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</si>
  <si>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</si>
  <si>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</si>
  <si>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</si>
  <si>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</si>
  <si>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</si>
  <si>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</si>
  <si>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</si>
  <si>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</si>
  <si>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</si>
  <si>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</si>
  <si>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</si>
  <si>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</si>
  <si>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</si>
  <si>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</si>
  <si>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</si>
  <si>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</si>
  <si>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</si>
  <si>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</si>
  <si>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</si>
  <si>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</si>
  <si>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</si>
  <si>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</si>
  <si>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</si>
  <si>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</si>
  <si>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</si>
  <si>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</si>
  <si>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</si>
  <si>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</si>
  <si>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</si>
  <si>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</si>
  <si>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</si>
  <si>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</si>
  <si>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</si>
  <si>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</si>
  <si>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</si>
  <si>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</si>
  <si>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</si>
  <si>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</si>
  <si>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</si>
  <si>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</si>
  <si>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</si>
  <si>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</si>
  <si>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</si>
  <si>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</si>
  <si>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</si>
  <si>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</si>
  <si>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</si>
  <si>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</si>
  <si>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</si>
  <si>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</si>
  <si>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</si>
  <si>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</si>
  <si>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</si>
  <si>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</si>
  <si>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</si>
  <si>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</si>
  <si>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</si>
  <si>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</si>
  <si>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</si>
  <si>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</si>
  <si>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</si>
  <si>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</si>
  <si>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</si>
  <si>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</si>
  <si>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否</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</si>
  <si>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</si>
  <si>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</si>
  <si>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</si>
  <si>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</si>
  <si>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</si>
  <si>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</si>
  <si>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</si>
  <si>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</si>
  <si>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</si>
  <si>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</si>
  <si>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</si>
  <si>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</si>
  <si>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</si>
  <si>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</si>
  <si>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</si>
  <si>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</si>
  <si>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</si>
  <si>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</si>
  <si>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</si>
  <si>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</si>
  <si>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</si>
  <si>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</si>
  <si>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</si>
  <si>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</si>
  <si>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</si>
  <si>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</si>
  <si>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</si>
  <si>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</si>
  <si>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</si>
  <si>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</si>
  <si>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</si>
  <si>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</si>
  <si>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</si>
  <si>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</si>
  <si>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</si>
  <si>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</si>
  <si>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</si>
  <si>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</si>
  <si>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</si>
  <si>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</si>
  <si>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</si>
  <si>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</si>
  <si>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</si>
  <si>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</si>
  <si>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</si>
  <si>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</si>
  <si>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</si>
  <si>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</si>
  <si>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</si>
  <si>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</si>
  <si>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</si>
  <si>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</si>
  <si>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</si>
  <si>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</si>
  <si>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</si>
  <si>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</si>
  <si>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</si>
  <si>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</si>
  <si>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</si>
  <si>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</si>
  <si>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</si>
  <si>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</si>
  <si>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</si>
  <si>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</si>
  <si>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</si>
  <si>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</si>
  <si>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</si>
  <si>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</si>
  <si>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</si>
  <si>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</si>
  <si>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</si>
  <si>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</si>
  <si>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</si>
  <si>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</si>
  <si>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</si>
  <si>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</si>
  <si>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</si>
  <si>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</si>
  <si>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</si>
  <si>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</si>
  <si>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</si>
  <si>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</si>
  <si>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</si>
  <si>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</si>
  <si>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</si>
  <si>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</si>
  <si>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</si>
  <si>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</si>
  <si>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</si>
  <si>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</si>
  <si>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</si>
  <si>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</si>
  <si>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</si>
  <si>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</si>
  <si>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</si>
  <si>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</si>
  <si>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</si>
  <si>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</si>
  <si>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</si>
  <si>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</si>
  <si>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</si>
  <si>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</si>
  <si>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</si>
  <si>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</si>
  <si>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</si>
  <si>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</si>
  <si>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</si>
  <si>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</si>
  <si>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</si>
  <si>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</si>
  <si>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</si>
  <si>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</si>
  <si>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</si>
  <si>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</si>
  <si>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</si>
  <si>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</si>
  <si>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</si>
  <si>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</si>
  <si>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</si>
  <si>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</si>
  <si>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</si>
  <si>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</si>
  <si>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</si>
  <si>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</si>
  <si>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</si>
  <si>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</si>
  <si>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</si>
  <si>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</si>
  <si>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</si>
  <si>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</si>
  <si>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</si>
  <si>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</si>
  <si>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</si>
  <si>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</si>
  <si>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</si>
  <si>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</si>
  <si>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</si>
  <si>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</si>
  <si>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</si>
  <si>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</si>
  <si>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</si>
  <si>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</si>
  <si>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</si>
  <si>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</si>
  <si>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</si>
  <si>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</si>
  <si>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</si>
  <si>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</si>
  <si>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</si>
  <si>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</si>
  <si>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</si>
  <si>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</si>
  <si>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</si>
  <si>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</si>
  <si>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</si>
  <si>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</si>
  <si>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</si>
  <si>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</si>
  <si>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</si>
  <si>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</si>
  <si>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</si>
  <si>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</si>
  <si>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</si>
  <si>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</si>
  <si>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</si>
  <si>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</si>
  <si>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</si>
  <si>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</si>
  <si>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</si>
  <si>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</si>
  <si>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</si>
  <si>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</si>
  <si>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</si>
  <si>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</si>
  <si>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</si>
  <si>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</si>
  <si>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</si>
  <si>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</si>
  <si>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</si>
  <si>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</si>
  <si>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</si>
  <si>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</si>
  <si>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</si>
  <si>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</si>
  <si>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</si>
  <si>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</si>
  <si>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</si>
  <si>
    <t>六通一平</t>
  </si>
  <si>
    <t>按公示增长率计算</t>
  </si>
  <si>
    <t>容积率修正</t>
  </si>
  <si>
    <t>较差</t>
  </si>
  <si>
    <t>通热</t>
  </si>
  <si>
    <t>缺少</t>
  </si>
  <si>
    <t>未包含在土地购买价格中</t>
  </si>
  <si>
    <t>按租金收入计税</t>
  </si>
  <si>
    <t>自定义</t>
  </si>
  <si>
    <t>综合利润率</t>
    <phoneticPr fontId="3" type="noConversion"/>
  </si>
  <si>
    <t>工业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</si>
</sst>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2018年6月25日（评估专业人员实地查勘之日）</v>
      </c>
    </row>
    <row r="13" spans="1:2" s="1593" customFormat="1">
      <c r="A13" s="1591" t="s">
        <v>1227</v>
      </c>
      <c r="B13" s="1592" t="str">
        <f>'预评函-1'!A18</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17480</v>
      </c>
    </row>
    <row r="21" spans="1:2" s="1593" customFormat="1">
      <c r="A21" s="1591" t="s">
        <v>1235</v>
      </c>
      <c r="B21" s="1592">
        <f ca="1">'预评函-2'!D7</f>
        <v>5366</v>
      </c>
    </row>
    <row r="22" spans="1:2" s="1593" customFormat="1">
      <c r="A22" s="1591" t="s">
        <v>1236</v>
      </c>
      <c r="B22" s="1592" t="str">
        <f ca="1">'预评函-2'!D6</f>
        <v>壹亿柒仟肆佰捌拾万元整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17480</v>
      </c>
    </row>
    <row r="31" spans="1:2" s="1593" customFormat="1">
      <c r="A31" s="1591" t="s">
        <v>1274</v>
      </c>
      <c r="B31" s="1592">
        <f ca="1">'预评函-2'!D15</f>
        <v>5366</v>
      </c>
    </row>
    <row r="32" spans="1:2" s="1593" customFormat="1">
      <c r="A32" s="1591" t="s">
        <v>1241</v>
      </c>
      <c r="B32" s="1592" t="str">
        <f ca="1">'预评函-2'!D14</f>
        <v>壹亿柒仟肆佰捌拾万元整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32573.120000000003</v>
      </c>
    </row>
    <row r="44" spans="1:2" s="1593" customFormat="1">
      <c r="A44" s="1591" t="s">
        <v>1273</v>
      </c>
      <c r="B44" s="1592" t="str">
        <f>'预评函-3'!C2</f>
        <v>(分摊)土地面积</v>
      </c>
    </row>
    <row r="45" spans="1:2" s="1593" customFormat="1">
      <c r="A45" s="1591" t="s">
        <v>1245</v>
      </c>
      <c r="B45" s="1592">
        <f>'预评函-3'!C4</f>
        <v>11931.94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3081</v>
      </c>
      <c r="C17" s="2015"/>
    </row>
    <row r="18" spans="1:3">
      <c r="A18" s="2014" t="s">
        <v>1767</v>
      </c>
      <c r="B18" s="2014" t="s">
        <v>3126</v>
      </c>
      <c r="C18" s="2015"/>
    </row>
    <row r="19" spans="1:3">
      <c r="A19" s="2014" t="s">
        <v>1768</v>
      </c>
      <c r="B19" s="2014" t="s">
        <v>3127</v>
      </c>
      <c r="C19" s="2015"/>
    </row>
    <row r="20" spans="1:3">
      <c r="A20" s="2014" t="s">
        <v>1769</v>
      </c>
      <c r="B20" s="2014" t="s">
        <v>3128</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3"/>
      <c r="B54" s="2022" t="s">
        <v>864</v>
      </c>
      <c r="C54" s="2019" t="s">
        <v>1281</v>
      </c>
    </row>
    <row r="55" spans="1:4">
      <c r="A55" s="3033"/>
      <c r="B55" s="2022" t="s">
        <v>865</v>
      </c>
      <c r="C55" s="2019" t="s">
        <v>1282</v>
      </c>
    </row>
    <row r="56" spans="1:4">
      <c r="A56" s="3033"/>
      <c r="B56" s="2022" t="s">
        <v>866</v>
      </c>
      <c r="C56" s="2019" t="s">
        <v>1286</v>
      </c>
    </row>
    <row r="57" spans="1:4">
      <c r="A57" s="303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42"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43"/>
      <c r="D1" s="3043"/>
      <c r="E1" s="3043"/>
      <c r="F1" s="3043"/>
      <c r="G1" s="3043"/>
      <c r="H1" s="3043"/>
      <c r="I1" s="304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43276</v>
      </c>
      <c r="C3" s="2037" t="s">
        <v>1779</v>
      </c>
      <c r="D3" s="2036">
        <f>B3</f>
        <v>43276</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1" t="s">
        <v>3048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3049</v>
      </c>
      <c r="C8" s="2055"/>
      <c r="D8" s="3045" t="s">
        <v>1785</v>
      </c>
      <c r="E8" s="2056" t="s">
        <v>3050</v>
      </c>
      <c r="F8" s="2057"/>
      <c r="G8" s="2026"/>
      <c r="H8" s="2026"/>
      <c r="I8" s="2026"/>
      <c r="J8" s="2042"/>
      <c r="K8" s="2043"/>
      <c r="L8" s="2028"/>
      <c r="M8" s="2028"/>
      <c r="N8" s="2029"/>
      <c r="O8" s="2030"/>
      <c r="P8" s="2029"/>
      <c r="Q8" s="2029"/>
      <c r="R8" s="2029"/>
    </row>
    <row r="9" spans="1:19" ht="18" customHeight="1" thickBot="1">
      <c r="A9" s="2040" t="s">
        <v>1786</v>
      </c>
      <c r="B9" s="2058" t="s">
        <v>3050</v>
      </c>
      <c r="C9" s="2059"/>
      <c r="D9" s="3046"/>
      <c r="E9" s="2058"/>
      <c r="F9" s="2060"/>
      <c r="G9" s="2061"/>
      <c r="H9" s="2061"/>
      <c r="I9" s="2061"/>
      <c r="J9" s="2042"/>
      <c r="K9" s="2053"/>
      <c r="L9" s="2028"/>
      <c r="M9" s="2028"/>
      <c r="N9" s="2029"/>
      <c r="O9" s="2030"/>
      <c r="P9" s="2029"/>
      <c r="Q9" s="2029"/>
      <c r="R9" s="2029"/>
    </row>
    <row r="10" spans="1:19" ht="18" customHeight="1" thickTop="1">
      <c r="A10" s="2062" t="s">
        <v>1787</v>
      </c>
      <c r="B10" s="2063" t="s">
        <v>3051</v>
      </c>
      <c r="C10" s="2064"/>
      <c r="D10" s="2047"/>
      <c r="E10" s="2065" t="s">
        <v>1788</v>
      </c>
      <c r="F10" s="2066" t="s">
        <v>3054</v>
      </c>
      <c r="G10" s="2067"/>
      <c r="H10" s="2068"/>
      <c r="I10" s="2047"/>
      <c r="J10" s="2042"/>
      <c r="K10" s="2053"/>
      <c r="L10" s="2028"/>
      <c r="M10" s="2028"/>
      <c r="N10" s="2029"/>
      <c r="O10" s="2030"/>
      <c r="P10" s="2029"/>
      <c r="Q10" s="2029"/>
      <c r="R10" s="2029"/>
    </row>
    <row r="11" spans="1:19" ht="18" customHeight="1">
      <c r="A11" s="2069" t="s">
        <v>1789</v>
      </c>
      <c r="B11" s="2070" t="s">
        <v>3052</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3053</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45.61</v>
      </c>
      <c r="H15" s="1049">
        <f>IF(B12="出让",IF(H13="","",ROUNDDOWN(MIN((H13-$D$3)/365,H14),2)),H14)</f>
        <v>45.61</v>
      </c>
      <c r="I15" s="1049">
        <f>IF(B12="出让",IF(I13="","",ROUNDDOWN(MIN((I13-$D$3)/365,I14),2)),I14)</f>
        <v>45.61</v>
      </c>
      <c r="J15" s="2042"/>
      <c r="K15" s="2082"/>
      <c r="L15" s="2083"/>
      <c r="M15" s="2083"/>
      <c r="N15" s="2084"/>
      <c r="O15" s="2083"/>
      <c r="P15" s="2084"/>
      <c r="Q15" s="2029"/>
      <c r="R15" s="2029"/>
    </row>
    <row r="16" spans="1:19" ht="30.75" customHeight="1">
      <c r="A16" s="2065" t="s">
        <v>1801</v>
      </c>
      <c r="B16" s="3052" t="s">
        <v>3056</v>
      </c>
      <c r="C16" s="3053"/>
      <c r="D16" s="3054"/>
      <c r="E16" s="2085" t="s">
        <v>1802</v>
      </c>
      <c r="F16" s="3055">
        <f>I15</f>
        <v>45.61</v>
      </c>
      <c r="G16" s="3056"/>
      <c r="H16" s="3056"/>
      <c r="I16" s="3057"/>
      <c r="J16" s="2029"/>
      <c r="K16" s="2082"/>
      <c r="L16" s="2083"/>
      <c r="M16" s="2083"/>
      <c r="N16" s="2084"/>
      <c r="O16" s="2083"/>
      <c r="P16" s="2084"/>
      <c r="Q16" s="2029"/>
      <c r="R16" s="2029"/>
    </row>
    <row r="17" spans="1:22" ht="18" customHeight="1">
      <c r="A17" s="2086" t="s">
        <v>1803</v>
      </c>
      <c r="B17" s="2035" t="s">
        <v>1804</v>
      </c>
      <c r="C17" s="1054">
        <f>'数据-汇总表'!E3</f>
        <v>32573.120000000003</v>
      </c>
      <c r="D17" s="2087" t="s">
        <v>1805</v>
      </c>
      <c r="E17" s="3058" t="s">
        <v>1806</v>
      </c>
      <c r="F17" s="3059"/>
      <c r="G17" s="3059"/>
      <c r="H17" s="3059"/>
      <c r="I17" s="3060"/>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11931.94</v>
      </c>
      <c r="D18" s="2090" t="s">
        <v>1805</v>
      </c>
      <c r="E18" s="3061" t="s">
        <v>1809</v>
      </c>
      <c r="F18" s="3062"/>
      <c r="G18" s="3062"/>
      <c r="H18" s="3062"/>
      <c r="I18" s="3063"/>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3057</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8" t="s">
        <v>1814</v>
      </c>
      <c r="C20" s="3049"/>
      <c r="D20" s="3050" t="s">
        <v>1815</v>
      </c>
      <c r="E20" s="3051"/>
      <c r="F20" s="2097" t="s">
        <v>1816</v>
      </c>
      <c r="G20" s="2042"/>
      <c r="H20" s="2042"/>
      <c r="I20" s="2042"/>
      <c r="J20" s="2042"/>
      <c r="K20" s="304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5"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5"/>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5"/>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6"/>
      <c r="B30" s="2035" t="s">
        <v>1833</v>
      </c>
      <c r="C30" s="3037"/>
      <c r="D30" s="3038"/>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9" t="s">
        <v>1834</v>
      </c>
      <c r="B31" s="2126" t="s">
        <v>3058</v>
      </c>
      <c r="C31" s="2127" t="str">
        <f>IF(B31="现房","成新及维护状况正常否",IF(B31="在建","工程状态是否正常",IF(B31="土地","是否闲置","-")))</f>
        <v>工程状态是否正常</v>
      </c>
      <c r="D31" s="2128"/>
      <c r="E31" s="2952" t="s">
        <v>3060</v>
      </c>
      <c r="F31" s="2042"/>
      <c r="G31" s="2042"/>
      <c r="H31" s="2042"/>
      <c r="I31" s="2042"/>
      <c r="J31" s="2042"/>
      <c r="K31" s="2051"/>
      <c r="L31" s="2028"/>
      <c r="M31" s="2028"/>
      <c r="N31" s="2029"/>
      <c r="O31" s="2030"/>
      <c r="P31" s="2029"/>
      <c r="Q31" s="2029"/>
      <c r="R31" s="2029"/>
      <c r="S31" s="2029"/>
      <c r="T31" s="2029"/>
      <c r="U31" s="2029"/>
      <c r="V31" s="2029"/>
    </row>
    <row r="32" spans="1:22" ht="18" customHeight="1">
      <c r="A32" s="3040"/>
      <c r="B32" s="2126" t="s">
        <v>3058</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40"/>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3061</v>
      </c>
      <c r="C34" s="2133" t="s">
        <v>3062</v>
      </c>
      <c r="D34" s="2133" t="s">
        <v>3063</v>
      </c>
      <c r="E34" s="2133" t="s">
        <v>3064</v>
      </c>
      <c r="F34" s="2133" t="s">
        <v>3065</v>
      </c>
      <c r="G34" s="2133"/>
      <c r="H34" s="2133"/>
      <c r="I34" s="2042"/>
      <c r="J34" s="2042"/>
      <c r="K34" s="1795">
        <f>COUNTIF(B34:H34,"——")</f>
        <v>0</v>
      </c>
      <c r="L34" s="2074" t="s">
        <v>1836</v>
      </c>
      <c r="M34" s="2074" t="s">
        <v>1837</v>
      </c>
      <c r="N34" s="2074" t="s">
        <v>1838</v>
      </c>
      <c r="O34" s="2074" t="s">
        <v>1839</v>
      </c>
      <c r="P34" s="2074" t="s">
        <v>1840</v>
      </c>
      <c r="Q34" s="2074" t="s">
        <v>1841</v>
      </c>
      <c r="R34" s="2074" t="s">
        <v>1842</v>
      </c>
      <c r="S34" s="3034" t="s">
        <v>1843</v>
      </c>
      <c r="T34" s="2134" t="str">
        <f>NUMBERSTRING(7-K34,1)&amp;"通"</f>
        <v>七通</v>
      </c>
      <c r="U34" s="2029"/>
      <c r="V34" s="2029"/>
    </row>
    <row r="35" spans="1:22" ht="18" customHeight="1">
      <c r="A35" s="2135"/>
      <c r="B35" s="3041" t="s">
        <v>1844</v>
      </c>
      <c r="C35" s="3041"/>
      <c r="D35" s="3041"/>
      <c r="E35" s="3041"/>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4"/>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3066</v>
      </c>
      <c r="C38" s="2142" t="s">
        <v>3066</v>
      </c>
      <c r="D38" s="2142" t="s">
        <v>3066</v>
      </c>
      <c r="E38" s="2142" t="s">
        <v>3066</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3" t="s">
        <v>3067</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34816.990000000005</v>
      </c>
      <c r="C3" s="2965" t="s">
        <v>3057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34816.990000000005</v>
      </c>
      <c r="H5" s="16">
        <f t="shared" ref="H5:AT5" si="0">SUM(H13:H656)</f>
        <v>31301.47</v>
      </c>
      <c r="I5" s="16">
        <f t="shared" si="0"/>
        <v>16443.89</v>
      </c>
      <c r="J5" s="16">
        <f t="shared" si="0"/>
        <v>0</v>
      </c>
      <c r="K5" s="16">
        <f t="shared" si="0"/>
        <v>8588.09</v>
      </c>
      <c r="L5" s="16">
        <f t="shared" si="0"/>
        <v>0</v>
      </c>
      <c r="M5" s="16">
        <f t="shared" si="0"/>
        <v>6269.49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32573.120000000003</v>
      </c>
      <c r="BA5" s="18">
        <f t="shared" si="1"/>
        <v>31301.47</v>
      </c>
      <c r="BB5" s="18">
        <f t="shared" si="1"/>
        <v>16443.89</v>
      </c>
      <c r="BC5" s="18">
        <f t="shared" si="1"/>
        <v>8588.09</v>
      </c>
      <c r="BD5" s="18">
        <f t="shared" si="1"/>
        <v>6269.49</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12753.900000000001</v>
      </c>
      <c r="F6" s="16" t="s">
        <v>1</v>
      </c>
      <c r="G6" s="16" t="s">
        <v>2</v>
      </c>
      <c r="H6" s="20">
        <f>SUMIF(I$12:AB$12,"总值",I6:AB6)</f>
        <v>11466.12</v>
      </c>
      <c r="I6" s="16">
        <f t="shared" ref="I6:AB6" si="2">ROUND($A$3*I5/$B$3,2)</f>
        <v>6023.6</v>
      </c>
      <c r="J6" s="16">
        <f t="shared" si="2"/>
        <v>0</v>
      </c>
      <c r="K6" s="16">
        <f t="shared" si="2"/>
        <v>3145.93</v>
      </c>
      <c r="L6" s="16">
        <f t="shared" si="2"/>
        <v>0</v>
      </c>
      <c r="M6" s="16">
        <f t="shared" si="2"/>
        <v>2296.59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465.82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465.82</v>
      </c>
      <c r="AM6" s="16">
        <f t="shared" si="3"/>
        <v>0</v>
      </c>
      <c r="AN6" s="16">
        <f t="shared" si="3"/>
        <v>0</v>
      </c>
      <c r="AO6" s="16">
        <f t="shared" si="3"/>
        <v>0</v>
      </c>
      <c r="AP6" s="16">
        <f t="shared" si="3"/>
        <v>0</v>
      </c>
      <c r="AQ6" s="16">
        <f t="shared" si="3"/>
        <v>0</v>
      </c>
      <c r="AR6" s="16">
        <f t="shared" si="3"/>
        <v>0</v>
      </c>
      <c r="AS6" s="16">
        <f t="shared" si="3"/>
        <v>0</v>
      </c>
      <c r="AT6" s="20">
        <f>IF(C3="是",ROUND($A$3*AT5/$B$3,2),0)</f>
        <v>821.96</v>
      </c>
      <c r="AU6" s="2175"/>
      <c r="AV6" s="15" t="s">
        <v>1880</v>
      </c>
      <c r="AW6" s="2173"/>
      <c r="AX6" s="2173"/>
      <c r="AY6" s="21">
        <f>IF(AY3&gt;0,AY3,ROUND($A$3*AZ5/$B$3,2))</f>
        <v>11931.94</v>
      </c>
      <c r="AZ6" s="16" t="s">
        <v>3</v>
      </c>
      <c r="BA6" s="16">
        <f>ROUND($AY$6*BA5/$AZ$5,2)</f>
        <v>11466.12</v>
      </c>
      <c r="BB6" s="16">
        <f>ROUND($AY$6*BB5/$AZ$5,2)</f>
        <v>6023.6</v>
      </c>
      <c r="BC6" s="16">
        <f t="shared" ref="BC6:BH6" si="4">ROUND($AY$6*BC5/$AZ$5,2)</f>
        <v>3145.92</v>
      </c>
      <c r="BD6" s="16">
        <f t="shared" si="4"/>
        <v>2296.59</v>
      </c>
      <c r="BE6" s="16">
        <f t="shared" si="4"/>
        <v>0</v>
      </c>
      <c r="BF6" s="16">
        <f t="shared" si="4"/>
        <v>0</v>
      </c>
      <c r="BG6" s="16">
        <f t="shared" si="4"/>
        <v>0</v>
      </c>
      <c r="BH6" s="16">
        <f t="shared" si="4"/>
        <v>0</v>
      </c>
      <c r="BI6" s="16">
        <f t="shared" ref="BI6:BT6" si="5">ROUND($AY$6*BI5/$AZ$5,2)</f>
        <v>0</v>
      </c>
      <c r="BJ6" s="16">
        <f t="shared" si="5"/>
        <v>0</v>
      </c>
      <c r="BK6" s="16">
        <f t="shared" si="5"/>
        <v>0</v>
      </c>
      <c r="BL6" s="16">
        <f t="shared" si="5"/>
        <v>465.82</v>
      </c>
      <c r="BM6" s="16">
        <f t="shared" si="5"/>
        <v>0</v>
      </c>
      <c r="BN6" s="16">
        <f t="shared" si="5"/>
        <v>0</v>
      </c>
      <c r="BO6" s="16">
        <f t="shared" si="5"/>
        <v>0</v>
      </c>
      <c r="BP6" s="16">
        <f t="shared" si="5"/>
        <v>0</v>
      </c>
      <c r="BQ6" s="16">
        <f t="shared" si="5"/>
        <v>465.82</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3071</v>
      </c>
      <c r="J9" s="981"/>
      <c r="K9" s="2190" t="s">
        <v>3072</v>
      </c>
      <c r="L9" s="981"/>
      <c r="M9" s="2190" t="s">
        <v>3072</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3074</v>
      </c>
      <c r="L10" s="981"/>
      <c r="M10" s="2196" t="s">
        <v>3075</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3073</v>
      </c>
      <c r="J11" s="2202"/>
      <c r="K11" s="2201" t="s">
        <v>3074</v>
      </c>
      <c r="L11" s="2202"/>
      <c r="M11" s="2201" t="s">
        <v>3074</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3" t="s">
        <v>3068</v>
      </c>
      <c r="B13" s="1272" t="s">
        <v>3069</v>
      </c>
      <c r="C13" s="2953" t="s">
        <v>3070</v>
      </c>
      <c r="D13" s="2212" t="s">
        <v>3057</v>
      </c>
      <c r="E13" s="16">
        <f>IF($C$3="是",ROUND($A$3*G13/$B$3,2),ROUND($A$3*(G13-AT13)/$B$3,2))</f>
        <v>12753.9</v>
      </c>
      <c r="F13" s="32"/>
      <c r="G13" s="33">
        <f>H13+AC13+AT13</f>
        <v>34816.990000000005</v>
      </c>
      <c r="H13" s="20">
        <f>SUMIF(I$12:AB$12,"总值",I13:AB13)</f>
        <v>31301.47</v>
      </c>
      <c r="I13" s="2213">
        <v>16443.89</v>
      </c>
      <c r="J13" s="2213"/>
      <c r="K13" s="2213">
        <v>8588.09</v>
      </c>
      <c r="L13" s="2213"/>
      <c r="M13" s="2213">
        <v>6269.49</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11931.94</v>
      </c>
      <c r="AZ13" s="16">
        <f>BA13+BL13</f>
        <v>32573.120000000003</v>
      </c>
      <c r="BA13" s="16">
        <f>SUM(BB13:BK13)</f>
        <v>31301.47</v>
      </c>
      <c r="BB13" s="16">
        <f>IF($D13="是",I13-J13,0)</f>
        <v>16443.89</v>
      </c>
      <c r="BC13" s="16">
        <f>IF($D13="是",K13-L13,0)</f>
        <v>8588.09</v>
      </c>
      <c r="BD13" s="16">
        <f>IF($D13="是",M13-N13,0)</f>
        <v>6269.49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75" t="s">
        <v>1939</v>
      </c>
      <c r="B2" s="3075"/>
      <c r="C2" s="3075"/>
      <c r="D2" s="967" t="s">
        <v>1915</v>
      </c>
      <c r="E2" s="2226" t="s">
        <v>1916</v>
      </c>
      <c r="F2" s="1392"/>
      <c r="G2" s="2227"/>
      <c r="H2" s="2228"/>
      <c r="I2" s="2229" t="s">
        <v>1940</v>
      </c>
      <c r="J2" s="1392"/>
      <c r="K2" s="1392"/>
      <c r="L2" s="1392"/>
      <c r="M2" s="1392"/>
      <c r="N2" s="1427"/>
      <c r="O2" s="1392"/>
      <c r="P2" s="1392"/>
    </row>
    <row r="3" spans="1:16" ht="15.75" thickBot="1">
      <c r="A3" s="3076" t="s">
        <v>1913</v>
      </c>
      <c r="B3" s="3076"/>
      <c r="C3" s="3076"/>
      <c r="D3" s="46">
        <f>'数据-基础表'!AY6</f>
        <v>11931.94</v>
      </c>
      <c r="E3" s="46">
        <f>'数据-基础表'!AZ5</f>
        <v>32573.120000000003</v>
      </c>
      <c r="F3" s="1392"/>
      <c r="G3" s="1399"/>
      <c r="H3" s="1247" t="s">
        <v>1914</v>
      </c>
      <c r="I3" s="55">
        <f>ROUND('数据-基础表'!B3/'数据-基础表'!A3,2)</f>
        <v>2.73</v>
      </c>
      <c r="J3" s="1392"/>
      <c r="K3" s="1392"/>
      <c r="L3" s="1392"/>
      <c r="M3" s="1392"/>
      <c r="N3" s="1427"/>
      <c r="O3" s="1392"/>
      <c r="P3" s="1392"/>
    </row>
    <row r="4" spans="1:16" ht="15">
      <c r="A4" s="3077"/>
      <c r="B4" s="3078"/>
      <c r="C4" s="3079"/>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80" t="s">
        <v>1918</v>
      </c>
      <c r="C5" s="3080"/>
      <c r="D5" s="48">
        <f>ROUND($D$3*E5/$E$3,2)</f>
        <v>0</v>
      </c>
      <c r="E5" s="49">
        <f>SUMIF('数据-基础表'!$11:$11,"住宅",'数据-基础表'!$5:$5)</f>
        <v>0</v>
      </c>
      <c r="F5" s="1392"/>
      <c r="G5" s="1399"/>
      <c r="H5" s="1247" t="s">
        <v>1914</v>
      </c>
      <c r="I5" s="55">
        <f>ROUND(E31/D31,2)</f>
        <v>2.73</v>
      </c>
      <c r="J5" s="1392"/>
      <c r="K5" s="1392"/>
      <c r="L5" s="1392"/>
      <c r="M5" s="1392"/>
      <c r="N5" s="1392"/>
      <c r="O5" s="1392"/>
      <c r="P5" s="1392"/>
    </row>
    <row r="6" spans="1:16" ht="15" thickBot="1">
      <c r="A6" s="2233"/>
      <c r="B6" s="3080" t="s">
        <v>1919</v>
      </c>
      <c r="C6" s="3080"/>
      <c r="D6" s="48">
        <f>ROUND($D$3*E6/$E$3,2)</f>
        <v>11931.94</v>
      </c>
      <c r="E6" s="49">
        <f>E3-E5</f>
        <v>32573.120000000003</v>
      </c>
      <c r="F6" s="1392"/>
      <c r="G6" s="2234" t="s">
        <v>1920</v>
      </c>
      <c r="H6" s="1399" t="s">
        <v>1921</v>
      </c>
      <c r="I6" s="939">
        <f>ROUND(F31/D31,2)</f>
        <v>1.48</v>
      </c>
      <c r="J6" s="1392"/>
      <c r="K6" s="1392"/>
      <c r="L6" s="1392"/>
      <c r="M6" s="1392"/>
      <c r="N6" s="1392"/>
      <c r="O6" s="1392"/>
      <c r="P6" s="1392"/>
    </row>
    <row r="7" spans="1:16" ht="15">
      <c r="A7" s="3072"/>
      <c r="B7" s="3073"/>
      <c r="C7" s="3074"/>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6023.6</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2296.59</v>
      </c>
      <c r="E12" s="51">
        <f>SUMPRODUCT(('数据-基础表'!BB10:BK10="地下")*('数据-基础表'!BB11:BK11="仓储")*('数据-基础表'!BB5:BK5))</f>
        <v>6269.49</v>
      </c>
      <c r="F12" s="1392"/>
      <c r="G12" s="2236"/>
      <c r="H12" s="2236"/>
      <c r="I12" s="1392"/>
      <c r="J12" s="1392"/>
      <c r="K12" s="1392"/>
      <c r="L12" s="1392"/>
      <c r="M12" s="1392"/>
      <c r="N12" s="1392"/>
      <c r="O12" s="1392"/>
      <c r="P12" s="1392"/>
    </row>
    <row r="13" spans="1:16">
      <c r="A13" s="2237"/>
      <c r="B13" s="2238"/>
      <c r="C13" s="48" t="s">
        <v>1930</v>
      </c>
      <c r="D13" s="48">
        <f t="shared" si="0"/>
        <v>3145.92</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11466.11</v>
      </c>
      <c r="E16" s="53">
        <f>SUM(E8:E15)</f>
        <v>31301.469999999998</v>
      </c>
      <c r="F16" s="1392"/>
      <c r="G16" s="2236"/>
      <c r="H16" s="2239" t="s">
        <v>1943</v>
      </c>
      <c r="I16" s="2240"/>
      <c r="J16" s="1392"/>
      <c r="K16" s="3069" t="s">
        <v>1943</v>
      </c>
      <c r="L16" s="3070"/>
      <c r="M16" s="3070"/>
      <c r="N16" s="3070"/>
      <c r="O16" s="3070"/>
      <c r="P16" s="3071"/>
    </row>
    <row r="17" spans="1:19" ht="15">
      <c r="A17" s="2241" t="s">
        <v>1944</v>
      </c>
      <c r="B17" s="2242" t="s">
        <v>1945</v>
      </c>
      <c r="C17" s="2243" t="s">
        <v>1946</v>
      </c>
      <c r="D17" s="2244" t="s">
        <v>1934</v>
      </c>
      <c r="E17" s="2245" t="s">
        <v>1935</v>
      </c>
      <c r="F17" s="2246"/>
      <c r="G17" s="2247"/>
      <c r="H17" s="2248" t="s">
        <v>1947</v>
      </c>
      <c r="I17" s="2249" t="s">
        <v>1932</v>
      </c>
      <c r="J17" s="1392"/>
      <c r="K17" s="3066" t="s">
        <v>1948</v>
      </c>
      <c r="L17" s="3067"/>
      <c r="M17" s="3068"/>
      <c r="N17" s="3066" t="s">
        <v>1949</v>
      </c>
      <c r="O17" s="3067"/>
      <c r="P17" s="3068"/>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4" t="s">
        <v>3077</v>
      </c>
      <c r="D19" s="48">
        <f>ROUND($D$3*E19/$E$3,2)</f>
        <v>6023.6</v>
      </c>
      <c r="E19" s="56">
        <f t="shared" ref="E19:E26" si="1">SUM(F19:G19)</f>
        <v>16443.89</v>
      </c>
      <c r="F19" s="57">
        <f>'数据-基础表'!I13</f>
        <v>16443.89</v>
      </c>
      <c r="G19" s="58"/>
      <c r="H19" s="723">
        <f>ROUND($D$3*I19/$E$3,2)</f>
        <v>244.72</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6268.3200000000006</v>
      </c>
      <c r="S19" s="1248">
        <f t="shared" si="5"/>
        <v>17111.939999999999</v>
      </c>
    </row>
    <row r="20" spans="1:19">
      <c r="A20" s="2261"/>
      <c r="B20" s="50" t="s">
        <v>1961</v>
      </c>
      <c r="C20" s="2954" t="s">
        <v>3078</v>
      </c>
      <c r="D20" s="48">
        <f t="shared" ref="D20:D26" si="6">ROUND($D$3*E20/$E$3,2)</f>
        <v>3145.92</v>
      </c>
      <c r="E20" s="56">
        <f t="shared" si="1"/>
        <v>8588.09</v>
      </c>
      <c r="F20" s="57"/>
      <c r="G20" s="58">
        <f>'数据-基础表'!K13</f>
        <v>8588.09</v>
      </c>
      <c r="H20" s="723">
        <f t="shared" ref="H20:H26" si="7">ROUND($D$3*I20/$E$3,2)</f>
        <v>127.81</v>
      </c>
      <c r="I20" s="51">
        <f t="shared" si="2"/>
        <v>348.9</v>
      </c>
      <c r="J20" s="1392"/>
      <c r="K20" s="1391">
        <f t="shared" si="3"/>
        <v>348.9</v>
      </c>
      <c r="L20" s="1247">
        <f t="shared" si="4"/>
        <v>0</v>
      </c>
      <c r="M20" s="1403">
        <f t="shared" ref="M20:M26" si="8">K20+L20</f>
        <v>348.9</v>
      </c>
      <c r="N20" s="2259"/>
      <c r="O20" s="2260"/>
      <c r="P20" s="1403">
        <f t="shared" ref="P20:P26" si="9">N20+O20</f>
        <v>0</v>
      </c>
      <c r="R20" s="1247">
        <f t="shared" si="5"/>
        <v>3273.73</v>
      </c>
      <c r="S20" s="1248">
        <f t="shared" si="5"/>
        <v>8936.99</v>
      </c>
    </row>
    <row r="21" spans="1:19">
      <c r="A21" s="2261"/>
      <c r="B21" s="50" t="s">
        <v>1961</v>
      </c>
      <c r="C21" s="2954" t="s">
        <v>3080</v>
      </c>
      <c r="D21" s="48">
        <f t="shared" si="6"/>
        <v>2296.59</v>
      </c>
      <c r="E21" s="56">
        <f t="shared" si="1"/>
        <v>6269.49</v>
      </c>
      <c r="F21" s="57"/>
      <c r="G21" s="58">
        <f>'数据-基础表'!M13</f>
        <v>6269.49</v>
      </c>
      <c r="H21" s="723">
        <f t="shared" si="7"/>
        <v>93.3</v>
      </c>
      <c r="I21" s="51">
        <f t="shared" si="2"/>
        <v>254.7</v>
      </c>
      <c r="J21" s="1392"/>
      <c r="K21" s="1391">
        <f t="shared" si="3"/>
        <v>254.7</v>
      </c>
      <c r="L21" s="1247">
        <f t="shared" si="4"/>
        <v>0</v>
      </c>
      <c r="M21" s="1403">
        <f t="shared" si="8"/>
        <v>254.7</v>
      </c>
      <c r="N21" s="2259"/>
      <c r="O21" s="2260"/>
      <c r="P21" s="1403">
        <f t="shared" si="9"/>
        <v>0</v>
      </c>
      <c r="R21" s="1247">
        <f t="shared" si="5"/>
        <v>2389.8900000000003</v>
      </c>
      <c r="S21" s="1248">
        <f t="shared" si="5"/>
        <v>6524.19</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1962</v>
      </c>
      <c r="D27" s="1393">
        <f>SUM(D19:D26)</f>
        <v>11466.11</v>
      </c>
      <c r="E27" s="1394">
        <f>IF(SUM(E19:E26)='数据-基础表'!BA5,SUM(E19:E26),IF(F27="地上面积有误","面积有误","地下面积有误"))</f>
        <v>31301.47</v>
      </c>
      <c r="F27" s="1393">
        <f>IF(SUM(F19:F26)=E8,SUM(F19:F26),"地上面积有误")</f>
        <v>16443.89</v>
      </c>
      <c r="G27" s="1395">
        <f>SUM(G19:G26)</f>
        <v>14857.58</v>
      </c>
      <c r="H27" s="1396">
        <f>SUM(H19:H26)</f>
        <v>465.83</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f>IF(SUM(R19:R26)=$D$3,SUM(R19:R26),SUM(R19:R26)&amp;"误差"&amp;ROUND(SUM(R19:R26)-$D$3,2))</f>
        <v>11931.940000000002</v>
      </c>
      <c r="S27" s="1247">
        <f>IF(SUM(S19:S26)=$E$3,SUM(S19:S26),SUM(S19:S26)&amp;"误差"&amp;ROUND(SUM(S19:S26)-E3,2))</f>
        <v>32573.119999999999</v>
      </c>
    </row>
    <row r="28" spans="1:19">
      <c r="A28" s="2261"/>
      <c r="B28" s="50" t="s">
        <v>1963</v>
      </c>
      <c r="C28" s="1259" t="s">
        <v>1964</v>
      </c>
      <c r="D28" s="48">
        <f>ROUND($D$3*E28/$E$3,2)</f>
        <v>465.82</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465.82</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11931.93</v>
      </c>
      <c r="E31" s="729">
        <f>E27+E30</f>
        <v>32573.120000000003</v>
      </c>
      <c r="F31" s="730">
        <f>F27+F30</f>
        <v>17715.54</v>
      </c>
      <c r="G31" s="731">
        <f>G27+G30</f>
        <v>14857.58</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43276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45.61</v>
      </c>
      <c r="G6" s="73">
        <f>IF(ISERROR(ROUND(POWER(1+H6,D6-F6)*(POWER(1+H6,F6)-1)/(POWER(1+H6,D6)-1),3)),0,ROUND(POWER(1+H6,D6-F6)*(POWER(1+H6,F6)-1)/(POWER(1+H6,D6)-1),3))</f>
        <v>0.97699999999999998</v>
      </c>
      <c r="H6" s="802">
        <v>0.05</v>
      </c>
      <c r="I6" s="802">
        <v>5.5E-2</v>
      </c>
      <c r="J6" s="74">
        <v>8.5000000000000006E-2</v>
      </c>
      <c r="K6" s="1251">
        <f>SUMIF('数据-汇总表'!C$19:C$33,A6,'数据-汇总表'!E$19:E$33)</f>
        <v>16443.89</v>
      </c>
      <c r="L6" s="803">
        <v>3000</v>
      </c>
      <c r="M6" s="75">
        <f t="shared" ref="M6:M14" si="0">ROUND(K6*L6/10000,0)</f>
        <v>4933</v>
      </c>
      <c r="N6" s="801">
        <v>0.5</v>
      </c>
      <c r="O6" s="75">
        <f>IF($N$5="成新度","——",ROUND(M6*N6,0))</f>
        <v>2467</v>
      </c>
      <c r="P6" s="76">
        <f>IF($N$5="成新度","——",M6-O6)</f>
        <v>2466</v>
      </c>
      <c r="Q6" s="804">
        <v>0.2</v>
      </c>
      <c r="R6" s="77">
        <f ca="1">SUMIF('数据-汇总表'!C$19:C$33,A6,'数据-汇总表'!R$19:R$27)</f>
        <v>6268.3200000000006</v>
      </c>
      <c r="S6" s="54">
        <f>IF('数据-汇总表'!$I$17="按面积比例",SUMIF('数据-汇总表'!C$19:C$33,A6,'数据-汇总表'!K$19:K$33),SUMIF('数据-汇总表'!C$19:C$33,A6,'数据-汇总表'!N$19:N$33))</f>
        <v>668.05</v>
      </c>
      <c r="T6" s="1443">
        <f>ROUND($L$14*S6/10000,0)</f>
        <v>167</v>
      </c>
      <c r="U6" s="78">
        <v>3.1</v>
      </c>
      <c r="V6" s="79">
        <v>0.02</v>
      </c>
      <c r="W6" s="79">
        <v>0.15</v>
      </c>
      <c r="X6" s="1261"/>
      <c r="Y6" s="80">
        <v>1</v>
      </c>
      <c r="Z6" s="81"/>
      <c r="AA6" s="74"/>
      <c r="AB6" s="74"/>
      <c r="AC6" s="1261"/>
      <c r="AD6" s="82"/>
      <c r="AE6" s="1262">
        <f ca="1">IF(AN6="",0,SUMIF(INDIRECT("'"&amp;AN6&amp;"'"&amp;"!E:E"),$AE$5,INDIRECT("'"&amp;AN6&amp;"'"&amp;"!F:F")))</f>
        <v>44.81</v>
      </c>
      <c r="AF6" s="1804"/>
      <c r="AG6" s="147">
        <f>IF(AF6="",0,AE6-AF6)</f>
        <v>0</v>
      </c>
      <c r="AH6" s="83"/>
      <c r="AI6" s="85">
        <v>365</v>
      </c>
      <c r="AJ6" s="86"/>
      <c r="AK6" s="87">
        <v>1.4999999999999999E-2</v>
      </c>
      <c r="AL6" s="88">
        <v>2E-3</v>
      </c>
      <c r="AM6" s="89">
        <v>1.4999999999999999E-2</v>
      </c>
      <c r="AN6" s="2307" t="s">
        <v>3126</v>
      </c>
      <c r="AO6" s="55">
        <f ca="1">SUMIF(INDIRECT("'"&amp;AN6&amp;"'"&amp;"!A:A"),"总价",INDIRECT("'"&amp;AN6&amp;"'"&amp;"!B:B"))</f>
        <v>25655</v>
      </c>
      <c r="AP6" s="2308">
        <f>IF(C6="住宅",K6*L6,0)</f>
        <v>0</v>
      </c>
      <c r="AQ6" s="55">
        <f>ROUND($L$14*$N$14*S6/10000,0)</f>
        <v>84</v>
      </c>
      <c r="AR6" s="55">
        <f>ROUND($L$14*(1-$N$14)*S6/10000,0)</f>
        <v>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45.61</v>
      </c>
      <c r="G7" s="73">
        <f t="shared" ref="G7:G11" si="2">IF(ISERROR(ROUND(POWER(1+H7,D7-F7)*(POWER(1+H7,F7)-1)/(POWER(1+H7,D7)-1),3)),0,ROUND(POWER(1+H7,D7-F7)*(POWER(1+H7,F7)-1)/(POWER(1+H7,D7)-1),3))</f>
        <v>0.97299999999999998</v>
      </c>
      <c r="H7" s="2966">
        <v>4.4999999999999998E-2</v>
      </c>
      <c r="I7" s="2966">
        <v>4.4999999999999998E-2</v>
      </c>
      <c r="J7" s="74">
        <v>8.5000000000000006E-2</v>
      </c>
      <c r="K7" s="1251">
        <f>SUMIF('数据-汇总表'!C$19:C$33,A7,'数据-汇总表'!E$19:E$33)</f>
        <v>8588.09</v>
      </c>
      <c r="L7" s="803">
        <v>2500</v>
      </c>
      <c r="M7" s="75">
        <f t="shared" si="0"/>
        <v>2147</v>
      </c>
      <c r="N7" s="801">
        <v>0.5</v>
      </c>
      <c r="O7" s="75">
        <f t="shared" ref="O7:O14" si="3">IF($N$5="成新度","——",ROUND(M7*N7,0))</f>
        <v>1074</v>
      </c>
      <c r="P7" s="76">
        <f t="shared" ref="P7:P14" si="4">IF($N$5="成新度","——",M7-O7)</f>
        <v>1073</v>
      </c>
      <c r="Q7" s="804">
        <v>0.1</v>
      </c>
      <c r="R7" s="77">
        <f ca="1">SUMIF('数据-汇总表'!C$19:C$33,A7,'数据-汇总表'!R$19:R$27)</f>
        <v>3273.73</v>
      </c>
      <c r="S7" s="54">
        <f>IF('数据-汇总表'!$I$17="按面积比例",SUMIF('数据-汇总表'!C$19:C$33,A7,'数据-汇总表'!K$19:K$33),SUMIF('数据-汇总表'!C$19:C$33,A7,'数据-汇总表'!N$19:N$33))</f>
        <v>348.9</v>
      </c>
      <c r="T7" s="1443">
        <f t="shared" ref="T7:T13" si="5">ROUND($L$14*S7/10000,0)</f>
        <v>87</v>
      </c>
      <c r="U7" s="2969">
        <v>0.8</v>
      </c>
      <c r="V7" s="2970">
        <v>0.01</v>
      </c>
      <c r="W7" s="79">
        <v>0.15</v>
      </c>
      <c r="X7" s="1261"/>
      <c r="Y7" s="80">
        <v>1</v>
      </c>
      <c r="Z7" s="81"/>
      <c r="AA7" s="74"/>
      <c r="AB7" s="74"/>
      <c r="AC7" s="1261"/>
      <c r="AD7" s="82"/>
      <c r="AE7" s="1262">
        <f t="shared" ref="AE7:AE13" ca="1" si="6">IF(AN7="",0,SUMIF(INDIRECT("'"&amp;AN7&amp;"'"&amp;"!E:E"),$AE$5,INDIRECT("'"&amp;AN7&amp;"'"&amp;"!F:F")))</f>
        <v>44.81</v>
      </c>
      <c r="AF7" s="1804"/>
      <c r="AG7" s="147">
        <f t="shared" ref="AG7:AG13" si="7">IF(AF7="",0,AE7-AF7)</f>
        <v>0</v>
      </c>
      <c r="AH7" s="83"/>
      <c r="AI7" s="85">
        <v>365</v>
      </c>
      <c r="AJ7" s="86"/>
      <c r="AK7" s="2981">
        <v>1.4999999999999999E-2</v>
      </c>
      <c r="AL7" s="2973">
        <v>2E-3</v>
      </c>
      <c r="AM7" s="89">
        <v>0.01</v>
      </c>
      <c r="AN7" s="2307" t="s">
        <v>3128</v>
      </c>
      <c r="AO7" s="55">
        <f t="shared" ref="AO7:AO13" ca="1" si="8">SUMIF(INDIRECT("'"&amp;AN7&amp;"'"&amp;"!A:A"),"总价",INDIRECT("'"&amp;AN7&amp;"'"&amp;"!B:B"))</f>
        <v>2688</v>
      </c>
      <c r="AP7" s="2308">
        <f t="shared" ref="AP7:AP13" si="9">IF(C7="住宅",K7*L7,0)</f>
        <v>0</v>
      </c>
      <c r="AQ7" s="55">
        <f t="shared" ref="AQ7:AQ13" si="10">ROUND($L$14*$N$14*S7/10000,0)</f>
        <v>44</v>
      </c>
      <c r="AR7" s="55">
        <f t="shared" ref="AR7:AR13" si="11">ROUND($L$14*(1-$N$14)*S7/10000,0)</f>
        <v>44</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45.61</v>
      </c>
      <c r="G8" s="73">
        <f t="shared" si="2"/>
        <v>0.97299999999999998</v>
      </c>
      <c r="H8" s="2966">
        <v>4.4999999999999998E-2</v>
      </c>
      <c r="I8" s="2966">
        <v>0.05</v>
      </c>
      <c r="J8" s="74">
        <v>8.5000000000000006E-2</v>
      </c>
      <c r="K8" s="1251">
        <f>SUMIF('数据-汇总表'!C$19:C$33,A8,'数据-汇总表'!E$19:E$33)</f>
        <v>6269.49</v>
      </c>
      <c r="L8" s="803">
        <v>2500</v>
      </c>
      <c r="M8" s="75">
        <f>ROUND(K8*L8/10000,0)</f>
        <v>1567</v>
      </c>
      <c r="N8" s="801">
        <v>0.5</v>
      </c>
      <c r="O8" s="75">
        <f t="shared" si="3"/>
        <v>784</v>
      </c>
      <c r="P8" s="76">
        <f t="shared" si="4"/>
        <v>783</v>
      </c>
      <c r="Q8" s="804">
        <v>0.1</v>
      </c>
      <c r="R8" s="77">
        <f ca="1">SUMIF('数据-汇总表'!C$19:C$33,A8,'数据-汇总表'!R$19:R$27)</f>
        <v>2389.8900000000003</v>
      </c>
      <c r="S8" s="54">
        <f>IF('数据-汇总表'!$I$17="按面积比例",SUMIF('数据-汇总表'!C$19:C$33,A8,'数据-汇总表'!K$19:K$33),SUMIF('数据-汇总表'!C$19:C$33,A8,'数据-汇总表'!N$19:N$33))</f>
        <v>254.7</v>
      </c>
      <c r="T8" s="1443">
        <f t="shared" si="5"/>
        <v>64</v>
      </c>
      <c r="U8" s="2971">
        <v>1</v>
      </c>
      <c r="V8" s="2972">
        <v>0.01</v>
      </c>
      <c r="W8" s="805">
        <v>0.15</v>
      </c>
      <c r="X8" s="1261"/>
      <c r="Y8" s="806">
        <v>1</v>
      </c>
      <c r="Z8" s="81"/>
      <c r="AA8" s="74"/>
      <c r="AB8" s="74"/>
      <c r="AC8" s="1261"/>
      <c r="AD8" s="82"/>
      <c r="AE8" s="1262">
        <f t="shared" ca="1" si="6"/>
        <v>44.81</v>
      </c>
      <c r="AF8" s="1804"/>
      <c r="AG8" s="147">
        <f t="shared" si="7"/>
        <v>0</v>
      </c>
      <c r="AH8" s="807"/>
      <c r="AI8" s="85">
        <v>365</v>
      </c>
      <c r="AJ8" s="86"/>
      <c r="AK8" s="2982">
        <v>1.4999999999999999E-2</v>
      </c>
      <c r="AL8" s="2983">
        <v>2E-3</v>
      </c>
      <c r="AM8" s="808">
        <v>0.01</v>
      </c>
      <c r="AN8" s="2307" t="s">
        <v>3127</v>
      </c>
      <c r="AO8" s="55">
        <f t="shared" ca="1" si="8"/>
        <v>2473</v>
      </c>
      <c r="AP8" s="2308">
        <f t="shared" si="9"/>
        <v>0</v>
      </c>
      <c r="AQ8" s="55">
        <f t="shared" si="10"/>
        <v>32</v>
      </c>
      <c r="AR8" s="55">
        <f t="shared" si="11"/>
        <v>32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2967">
        <v>2500</v>
      </c>
      <c r="M14" s="75">
        <f t="shared" si="0"/>
        <v>318</v>
      </c>
      <c r="N14" s="2968">
        <v>0.5</v>
      </c>
      <c r="O14" s="75">
        <f t="shared" si="3"/>
        <v>159</v>
      </c>
      <c r="P14" s="76">
        <f t="shared" si="4"/>
        <v>159</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0.97499999999999998</v>
      </c>
      <c r="H16" s="99">
        <f>ROUND(SUMPRODUCT(H6:H13,K6:K13)/SUMPRODUCT((H6:H13&gt;0)*(K6:K13)),3)</f>
        <v>4.8000000000000001E-2</v>
      </c>
      <c r="I16" s="100"/>
      <c r="J16" s="100"/>
      <c r="K16" s="101">
        <f>SUM(K6:K15)</f>
        <v>32573.120000000003</v>
      </c>
      <c r="L16" s="102">
        <f>ROUND(M16*10000/SUM(K6:K14),0)</f>
        <v>2752</v>
      </c>
      <c r="M16" s="102">
        <f>SUM(M6:M14)</f>
        <v>8965</v>
      </c>
      <c r="N16" s="103">
        <f>ROUND(SUMPRODUCT(M6:M14,N6:N14)/M16,3)</f>
        <v>0.5</v>
      </c>
      <c r="O16" s="102">
        <f>SUM(O6:O14)</f>
        <v>4484</v>
      </c>
      <c r="P16" s="102">
        <f>SUM(P6:P14)</f>
        <v>4481</v>
      </c>
      <c r="Q16" s="104">
        <f>ROUND(SUMPRODUCT(Q6:Q13,K6:K13)/SUMPRODUCT((Q6:Q13&gt;0)*(K6:K13)),2)</f>
        <v>0.15</v>
      </c>
      <c r="R16" s="1255">
        <f ca="1">SUM(R6:R13)</f>
        <v>11931.940000000002</v>
      </c>
      <c r="S16" s="105">
        <f>SUM(S6:S13)</f>
        <v>1271.6499999999999</v>
      </c>
      <c r="T16" s="106">
        <f>IF(SUMIF(T6:T13,"&lt;9E307")=M14,SUMIF(T6:T13,"&lt;9E307"),"有误，请检查")</f>
        <v>318</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0.8</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989" t="s">
        <v>3330</v>
      </c>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f>(16443.89*0.25+8588.09*0.1+6269.46*0.12)/32573.09</f>
        <v>0.17567006077716302</v>
      </c>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980"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170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984" t="s">
        <v>2038</v>
      </c>
      <c r="B32" s="725">
        <v>30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1" t="s">
        <v>2085</v>
      </c>
      <c r="B1" s="3082"/>
      <c r="C1" s="3082"/>
      <c r="D1" s="3082"/>
      <c r="E1" s="3082"/>
      <c r="F1" s="3082"/>
      <c r="G1" s="308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32573.120000000003</v>
      </c>
      <c r="C1" s="1742"/>
      <c r="D1" s="1742"/>
      <c r="E1" s="1742"/>
      <c r="F1" s="1742"/>
      <c r="G1" s="1740"/>
    </row>
    <row r="2" spans="1:10" ht="16.5">
      <c r="A2" s="1743" t="s">
        <v>1353</v>
      </c>
      <c r="B2" s="1743">
        <f>SUM(C14:C23)</f>
        <v>11931.94</v>
      </c>
      <c r="C2" s="1742"/>
      <c r="D2" s="1742"/>
      <c r="E2" s="1742"/>
      <c r="F2" s="1742"/>
      <c r="G2" s="1740"/>
    </row>
    <row r="3" spans="1:10" ht="16.5">
      <c r="A3" s="1743" t="s">
        <v>1362</v>
      </c>
      <c r="B3" s="1744">
        <f>项目基本情况!D3</f>
        <v>43276</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17480</v>
      </c>
      <c r="C5" s="1743">
        <f ca="1">ROUND(B5*10000/$B$1,0)</f>
        <v>5366</v>
      </c>
      <c r="D5" s="1743">
        <f ca="1">ROUND(B5*10000/$B$2,0)</f>
        <v>14650</v>
      </c>
      <c r="E5" s="1742"/>
      <c r="F5" s="1740"/>
      <c r="G5" s="1740"/>
    </row>
    <row r="6" spans="1:10" ht="16.5">
      <c r="A6" s="1743" t="s">
        <v>1356</v>
      </c>
      <c r="B6" s="1743">
        <f ca="1">SUM(G14:G23)</f>
        <v>17480</v>
      </c>
      <c r="C6" s="1743">
        <f ca="1">ROUND(B6*10000/$B$1,0)</f>
        <v>5366</v>
      </c>
      <c r="D6" s="1743">
        <f ca="1">ROUND(B6*10000/$B$2,0)</f>
        <v>14650</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32573.120000000003</v>
      </c>
      <c r="C14" s="1741">
        <f>结果表!C118</f>
        <v>11931.94</v>
      </c>
      <c r="D14" s="1741">
        <f ca="1">结果表!H118</f>
        <v>17480</v>
      </c>
      <c r="E14" s="1741">
        <f ca="1">ROUND(D14*10000/B14,0)</f>
        <v>5366</v>
      </c>
      <c r="F14" s="1741">
        <f ca="1">ROUND(D14*10000/C14,0)</f>
        <v>14650</v>
      </c>
      <c r="G14" s="1741">
        <f ca="1">结果表!D122</f>
        <v>17480</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16" t="str">
        <f>项目基本情况!S2</f>
        <v>北京市北京市海淀区永丰产业基地Ⅱ-4-C地段出让国有建设用地使用权及在建建筑物房地产</v>
      </c>
      <c r="B2" s="3117"/>
      <c r="C2" s="3117"/>
      <c r="D2" s="3117"/>
      <c r="E2" s="3117"/>
      <c r="F2" s="3117"/>
      <c r="G2" s="3117"/>
      <c r="H2" s="3117"/>
      <c r="I2" s="3118"/>
    </row>
    <row r="3" spans="1:12" ht="12.75">
      <c r="A3" s="3120" t="s">
        <v>2125</v>
      </c>
      <c r="B3" s="3121"/>
      <c r="C3" s="3121"/>
      <c r="D3" s="3121"/>
      <c r="E3" s="3121"/>
      <c r="F3" s="3121"/>
      <c r="G3" s="3121"/>
      <c r="H3" s="3121"/>
      <c r="I3" s="3121"/>
    </row>
    <row r="4" spans="1:12" ht="14.25">
      <c r="A4" s="2424" t="s">
        <v>2126</v>
      </c>
      <c r="B4" s="2425" t="s">
        <v>2127</v>
      </c>
      <c r="C4" s="2426" t="s">
        <v>3317</v>
      </c>
      <c r="D4" s="2426" t="s">
        <v>3318</v>
      </c>
      <c r="E4" s="3113" t="s">
        <v>2128</v>
      </c>
      <c r="F4" s="3114"/>
      <c r="G4" s="3114"/>
      <c r="H4" s="3114"/>
      <c r="I4" s="312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2129</v>
      </c>
      <c r="B5" s="3034">
        <v>25</v>
      </c>
      <c r="C5" s="3099"/>
      <c r="D5" s="3119"/>
      <c r="E5" s="140" t="s">
        <v>2130</v>
      </c>
      <c r="F5" s="2428"/>
      <c r="G5" s="2428"/>
      <c r="H5" s="2428"/>
      <c r="I5" s="1831"/>
    </row>
    <row r="6" spans="1:12" ht="12.75">
      <c r="A6" s="3096"/>
      <c r="B6" s="3034"/>
      <c r="C6" s="3100"/>
      <c r="D6" s="3119"/>
      <c r="E6" s="140" t="s">
        <v>2131</v>
      </c>
      <c r="F6" s="2428"/>
      <c r="G6" s="2428"/>
      <c r="H6" s="2428"/>
      <c r="I6" s="1831"/>
    </row>
    <row r="7" spans="1:12" ht="12.75">
      <c r="A7" s="3096"/>
      <c r="B7" s="3034"/>
      <c r="C7" s="3101"/>
      <c r="D7" s="3119"/>
      <c r="E7" s="140" t="s">
        <v>2132</v>
      </c>
      <c r="F7" s="2428"/>
      <c r="G7" s="2428"/>
      <c r="H7" s="2428"/>
      <c r="I7" s="1831"/>
    </row>
    <row r="8" spans="1:12" ht="12.75">
      <c r="A8" s="3096" t="s">
        <v>2133</v>
      </c>
      <c r="B8" s="3034">
        <v>15</v>
      </c>
      <c r="C8" s="3099"/>
      <c r="D8" s="3119"/>
      <c r="E8" s="140" t="s">
        <v>2134</v>
      </c>
      <c r="F8" s="2428"/>
      <c r="G8" s="2428"/>
      <c r="H8" s="2428"/>
      <c r="I8" s="1831"/>
    </row>
    <row r="9" spans="1:12" ht="12.75">
      <c r="A9" s="3096"/>
      <c r="B9" s="3034"/>
      <c r="C9" s="3101"/>
      <c r="D9" s="3119"/>
      <c r="E9" s="140" t="s">
        <v>2135</v>
      </c>
      <c r="F9" s="2428"/>
      <c r="G9" s="2428"/>
      <c r="H9" s="2428"/>
      <c r="I9" s="1831"/>
    </row>
    <row r="10" spans="1:12" ht="12.75">
      <c r="A10" s="3096" t="s">
        <v>2136</v>
      </c>
      <c r="B10" s="3034">
        <v>15</v>
      </c>
      <c r="C10" s="3099"/>
      <c r="D10" s="3119"/>
      <c r="E10" s="140" t="s">
        <v>2137</v>
      </c>
      <c r="F10" s="2428"/>
      <c r="G10" s="2428"/>
      <c r="H10" s="2428"/>
      <c r="I10" s="1831"/>
    </row>
    <row r="11" spans="1:12" ht="12.75">
      <c r="A11" s="3096"/>
      <c r="B11" s="3034"/>
      <c r="C11" s="3101"/>
      <c r="D11" s="3119"/>
      <c r="E11" s="140" t="s">
        <v>2138</v>
      </c>
      <c r="F11" s="2428"/>
      <c r="G11" s="2428"/>
      <c r="H11" s="2428"/>
      <c r="I11" s="1831"/>
    </row>
    <row r="12" spans="1:12" ht="12.75">
      <c r="A12" s="3096" t="s">
        <v>2139</v>
      </c>
      <c r="B12" s="3034">
        <v>15</v>
      </c>
      <c r="C12" s="3099"/>
      <c r="D12" s="3119"/>
      <c r="E12" s="140" t="s">
        <v>2140</v>
      </c>
      <c r="F12" s="2428"/>
      <c r="G12" s="2428"/>
      <c r="H12" s="2428"/>
      <c r="I12" s="1831"/>
    </row>
    <row r="13" spans="1:12" ht="12.75">
      <c r="A13" s="3096"/>
      <c r="B13" s="3034"/>
      <c r="C13" s="3101"/>
      <c r="D13" s="3119"/>
      <c r="E13" s="140" t="s">
        <v>2141</v>
      </c>
      <c r="F13" s="2428"/>
      <c r="G13" s="2428"/>
      <c r="H13" s="2428"/>
      <c r="I13" s="1831"/>
    </row>
    <row r="14" spans="1:12" ht="12.75">
      <c r="A14" s="3096" t="s">
        <v>2142</v>
      </c>
      <c r="B14" s="3034">
        <v>30</v>
      </c>
      <c r="C14" s="3099">
        <v>5</v>
      </c>
      <c r="D14" s="3119">
        <v>5</v>
      </c>
      <c r="E14" s="140" t="s">
        <v>2143</v>
      </c>
      <c r="F14" s="2428"/>
      <c r="G14" s="2428"/>
      <c r="H14" s="2428"/>
      <c r="I14" s="1831"/>
    </row>
    <row r="15" spans="1:12" ht="12.75">
      <c r="A15" s="3096"/>
      <c r="B15" s="3034"/>
      <c r="C15" s="3100"/>
      <c r="D15" s="3119"/>
      <c r="E15" s="140" t="s">
        <v>2144</v>
      </c>
      <c r="F15" s="2428"/>
      <c r="G15" s="2428"/>
      <c r="H15" s="2428"/>
      <c r="I15" s="1831"/>
    </row>
    <row r="16" spans="1:12" ht="12.75">
      <c r="A16" s="3096"/>
      <c r="B16" s="3034"/>
      <c r="C16" s="3101"/>
      <c r="D16" s="3119"/>
      <c r="E16" s="140" t="s">
        <v>2145</v>
      </c>
      <c r="F16" s="2428"/>
      <c r="G16" s="2428"/>
      <c r="H16" s="2428"/>
      <c r="I16" s="1831"/>
    </row>
    <row r="17" spans="1:35" ht="15">
      <c r="A17" s="2429" t="s">
        <v>2146</v>
      </c>
      <c r="B17" s="64"/>
      <c r="C17" s="141">
        <f>SUM(C5:C16)</f>
        <v>5</v>
      </c>
      <c r="D17" s="141">
        <f>SUM(D5:D16)</f>
        <v>5</v>
      </c>
      <c r="E17" s="138"/>
      <c r="F17" s="138"/>
      <c r="G17" s="138"/>
      <c r="H17" s="138"/>
      <c r="I17" s="138"/>
      <c r="K17" s="2427"/>
      <c r="L17" s="2430" t="s">
        <v>2147</v>
      </c>
      <c r="M17" s="2430" t="s">
        <v>2148</v>
      </c>
    </row>
    <row r="18" spans="1:35" ht="15.75" thickBot="1">
      <c r="A18" s="2431" t="s">
        <v>2149</v>
      </c>
      <c r="B18" s="2432"/>
      <c r="C18" s="142">
        <f>ROUND(C17/SUM(C17:D17),2)</f>
        <v>0.5</v>
      </c>
      <c r="D18" s="142">
        <f>1-C18</f>
        <v>0.5</v>
      </c>
      <c r="E18" s="138"/>
      <c r="F18" s="138"/>
      <c r="G18" s="138"/>
      <c r="H18" s="138"/>
      <c r="I18" s="138"/>
      <c r="K18" s="2427" t="s">
        <v>2150</v>
      </c>
      <c r="L18" s="2427">
        <f>IF(C1="",'数据-汇总表'!E3,SUMIF(项目类型,C1,'数据-汇总表'!E17:E26)+SUMIF(项目类型,C1,'数据-汇总表'!I17:I26))</f>
        <v>32573.120000000003</v>
      </c>
      <c r="M18" s="2427">
        <f>IF(C1="",'数据-汇总表'!E3,SUMIF(项目类型,C1,'数据-汇总表'!E17:E26))</f>
        <v>32573.120000000003</v>
      </c>
    </row>
    <row r="19" spans="1:35" ht="15">
      <c r="A19" s="2433" t="s">
        <v>2151</v>
      </c>
      <c r="B19" s="2434" t="s">
        <v>2152</v>
      </c>
      <c r="C19" s="143">
        <f ca="1">SUMIF(INDIRECT("'"&amp;C4&amp;"'"&amp;"!A:A"),结果表!B19,INDIRECT("'"&amp;C4&amp;"'"&amp;"!B:B"))</f>
        <v>14840</v>
      </c>
      <c r="D19" s="144">
        <f ca="1">SUMIF(INDIRECT("'"&amp;D4&amp;"'"&amp;"!A:A"),结果表!B19,INDIRECT("'"&amp;D4&amp;"'"&amp;"!B:B"))</f>
        <v>20119</v>
      </c>
      <c r="E19" s="2433" t="s">
        <v>2153</v>
      </c>
      <c r="F19" s="2434" t="s">
        <v>2152</v>
      </c>
      <c r="G19" s="145">
        <f ca="1">ROUND(C19*$C$18+D19*$D$18,0)</f>
        <v>17480</v>
      </c>
      <c r="H19" s="2435" t="s">
        <v>2154</v>
      </c>
      <c r="I19" s="138"/>
      <c r="K19" s="2427" t="s">
        <v>2155</v>
      </c>
      <c r="L19" s="2427">
        <f>IF(C1="",'数据-汇总表'!D3,SUMIF(项目类型,C1,'数据-汇总表'!D17:D26)+SUMIF(项目类型,C1,'数据-汇总表'!H17:H27))</f>
        <v>11931.94</v>
      </c>
      <c r="M19" s="2427">
        <f>IF(C1="",'数据-汇总表'!D3,SUMIF(项目类型,C1,'数据-汇总表'!D17:D26))</f>
        <v>11931.94</v>
      </c>
    </row>
    <row r="20" spans="1:35" ht="15">
      <c r="A20" s="2436"/>
      <c r="B20" s="1247" t="s">
        <v>2156</v>
      </c>
      <c r="C20" s="146">
        <f ca="1">SUMIF(INDIRECT("'"&amp;C4&amp;"'"&amp;"!A:A"),结果表!B20,INDIRECT("'"&amp;C4&amp;"'"&amp;"!B:B"))</f>
        <v>4556</v>
      </c>
      <c r="D20" s="147">
        <f ca="1">SUMIF(INDIRECT("'"&amp;D4&amp;"'"&amp;"!A:A"),结果表!B20,INDIRECT("'"&amp;D4&amp;"'"&amp;"!B:B"))</f>
        <v>6177</v>
      </c>
      <c r="E20" s="2436"/>
      <c r="F20" s="1247" t="s">
        <v>2156</v>
      </c>
      <c r="G20" s="148">
        <f ca="1">ROUND(C20*$C$18+D20*$D$18,0)</f>
        <v>5367</v>
      </c>
      <c r="H20" s="980" t="s">
        <v>2157</v>
      </c>
      <c r="I20" s="138"/>
    </row>
    <row r="21" spans="1:35" ht="15" customHeight="1" thickBot="1">
      <c r="A21" s="1000"/>
      <c r="B21" s="2437" t="s">
        <v>2158</v>
      </c>
      <c r="C21" s="789">
        <f ca="1">ROUND(C19*10000/L19,0)</f>
        <v>12437</v>
      </c>
      <c r="D21" s="790">
        <f ca="1">ROUND(D19*10000/L19,0)</f>
        <v>16861</v>
      </c>
      <c r="E21" s="1000"/>
      <c r="F21" s="2437" t="s">
        <v>2158</v>
      </c>
      <c r="G21" s="149">
        <f ca="1">ROUND(G19*10000/L19,0)</f>
        <v>14650</v>
      </c>
      <c r="H21" s="2438" t="s">
        <v>2157</v>
      </c>
      <c r="I21" s="138"/>
    </row>
    <row r="22" spans="1:35" ht="15" thickBot="1">
      <c r="A22" s="2279" t="s">
        <v>2159</v>
      </c>
      <c r="B22" s="2439"/>
      <c r="C22" s="2440"/>
      <c r="D22" s="791">
        <f ca="1">IF(C19&lt;D19,D19/C19-1,C19/D19-1)</f>
        <v>0.35572776280323448</v>
      </c>
      <c r="E22" s="138"/>
      <c r="F22" s="138"/>
      <c r="G22" s="138"/>
      <c r="H22" s="138"/>
      <c r="I22" s="138"/>
    </row>
    <row r="23" spans="1:35" ht="13.5" thickBot="1">
      <c r="A23" s="2417"/>
      <c r="B23" s="2417"/>
      <c r="C23" s="2417"/>
      <c r="D23" s="2417"/>
      <c r="E23" s="138"/>
      <c r="F23" s="138"/>
      <c r="G23" s="138"/>
      <c r="H23" s="138"/>
      <c r="I23" s="138"/>
    </row>
    <row r="24" spans="1:35" ht="14.25">
      <c r="A24" s="3090" t="s">
        <v>2160</v>
      </c>
      <c r="B24" s="2434" t="s">
        <v>2152</v>
      </c>
      <c r="C24" s="145">
        <f>IF(B30=0,0,D30)</f>
        <v>0</v>
      </c>
      <c r="D24" s="2441"/>
      <c r="E24" s="138"/>
      <c r="F24" s="138"/>
      <c r="G24" s="138"/>
      <c r="H24" s="138"/>
      <c r="I24" s="138"/>
    </row>
    <row r="25" spans="1:35" ht="14.25">
      <c r="A25" s="3091"/>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3038</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17480</v>
      </c>
      <c r="D32" s="2448" t="s">
        <v>2167</v>
      </c>
      <c r="E32" s="138"/>
      <c r="F32" s="138"/>
      <c r="G32" s="138"/>
      <c r="H32" s="138"/>
      <c r="I32" s="138"/>
    </row>
    <row r="33" spans="1:15" ht="15">
      <c r="A33" s="957" t="s">
        <v>2168</v>
      </c>
      <c r="B33" s="2449"/>
      <c r="C33" s="2450"/>
      <c r="D33" s="2451"/>
      <c r="E33" s="2452" t="s">
        <v>2169</v>
      </c>
      <c r="F33" s="2453" t="str">
        <f>IF(D32="楼面单价","取值（单价）","取值（总价）")</f>
        <v>取值（总价）</v>
      </c>
      <c r="G33" s="138"/>
      <c r="H33" s="138"/>
      <c r="I33" s="138"/>
    </row>
    <row r="34" spans="1:15" ht="15">
      <c r="A34" s="2454"/>
      <c r="B34" s="2455"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2171</v>
      </c>
      <c r="F34" s="1736"/>
      <c r="G34" s="138"/>
      <c r="H34" s="138"/>
      <c r="I34" s="138"/>
    </row>
    <row r="35" spans="1:15" ht="15.75" thickBot="1">
      <c r="A35" s="2457"/>
      <c r="B35" s="2458"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2173</v>
      </c>
      <c r="F35" s="163"/>
      <c r="G35" s="138"/>
      <c r="H35" s="138"/>
      <c r="I35" s="138"/>
    </row>
    <row r="36" spans="1:15" ht="15.75" thickBot="1">
      <c r="A36" s="3108" t="s">
        <v>2174</v>
      </c>
      <c r="B36" s="2460" t="s">
        <v>2175</v>
      </c>
      <c r="C36" s="154"/>
      <c r="D36" s="2461"/>
      <c r="E36" s="2462"/>
      <c r="F36" s="2463"/>
      <c r="G36" s="138"/>
      <c r="H36" s="138"/>
      <c r="I36" s="138"/>
    </row>
    <row r="37" spans="1:15" ht="15.75" thickBot="1">
      <c r="A37" s="3109"/>
      <c r="B37" s="2265" t="s">
        <v>2176</v>
      </c>
      <c r="C37" s="156"/>
      <c r="D37" s="1392"/>
      <c r="E37" s="1392"/>
      <c r="F37" s="2463"/>
      <c r="G37" s="138"/>
      <c r="H37" s="138"/>
      <c r="I37" s="138"/>
    </row>
    <row r="38" spans="1:15" ht="15.75" thickBot="1">
      <c r="A38" s="3110"/>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087" t="s">
        <v>2188</v>
      </c>
      <c r="B45" s="3088"/>
      <c r="C45" s="3089"/>
      <c r="D45" s="164">
        <f ca="1">ROUND(H101*F45,0)</f>
        <v>17480</v>
      </c>
      <c r="E45" s="165" t="s">
        <v>2189</v>
      </c>
      <c r="F45" s="166">
        <v>1</v>
      </c>
      <c r="G45" s="167" t="s">
        <v>2190</v>
      </c>
      <c r="H45" s="138"/>
      <c r="I45" s="138"/>
      <c r="J45" s="3147" t="s">
        <v>2191</v>
      </c>
      <c r="K45" s="3147"/>
      <c r="L45" s="3147"/>
      <c r="M45" s="3147"/>
      <c r="N45" s="3147"/>
      <c r="O45" s="3147"/>
    </row>
    <row r="46" spans="1:15" ht="14.25" customHeight="1">
      <c r="A46" s="3084" t="s">
        <v>2192</v>
      </c>
      <c r="B46" s="3085"/>
      <c r="C46" s="3085"/>
      <c r="D46" s="3085"/>
      <c r="E46" s="3085"/>
      <c r="F46" s="3085"/>
      <c r="G46" s="3086"/>
      <c r="H46" s="2479"/>
      <c r="I46" s="168"/>
      <c r="J46" s="1809">
        <v>1</v>
      </c>
      <c r="K46" s="3147" t="s">
        <v>2193</v>
      </c>
      <c r="L46" s="3147"/>
      <c r="M46" s="3167"/>
      <c r="N46" s="3167"/>
      <c r="O46" s="3167"/>
    </row>
    <row r="47" spans="1:15" ht="12" customHeight="1">
      <c r="A47" s="169" t="s">
        <v>2194</v>
      </c>
      <c r="B47" s="170"/>
      <c r="C47" s="171"/>
      <c r="D47" s="172" t="s">
        <v>2195</v>
      </c>
      <c r="E47" s="24" t="s">
        <v>2196</v>
      </c>
      <c r="F47" s="173" t="s">
        <v>2197</v>
      </c>
      <c r="G47" s="174" t="s">
        <v>2198</v>
      </c>
      <c r="H47" s="2479"/>
      <c r="I47" s="168"/>
      <c r="J47" s="1809">
        <v>2</v>
      </c>
      <c r="K47" s="3147" t="s">
        <v>2199</v>
      </c>
      <c r="L47" s="3147"/>
      <c r="M47" s="3168">
        <f>'数据-取费表'!B2</f>
        <v>43276</v>
      </c>
      <c r="N47" s="3168"/>
      <c r="O47" s="3168"/>
    </row>
    <row r="48" spans="1:15" ht="25.5">
      <c r="A48" s="3115" t="s">
        <v>2200</v>
      </c>
      <c r="B48" s="3098"/>
      <c r="C48" s="3098"/>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147" t="s">
        <v>2203</v>
      </c>
      <c r="L48" s="3147"/>
      <c r="M48" s="3169">
        <f ca="1">H101</f>
        <v>17480</v>
      </c>
      <c r="N48" s="3169"/>
      <c r="O48" s="3169"/>
    </row>
    <row r="49" spans="1:35" ht="25.5" customHeight="1">
      <c r="A49" s="176" t="s">
        <v>2204</v>
      </c>
      <c r="B49" s="3083" t="s">
        <v>2205</v>
      </c>
      <c r="C49" s="3083"/>
      <c r="D49" s="177">
        <v>0</v>
      </c>
      <c r="E49" s="23" t="s">
        <v>2206</v>
      </c>
      <c r="F49" s="28" t="s">
        <v>34</v>
      </c>
      <c r="G49" s="3153"/>
      <c r="H49" s="138"/>
      <c r="I49" s="2482"/>
      <c r="J49" s="1809">
        <v>4</v>
      </c>
      <c r="K49" s="3147" t="str">
        <f>IF(项目基本情况!E8="房地产抵押价值","房地产抵押价值","抵押担保权已注销时的房地产抵押价值")</f>
        <v>房地产抵押价值</v>
      </c>
      <c r="L49" s="3147"/>
      <c r="M49" s="3169">
        <f ca="1">IF(项目基本情况!E8="房地产抵押价值",H107,H109)</f>
        <v>17480</v>
      </c>
      <c r="N49" s="3169"/>
      <c r="O49" s="3169"/>
    </row>
    <row r="50" spans="1:35" ht="25.5" customHeight="1">
      <c r="A50" s="178"/>
      <c r="B50" s="3083" t="s">
        <v>2207</v>
      </c>
      <c r="C50" s="3083"/>
      <c r="D50" s="179"/>
      <c r="E50" s="31"/>
      <c r="F50" s="180"/>
      <c r="G50" s="3154"/>
      <c r="H50" s="138"/>
      <c r="I50" s="2482"/>
      <c r="J50" s="3147" t="s">
        <v>2208</v>
      </c>
      <c r="K50" s="3147"/>
      <c r="L50" s="3147"/>
      <c r="M50" s="3147"/>
      <c r="N50" s="3147"/>
      <c r="O50" s="3147"/>
    </row>
    <row r="51" spans="1:35" ht="12" customHeight="1">
      <c r="A51" s="181"/>
      <c r="B51" s="3083" t="s">
        <v>2209</v>
      </c>
      <c r="C51" s="3083"/>
      <c r="D51" s="182"/>
      <c r="E51" s="30"/>
      <c r="F51" s="180"/>
      <c r="G51" s="3155"/>
      <c r="H51" s="138"/>
      <c r="I51" s="2482"/>
      <c r="J51" s="2483" t="s">
        <v>2210</v>
      </c>
      <c r="K51" s="3147" t="s">
        <v>2211</v>
      </c>
      <c r="L51" s="3147"/>
      <c r="M51" s="2483" t="s">
        <v>2212</v>
      </c>
      <c r="N51" s="2483" t="s">
        <v>2213</v>
      </c>
      <c r="O51" s="2483" t="s">
        <v>2214</v>
      </c>
    </row>
    <row r="52" spans="1:35" ht="24" customHeight="1">
      <c r="A52" s="183" t="s">
        <v>2215</v>
      </c>
      <c r="B52" s="3083" t="s">
        <v>2216</v>
      </c>
      <c r="C52" s="3083"/>
      <c r="D52" s="182">
        <f ca="1">ROUND(D45*'数据-取费表'!B41/(1+'数据-取费表'!C42),0)</f>
        <v>932</v>
      </c>
      <c r="E52" s="11" t="s">
        <v>2217</v>
      </c>
      <c r="F52" s="184">
        <f>'数据-取费表'!B41</f>
        <v>5.6000000000000001E-2</v>
      </c>
      <c r="G52" s="2484"/>
      <c r="H52" s="138"/>
      <c r="I52" s="2482"/>
      <c r="J52" s="1809">
        <v>1</v>
      </c>
      <c r="K52" s="3148" t="s">
        <v>2218</v>
      </c>
      <c r="L52" s="3148"/>
      <c r="M52" s="1751">
        <f>D48</f>
        <v>0</v>
      </c>
      <c r="N52" s="1809" t="str">
        <f>E48</f>
        <v>销售额×税（费）率</v>
      </c>
      <c r="O52" s="1752" t="str">
        <f>F48</f>
        <v>免征</v>
      </c>
    </row>
    <row r="53" spans="1:35" ht="12" customHeight="1">
      <c r="A53" s="183" t="s">
        <v>2219</v>
      </c>
      <c r="B53" s="3106" t="s">
        <v>2220</v>
      </c>
      <c r="C53" s="3107"/>
      <c r="D53" s="182">
        <f ca="1">ROUND(D45*'数据-取费表'!B41/(1+'数据-取费表'!C42),0)</f>
        <v>932</v>
      </c>
      <c r="E53" s="11" t="s">
        <v>2217</v>
      </c>
      <c r="F53" s="184">
        <f>'数据-取费表'!B41</f>
        <v>5.6000000000000001E-2</v>
      </c>
      <c r="G53" s="2484"/>
      <c r="H53" s="138"/>
      <c r="I53" s="2482"/>
      <c r="J53" s="1809">
        <v>2</v>
      </c>
      <c r="K53" s="3148" t="s">
        <v>2221</v>
      </c>
      <c r="L53" s="3148"/>
      <c r="M53" s="1751">
        <f t="shared" ref="M53:O54" ca="1" si="0">D55</f>
        <v>9</v>
      </c>
      <c r="N53" s="1809" t="str">
        <f t="shared" si="0"/>
        <v>销售额×税（费）率</v>
      </c>
      <c r="O53" s="1752">
        <f t="shared" si="0"/>
        <v>5.0000000000000001E-4</v>
      </c>
    </row>
    <row r="54" spans="1:35" ht="12" customHeight="1">
      <c r="A54" s="183" t="s">
        <v>2222</v>
      </c>
      <c r="B54" s="3106" t="s">
        <v>2223</v>
      </c>
      <c r="C54" s="3107"/>
      <c r="D54" s="182">
        <f ca="1">C68</f>
        <v>932</v>
      </c>
      <c r="E54" s="30" t="s">
        <v>2224</v>
      </c>
      <c r="F54" s="184">
        <f>'数据-取费表'!B41</f>
        <v>5.6000000000000001E-2</v>
      </c>
      <c r="G54" s="2484"/>
      <c r="H54" s="2485"/>
      <c r="I54" s="2482"/>
      <c r="J54" s="1809">
        <v>3</v>
      </c>
      <c r="K54" s="3148" t="s">
        <v>2225</v>
      </c>
      <c r="L54" s="3148"/>
      <c r="M54" s="1751">
        <f t="shared" ca="1" si="0"/>
        <v>9894</v>
      </c>
      <c r="N54" s="1809" t="str">
        <f t="shared" si="0"/>
        <v>增值额×税（费）率</v>
      </c>
      <c r="O54" s="1753" t="str">
        <f t="shared" si="0"/>
        <v>——</v>
      </c>
    </row>
    <row r="55" spans="1:35" ht="24" customHeight="1">
      <c r="A55" s="3097" t="s">
        <v>2226</v>
      </c>
      <c r="B55" s="3098"/>
      <c r="C55" s="3098"/>
      <c r="D55" s="185">
        <f ca="1">IF(H55="个人住宅",0,ROUND(D45*I55,0))</f>
        <v>9</v>
      </c>
      <c r="E55" s="11" t="s">
        <v>2227</v>
      </c>
      <c r="F55" s="184">
        <f>IF(H55="正常",I55,"免征")</f>
        <v>5.0000000000000001E-4</v>
      </c>
      <c r="G55" s="2484"/>
      <c r="H55" s="2481" t="s">
        <v>2228</v>
      </c>
      <c r="I55" s="186">
        <f>'数据-取费表'!B49</f>
        <v>5.0000000000000001E-4</v>
      </c>
      <c r="J55" s="1809" t="str">
        <f>IF(H59="非个人房产","",4)</f>
        <v/>
      </c>
      <c r="K55" s="3148" t="str">
        <f>IF(H59="非个人房产","——","个人所得税")</f>
        <v>——</v>
      </c>
      <c r="L55" s="3148"/>
      <c r="M55" s="1754" t="str">
        <f>D59</f>
        <v>——</v>
      </c>
      <c r="N55" s="1807" t="str">
        <f>E59</f>
        <v>——</v>
      </c>
      <c r="O55" s="1755" t="str">
        <f>F59</f>
        <v>——</v>
      </c>
    </row>
    <row r="56" spans="1:35" ht="24.75">
      <c r="A56" s="3097" t="s">
        <v>2229</v>
      </c>
      <c r="B56" s="3098"/>
      <c r="C56" s="3098"/>
      <c r="D56" s="185">
        <f ca="1">IF(H56="个人住宅",D57,D58)</f>
        <v>9894</v>
      </c>
      <c r="E56" s="11" t="s">
        <v>2230</v>
      </c>
      <c r="F56" s="184" t="str">
        <f>IF(H56="正常",F58,"免征")</f>
        <v>——</v>
      </c>
      <c r="G56" s="2486" t="s">
        <v>2231</v>
      </c>
      <c r="H56" s="2487" t="s">
        <v>2228</v>
      </c>
      <c r="I56" s="2488"/>
      <c r="J56" s="1809" t="str">
        <f>IF(项目基本情况!K6="上海银行",IF(J55="",4,J55+1),"")</f>
        <v/>
      </c>
      <c r="K56" s="3171" t="str">
        <f>IF(项目基本情况!K6="上海银行","其他处置费用","")</f>
        <v/>
      </c>
      <c r="L56" s="3172"/>
      <c r="M56" s="1751" t="str">
        <f>IF(项目基本情况!K6="上海银行",M69,"")</f>
        <v/>
      </c>
      <c r="N56" s="3174" t="str">
        <f>IF(项目基本情况!K6="上海银行","包含处置中涉及的律师、诉讼、拍卖、评估等费用","")</f>
        <v/>
      </c>
      <c r="O56" s="3175"/>
    </row>
    <row r="57" spans="1:35" ht="12.75">
      <c r="A57" s="183" t="s">
        <v>2204</v>
      </c>
      <c r="B57" s="3113" t="s">
        <v>2232</v>
      </c>
      <c r="C57" s="3122"/>
      <c r="D57" s="187">
        <v>0</v>
      </c>
      <c r="E57" s="23" t="s">
        <v>2206</v>
      </c>
      <c r="F57" s="155"/>
      <c r="G57" s="2484"/>
      <c r="H57" s="2488"/>
      <c r="I57" s="2488"/>
      <c r="J57" s="3148">
        <f>IF(AND(J55="",J56=""),4,IF(项目基本情况!K6="上海银行",结果表!J56+1,结果表!J55+1))</f>
        <v>4</v>
      </c>
      <c r="K57" s="3148" t="s">
        <v>2233</v>
      </c>
      <c r="L57" s="2489" t="s">
        <v>2234</v>
      </c>
      <c r="M57" s="1756"/>
      <c r="N57" s="1757">
        <f ca="1">SUMIF(M52:M56,"&lt;9e307")</f>
        <v>9903</v>
      </c>
      <c r="O57" s="2490"/>
      <c r="P57" s="1750">
        <f ca="1">N57/M49</f>
        <v>0.56653318077803205</v>
      </c>
    </row>
    <row r="58" spans="1:35" ht="24.75">
      <c r="A58" s="183" t="s">
        <v>2215</v>
      </c>
      <c r="B58" s="3113" t="s">
        <v>2235</v>
      </c>
      <c r="C58" s="3114"/>
      <c r="D58" s="185">
        <f ca="1">IF(H58="转让取得",C81,C97)</f>
        <v>9894</v>
      </c>
      <c r="E58" s="11" t="s">
        <v>2230</v>
      </c>
      <c r="F58" s="24" t="s">
        <v>34</v>
      </c>
      <c r="G58" s="2484"/>
      <c r="H58" s="2487" t="s">
        <v>2236</v>
      </c>
      <c r="I58" s="2488"/>
      <c r="J58" s="3148"/>
      <c r="K58" s="3148"/>
      <c r="L58" s="2489" t="s">
        <v>2237</v>
      </c>
      <c r="M58" s="1758"/>
      <c r="N58" s="2491" t="str">
        <f ca="1">NUMBERSTRING(INT(N57*10000),2)&amp;"元整"</f>
        <v>玖仟玖佰零叁万元整</v>
      </c>
      <c r="O58" s="2492"/>
    </row>
    <row r="59" spans="1:35" ht="24.75" thickBot="1">
      <c r="A59" s="3151" t="s">
        <v>2238</v>
      </c>
      <c r="B59" s="3152"/>
      <c r="C59" s="3152"/>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149">
        <f>J57+1</f>
        <v>5</v>
      </c>
      <c r="K59" s="3148" t="s">
        <v>2240</v>
      </c>
      <c r="L59" s="1809" t="s">
        <v>2234</v>
      </c>
      <c r="M59" s="1759"/>
      <c r="N59" s="1760">
        <f ca="1">M49-N57</f>
        <v>7577</v>
      </c>
      <c r="O59" s="2494"/>
    </row>
    <row r="60" spans="1:35" ht="12" customHeight="1">
      <c r="A60" s="2495"/>
      <c r="B60" s="2417"/>
      <c r="C60" s="2417"/>
      <c r="D60" s="2417"/>
      <c r="E60" s="2166"/>
      <c r="F60" s="2488"/>
      <c r="G60" s="2488"/>
      <c r="H60" s="2496"/>
      <c r="I60" s="138"/>
      <c r="J60" s="3150"/>
      <c r="K60" s="3148"/>
      <c r="L60" s="2489" t="s">
        <v>2237</v>
      </c>
      <c r="M60" s="1758"/>
      <c r="N60" s="2491" t="str">
        <f ca="1">NUMBERSTRING(INT(N59*10000),2)&amp;"元整"</f>
        <v>柒仟伍佰柒拾柒万元整</v>
      </c>
      <c r="O60" s="2492"/>
    </row>
    <row r="61" spans="1:35" ht="13.5" thickBot="1">
      <c r="A61" s="3095" t="s">
        <v>2241</v>
      </c>
      <c r="B61" s="3095"/>
      <c r="C61" s="3095"/>
      <c r="D61" s="3095"/>
      <c r="E61" s="3095"/>
      <c r="F61" s="2488"/>
      <c r="G61" s="2488"/>
      <c r="H61" s="2496"/>
      <c r="I61" s="138"/>
      <c r="J61" s="1809">
        <f>J59+1</f>
        <v>6</v>
      </c>
      <c r="K61" s="3148" t="s">
        <v>2242</v>
      </c>
      <c r="L61" s="3148"/>
      <c r="M61" s="1761"/>
      <c r="N61" s="1762">
        <f ca="1">ROUND(N59*10000/'数据-汇总表'!E3,0)</f>
        <v>2326</v>
      </c>
      <c r="O61" s="2497"/>
    </row>
    <row r="62" spans="1:35" ht="12.75">
      <c r="A62" s="3111" t="s">
        <v>2243</v>
      </c>
      <c r="B62" s="3112"/>
      <c r="C62" s="1801"/>
      <c r="D62" s="1801" t="s">
        <v>2244</v>
      </c>
      <c r="E62" s="192" t="s">
        <v>2245</v>
      </c>
      <c r="F62" s="2488"/>
      <c r="G62" s="2488"/>
      <c r="H62" s="2496"/>
      <c r="I62" s="138"/>
    </row>
    <row r="63" spans="1:35" ht="12.75">
      <c r="A63" s="203" t="s">
        <v>775</v>
      </c>
      <c r="B63" s="193" t="s">
        <v>2246</v>
      </c>
      <c r="C63" s="194">
        <f ca="1">ROUND((C64+C65)/(1+'数据-取费表'!C42),0)</f>
        <v>16648</v>
      </c>
      <c r="D63" s="195"/>
      <c r="E63" s="196"/>
      <c r="F63" s="2488"/>
      <c r="G63" s="2488"/>
      <c r="H63" s="2496"/>
      <c r="I63" s="138"/>
      <c r="J63" s="3173" t="s">
        <v>2247</v>
      </c>
      <c r="K63" s="2498" t="s">
        <v>2248</v>
      </c>
      <c r="L63" s="1749">
        <f ca="1">IF(M49&gt;10000,M49*0.5%,IF(AND(M49&gt;1000,M49&lt;=10000),M49*1%,IF(AND(M49&gt;100,M49&lt;=1000),M49*3%,IF(AND(M49&gt;10,M49&lt;=100),M49*5%,M49*8%))))</f>
        <v>87.4</v>
      </c>
      <c r="M63" s="24">
        <f ca="1">ROUND(L63,1)</f>
        <v>87.4</v>
      </c>
      <c r="Z63" s="2422"/>
      <c r="AI63" s="2423"/>
    </row>
    <row r="64" spans="1:35" ht="14.25" customHeight="1">
      <c r="A64" s="197" t="s">
        <v>770</v>
      </c>
      <c r="B64" s="198" t="s">
        <v>2249</v>
      </c>
      <c r="C64" s="199">
        <f ca="1">D45</f>
        <v>17480</v>
      </c>
      <c r="D64" s="200" t="s">
        <v>32</v>
      </c>
      <c r="E64" s="201"/>
      <c r="F64" s="2488"/>
      <c r="G64" s="2488"/>
      <c r="H64" s="2496"/>
      <c r="I64" s="138"/>
      <c r="J64" s="3173"/>
      <c r="K64" s="2498" t="s">
        <v>2250</v>
      </c>
      <c r="L64" s="1749">
        <f ca="1">IF(M49&gt;2000,M49*0.5%,IF(AND(M49&gt;1000,M49&lt;=2000),M49*0.6%,IF(AND(M49&gt;500,M49&lt;=1000),M49*0.7%,IF(AND(M49&gt;200,M49&lt;=500),M49*0.8%,IF(AND(M49&gt;100,M49&lt;=200),M49*0.9%,IF(AND(M49&gt;50,M49&lt;=100),M49*1%,IF(AND(M49&gt;20,M49&lt;=50),M49*1.5%,IF(AND(M49&gt;10,M49&lt;=20),M49*2%,IF(AND(M49&gt;1,M49&lt;=10),M49*2.5%)))))))))</f>
        <v>87.4</v>
      </c>
      <c r="M64" s="24">
        <f t="shared" ref="M64:M65" ca="1" si="1">ROUND(L64,1)</f>
        <v>87.4</v>
      </c>
      <c r="N64" s="138" t="s">
        <v>2251</v>
      </c>
      <c r="Z64" s="2422"/>
      <c r="AI64" s="2423"/>
    </row>
    <row r="65" spans="1:35" ht="14.25" customHeight="1">
      <c r="A65" s="197" t="s">
        <v>771</v>
      </c>
      <c r="B65" s="198" t="s">
        <v>2252</v>
      </c>
      <c r="C65" s="202"/>
      <c r="D65" s="200"/>
      <c r="E65" s="201"/>
      <c r="F65" s="2488"/>
      <c r="G65" s="2488"/>
      <c r="H65" s="2496"/>
      <c r="I65" s="138"/>
      <c r="J65" s="3173"/>
      <c r="K65" s="2498" t="s">
        <v>2253</v>
      </c>
      <c r="L65" s="1749">
        <f ca="1">IF(M49&gt;1000,M49*0.1%,IF(AND(M49&gt;500,M49&lt;=1000),M49*0.5%,IF(AND(M49&gt;50,M49&lt;=500),M49*1%,IF(AND(M49&gt;1,M49&lt;=50),M49*1.5%))))</f>
        <v>17.48</v>
      </c>
      <c r="M65" s="24">
        <f t="shared" ca="1" si="1"/>
        <v>17.5</v>
      </c>
      <c r="N65" s="138" t="s">
        <v>2251</v>
      </c>
      <c r="Z65" s="2422"/>
      <c r="AI65" s="2423"/>
    </row>
    <row r="66" spans="1:35" ht="14.25" customHeight="1">
      <c r="A66" s="203" t="s">
        <v>772</v>
      </c>
      <c r="B66" s="204" t="s">
        <v>2254</v>
      </c>
      <c r="C66" s="205"/>
      <c r="D66" s="206" t="s">
        <v>32</v>
      </c>
      <c r="E66" s="1773" t="s">
        <v>1371</v>
      </c>
      <c r="F66" s="2488"/>
      <c r="G66" s="2488"/>
      <c r="H66" s="2496"/>
      <c r="I66" s="138"/>
      <c r="J66" s="3173"/>
      <c r="K66" s="2498" t="s">
        <v>2255</v>
      </c>
      <c r="L66" s="1749">
        <f ca="1">M49*0.5%</f>
        <v>87.4</v>
      </c>
      <c r="M66" s="24">
        <f ca="1">IF(L66&gt;0.5,0.5,ROUND(L66,0))</f>
        <v>0.5</v>
      </c>
      <c r="N66" s="138" t="s">
        <v>2256</v>
      </c>
      <c r="Z66" s="2422"/>
      <c r="AI66" s="2423"/>
    </row>
    <row r="67" spans="1:35" ht="14.25" customHeight="1">
      <c r="A67" s="203" t="s">
        <v>773</v>
      </c>
      <c r="B67" s="204" t="s">
        <v>2257</v>
      </c>
      <c r="C67" s="207">
        <f ca="1">C63-C66</f>
        <v>16648</v>
      </c>
      <c r="D67" s="200" t="s">
        <v>32</v>
      </c>
      <c r="E67" s="201"/>
      <c r="F67" s="2488"/>
      <c r="G67" s="2488"/>
      <c r="H67" s="2496"/>
      <c r="I67" s="138"/>
      <c r="J67" s="3173"/>
      <c r="K67" s="2498" t="s">
        <v>2258</v>
      </c>
      <c r="L67" s="1749">
        <f ca="1">IF(M49&gt;=10000,(8.25+(M49-10000)*0.01%),IF(AND(M49&gt;=8000,M49&lt;10000),(7.85+(M49-8000)*0.02%),IF(AND(M49&gt;=5000,M49&lt;8000),(6.65+(M49-5000)*0.04%),IF(AND(M49&gt;=2000,M49&lt;5000),(4.25+(PM49-2000)*0.08%),IF(AND(M49&gt;=1000,M49&lt;2000),(2.75+(M49-1000)*0.15%),IF(AND(M49&gt;=100,M49&lt;1000),(0.5+(M49-100)*0.25%),IF(AND(M49&gt;0,M49&lt;100),M49*0.5%)))))))</f>
        <v>8.9979999999999993</v>
      </c>
      <c r="M67" s="24">
        <f ca="1">ROUND(L67*0.9,1)</f>
        <v>8.1</v>
      </c>
      <c r="Z67" s="2422"/>
      <c r="AI67" s="2423"/>
    </row>
    <row r="68" spans="1:35" ht="14.25" customHeight="1" thickBot="1">
      <c r="A68" s="208" t="s">
        <v>774</v>
      </c>
      <c r="B68" s="209" t="s">
        <v>2259</v>
      </c>
      <c r="C68" s="210">
        <f ca="1">IF(C67&lt;=0,0,ROUND(C67*D68,0))</f>
        <v>932</v>
      </c>
      <c r="D68" s="211">
        <f>'数据-取费表'!B41</f>
        <v>5.6000000000000001E-2</v>
      </c>
      <c r="E68" s="212"/>
      <c r="F68" s="2488"/>
      <c r="G68" s="2488"/>
      <c r="H68" s="2496"/>
      <c r="I68" s="138"/>
      <c r="J68" s="3173"/>
      <c r="K68" s="2498" t="s">
        <v>2260</v>
      </c>
      <c r="L68" s="1749">
        <f ca="1">IF(M49&gt;10000,M49*0.5%,IF(AND(M49&gt;5000,M49&lt;=10000),M49*1%,IF(AND(M49&gt;1000,M49&lt;=5000),M49*2%,IF(AND(M49&gt;200,M49&lt;=1000),M49*3%,M49*5%))))</f>
        <v>87.4</v>
      </c>
      <c r="M68" s="24">
        <f ca="1">ROUND(L68,1)</f>
        <v>87.4</v>
      </c>
      <c r="Z68" s="2422"/>
      <c r="AI68" s="2423"/>
    </row>
    <row r="69" spans="1:35" s="2445" customFormat="1" ht="16.5" customHeight="1">
      <c r="A69" s="2499"/>
      <c r="B69" s="2500"/>
      <c r="C69" s="2501"/>
      <c r="D69" s="2502"/>
      <c r="E69" s="2503"/>
      <c r="F69" s="2166"/>
      <c r="G69" s="2166"/>
      <c r="H69" s="2165"/>
      <c r="I69" s="2417"/>
      <c r="J69" s="3173"/>
      <c r="K69" s="2498" t="s">
        <v>2261</v>
      </c>
      <c r="L69" s="2504"/>
      <c r="M69" s="24">
        <f ca="1">ROUND(SUM(M63:M68),0)</f>
        <v>288</v>
      </c>
      <c r="N69" s="1750">
        <f ca="1">M69/M49</f>
        <v>1.6475972540045767E-2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2" t="s">
        <v>2262</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1" t="s">
        <v>2243</v>
      </c>
      <c r="B71" s="3112"/>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16648</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100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06" t="s">
        <v>2271</v>
      </c>
      <c r="F76" s="3083"/>
      <c r="G76" s="3083"/>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100</v>
      </c>
      <c r="D78" s="226">
        <f>'数据-取费表'!B43</f>
        <v>6.000000000000001E-3</v>
      </c>
      <c r="E78" s="3092" t="s">
        <v>2276</v>
      </c>
      <c r="F78" s="3093"/>
      <c r="G78" s="3093"/>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16548</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165.48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9894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2280</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1" t="s">
        <v>2243</v>
      </c>
      <c r="B84" s="3112"/>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16648</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100</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092" t="s">
        <v>2289</v>
      </c>
      <c r="F91" s="3093"/>
      <c r="G91" s="3093"/>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092" t="s">
        <v>2293</v>
      </c>
      <c r="F92" s="3093"/>
      <c r="G92" s="3093"/>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100</v>
      </c>
      <c r="D93" s="226">
        <f>'数据-取费表'!B43</f>
        <v>6.000000000000001E-3</v>
      </c>
      <c r="E93" s="3092" t="s">
        <v>2276</v>
      </c>
      <c r="F93" s="3093"/>
      <c r="G93" s="3093"/>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03" t="s">
        <v>2297</v>
      </c>
      <c r="F94" s="3104"/>
      <c r="G94" s="3104"/>
      <c r="H94" s="310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16548</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165.48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9894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77" t="s">
        <v>2299</v>
      </c>
      <c r="B100" s="3078"/>
      <c r="C100" s="3078"/>
      <c r="D100" s="3094"/>
      <c r="E100" s="3078" t="s">
        <v>2300</v>
      </c>
      <c r="F100" s="3078"/>
      <c r="G100" s="3078"/>
      <c r="H100" s="3094"/>
      <c r="I100" s="138"/>
    </row>
    <row r="101" spans="1:35" ht="18.75" customHeight="1">
      <c r="A101" s="3156" t="s">
        <v>2301</v>
      </c>
      <c r="B101" s="3157"/>
      <c r="C101" s="736" t="str">
        <f>C4</f>
        <v>成本法</v>
      </c>
      <c r="D101" s="737" t="str">
        <f>D4</f>
        <v>假设开发法</v>
      </c>
      <c r="E101" s="3170" t="s">
        <v>2302</v>
      </c>
      <c r="F101" s="3124"/>
      <c r="G101" s="2519" t="s">
        <v>2303</v>
      </c>
      <c r="H101" s="1045">
        <f ca="1">H118</f>
        <v>17480</v>
      </c>
      <c r="I101" s="138"/>
    </row>
    <row r="102" spans="1:35" ht="18.75" customHeight="1">
      <c r="A102" s="3126" t="s">
        <v>2304</v>
      </c>
      <c r="B102" s="2519" t="s">
        <v>2303</v>
      </c>
      <c r="C102" s="736">
        <f ca="1">C19</f>
        <v>14840</v>
      </c>
      <c r="D102" s="737">
        <f ca="1">D19</f>
        <v>20119</v>
      </c>
      <c r="E102" s="3170"/>
      <c r="F102" s="3124"/>
      <c r="G102" s="2519" t="s">
        <v>2305</v>
      </c>
      <c r="H102" s="371">
        <f ca="1">I118</f>
        <v>5366</v>
      </c>
      <c r="I102" s="138"/>
    </row>
    <row r="103" spans="1:35" ht="42.75" customHeight="1">
      <c r="A103" s="3126"/>
      <c r="B103" s="2519" t="s">
        <v>2305</v>
      </c>
      <c r="C103" s="738">
        <f ca="1">C20</f>
        <v>4556</v>
      </c>
      <c r="D103" s="739">
        <f ca="1">D20</f>
        <v>6177</v>
      </c>
      <c r="E103" s="3165" t="s">
        <v>2306</v>
      </c>
      <c r="F103" s="3166"/>
      <c r="G103" s="2520" t="s">
        <v>2307</v>
      </c>
      <c r="H103" s="1045">
        <f>IF(D36="正常操作",H104+H105+H106,H105+H106)</f>
        <v>0</v>
      </c>
      <c r="I103" s="138"/>
    </row>
    <row r="104" spans="1:35" ht="18.75" customHeight="1">
      <c r="A104" s="3126" t="s">
        <v>2308</v>
      </c>
      <c r="B104" s="2521" t="s">
        <v>2303</v>
      </c>
      <c r="C104" s="740">
        <f ca="1">H118</f>
        <v>17480</v>
      </c>
      <c r="D104" s="741"/>
      <c r="E104" s="2265" t="s">
        <v>2309</v>
      </c>
      <c r="F104" s="2257"/>
      <c r="G104" s="2520" t="s">
        <v>2307</v>
      </c>
      <c r="H104" s="1046">
        <f>IF(D36="同一抵押权人同一抵押物续贷",C36&amp;"（未扣减，详见特别提示）",C36)</f>
        <v>0</v>
      </c>
      <c r="I104" s="138"/>
    </row>
    <row r="105" spans="1:35" ht="18.75" customHeight="1" thickBot="1">
      <c r="A105" s="3127"/>
      <c r="B105" s="2522" t="s">
        <v>2305</v>
      </c>
      <c r="C105" s="742">
        <f ca="1">I118</f>
        <v>5366</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123" t="str">
        <f>IF(项目基本情况!E8="已注销","——","3.房地产抵押价值")</f>
        <v>3.房地产抵押价值</v>
      </c>
      <c r="F107" s="3124"/>
      <c r="G107" s="2519" t="s">
        <v>2303</v>
      </c>
      <c r="H107" s="1045">
        <f ca="1">IF(E107="——","——",H101-H103)</f>
        <v>17480</v>
      </c>
      <c r="I107" s="138"/>
    </row>
    <row r="108" spans="1:35" ht="18.75" customHeight="1">
      <c r="A108" s="138"/>
      <c r="B108" s="138"/>
      <c r="C108" s="138"/>
      <c r="D108" s="138"/>
      <c r="E108" s="3123"/>
      <c r="F108" s="3124"/>
      <c r="G108" s="2519" t="s">
        <v>2305</v>
      </c>
      <c r="H108" s="371">
        <f ca="1">ROUND(H107*10000/'数据-汇总表'!E3,0)</f>
        <v>5366</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9" t="s">
        <v>2303</v>
      </c>
      <c r="H109" s="348" t="str">
        <f>IF(E109="——","——",H101-H105-H106)</f>
        <v>——</v>
      </c>
      <c r="I109" s="138"/>
    </row>
    <row r="110" spans="1:35" ht="18.75" customHeight="1">
      <c r="A110" s="138"/>
      <c r="B110" s="138"/>
      <c r="C110" s="138"/>
      <c r="D110" s="138"/>
      <c r="E110" s="3123"/>
      <c r="F110" s="3124"/>
      <c r="G110" s="2519" t="s">
        <v>2305</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9" t="s">
        <v>2303</v>
      </c>
      <c r="H111" s="1045" t="str">
        <f>IF(E111="——","——",N59)</f>
        <v>——</v>
      </c>
      <c r="I111" s="138"/>
    </row>
    <row r="112" spans="1:35" ht="18.75" customHeight="1" thickBot="1">
      <c r="A112" s="138"/>
      <c r="B112" s="138"/>
      <c r="C112" s="138"/>
      <c r="D112" s="138"/>
      <c r="E112" s="3160"/>
      <c r="F112" s="3161"/>
      <c r="G112" s="2524" t="s">
        <v>2305</v>
      </c>
      <c r="H112" s="790" t="str">
        <f>IF(E111="——","——",N61)</f>
        <v>——</v>
      </c>
      <c r="I112" s="138"/>
    </row>
    <row r="113" spans="1:11" ht="18.75" customHeight="1">
      <c r="A113" s="138"/>
      <c r="B113" s="138"/>
      <c r="C113" s="138"/>
      <c r="D113" s="138"/>
      <c r="E113" s="3128" t="s">
        <v>2311</v>
      </c>
      <c r="F113" s="3128"/>
      <c r="G113" s="3128"/>
      <c r="H113" s="3128"/>
      <c r="I113" s="138"/>
    </row>
    <row r="114" spans="1:11" ht="3.75" customHeight="1">
      <c r="A114" s="2417"/>
      <c r="B114" s="2417"/>
      <c r="C114" s="2417"/>
      <c r="D114" s="2417"/>
      <c r="E114" s="2495"/>
      <c r="F114" s="2495"/>
      <c r="G114" s="2495"/>
      <c r="H114" s="2495"/>
      <c r="I114" s="2417"/>
    </row>
    <row r="115" spans="1:11" ht="18.75" customHeight="1">
      <c r="A115" s="3141" t="s">
        <v>2313</v>
      </c>
      <c r="B115" s="3142"/>
      <c r="C115" s="3142"/>
      <c r="D115" s="3142"/>
      <c r="E115" s="3142"/>
      <c r="F115" s="3142"/>
      <c r="G115" s="3142"/>
      <c r="H115" s="3142"/>
      <c r="I115" s="3143"/>
    </row>
    <row r="116" spans="1:11" ht="27" customHeight="1">
      <c r="A116" s="3034" t="s">
        <v>2314</v>
      </c>
      <c r="B116" s="3129" t="s">
        <v>2315</v>
      </c>
      <c r="C116" s="3129" t="s">
        <v>2316</v>
      </c>
      <c r="D116" s="3145" t="s">
        <v>2317</v>
      </c>
      <c r="E116" s="3146"/>
      <c r="F116" s="3137" t="s">
        <v>2318</v>
      </c>
      <c r="G116" s="3137"/>
      <c r="H116" s="3034" t="s">
        <v>2319</v>
      </c>
      <c r="I116" s="3034"/>
    </row>
    <row r="117" spans="1:11" ht="18.75" customHeight="1">
      <c r="A117" s="3034"/>
      <c r="B117" s="3130"/>
      <c r="C117" s="3130"/>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32573.120000000003</v>
      </c>
      <c r="C118" s="1795">
        <f>M19</f>
        <v>11931.94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17480</v>
      </c>
      <c r="I118" s="1795">
        <f ca="1">ROUND(IF(D32="楼面单价",C32,H118*10000/B118),0)</f>
        <v>5366</v>
      </c>
    </row>
    <row r="119" spans="1:11" ht="18.75" customHeight="1">
      <c r="A119" s="3034" t="s">
        <v>2323</v>
      </c>
      <c r="B119" s="3034"/>
      <c r="C119" s="3034"/>
      <c r="D119" s="3134" t="e">
        <f ca="1">NUMBERSTRING(INT(D118*10000),2)&amp;"元整"</f>
        <v>#REF!</v>
      </c>
      <c r="E119" s="3136"/>
      <c r="F119" s="3134" t="e">
        <f ca="1">NUMBERSTRING(INT(F118*10000),2)&amp;"元整"</f>
        <v>#REF!</v>
      </c>
      <c r="G119" s="3136"/>
      <c r="H119" s="3134" t="str">
        <f ca="1">NUMBERSTRING(INT(H118*10000),2)&amp;"元整"</f>
        <v>壹亿柒仟肆佰捌拾万元整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2" t="str">
        <f>IF(D120=0,"故，本次评估不存在"&amp;A120,"故，本次评估"&amp;A120&amp;"为人民币"&amp;D120&amp;"万元整。")</f>
        <v>故，本次评估不存在估价师知悉的法定优先受偿款</v>
      </c>
    </row>
    <row r="121" spans="1:11" ht="18.75" customHeight="1">
      <c r="A121" s="3138" t="s">
        <v>2323</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17480</v>
      </c>
      <c r="E122" s="3163"/>
      <c r="F122" s="3163"/>
      <c r="G122" s="3163"/>
      <c r="H122" s="3163"/>
      <c r="I122" s="3164"/>
    </row>
    <row r="123" spans="1:11" ht="18.75" customHeight="1">
      <c r="A123" s="3034" t="s">
        <v>2323</v>
      </c>
      <c r="B123" s="3034"/>
      <c r="C123" s="3034"/>
      <c r="D123" s="3134" t="str">
        <f ca="1">NUMBERSTRING(INT(D122*10000),2)&amp;"元整"</f>
        <v>壹亿柒仟肆佰捌拾万元整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2323</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2323</v>
      </c>
      <c r="B127" s="3034"/>
      <c r="C127" s="3034"/>
      <c r="D127" s="3134" t="e">
        <f>NUMBERSTRING(INT(D126*10000),2)&amp;"元整"</f>
        <v>#VALUE!</v>
      </c>
      <c r="E127" s="3135"/>
      <c r="F127" s="3135"/>
      <c r="G127" s="3135"/>
      <c r="H127" s="3135"/>
      <c r="I127" s="3136"/>
    </row>
    <row r="128" spans="1:11" ht="21.75" customHeight="1">
      <c r="A128" s="3144" t="s">
        <v>2324</v>
      </c>
      <c r="B128" s="3144"/>
      <c r="C128" s="3144"/>
      <c r="D128" s="3144"/>
      <c r="E128" s="3144"/>
      <c r="F128" s="3144"/>
      <c r="G128" s="3144"/>
      <c r="H128" s="3144"/>
      <c r="I128" s="3144"/>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9" sqref="B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14840</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4556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6571</v>
      </c>
      <c r="D5" s="255" t="s">
        <v>2340</v>
      </c>
      <c r="E5" s="256" t="s">
        <v>2341</v>
      </c>
      <c r="F5" s="256" t="s">
        <v>2342</v>
      </c>
      <c r="G5" s="257"/>
    </row>
    <row r="6" spans="1:9" s="258" customFormat="1" ht="13.5" customHeight="1">
      <c r="A6" s="949" t="s">
        <v>2343</v>
      </c>
      <c r="B6" s="259" t="s">
        <v>2344</v>
      </c>
      <c r="C6" s="2986">
        <f ca="1">基准地价修正!B2</f>
        <v>5745</v>
      </c>
      <c r="D6" s="261"/>
      <c r="E6" s="262"/>
      <c r="F6" s="262"/>
      <c r="G6" s="263"/>
    </row>
    <row r="7" spans="1:9" s="258" customFormat="1" ht="13.5" customHeight="1">
      <c r="A7" s="949" t="s">
        <v>2345</v>
      </c>
      <c r="B7" s="259" t="s">
        <v>2346</v>
      </c>
      <c r="C7" s="264">
        <f ca="1">ROUND(C6*F7,0)</f>
        <v>175</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651</v>
      </c>
      <c r="D8" s="266"/>
      <c r="E8" s="264"/>
      <c r="F8" s="265"/>
      <c r="G8" s="2977" t="s">
        <v>3327</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32573.120000000003</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32573.120000000003</v>
      </c>
      <c r="E19" s="255">
        <f>'数据-取费表'!B31</f>
        <v>170</v>
      </c>
      <c r="F19" s="275"/>
      <c r="G19" s="2551" t="s">
        <v>3136</v>
      </c>
    </row>
    <row r="20" spans="1:7" s="258" customFormat="1" ht="13.5" customHeight="1">
      <c r="A20" s="299" t="s">
        <v>2364</v>
      </c>
      <c r="B20" s="254" t="s">
        <v>2365</v>
      </c>
      <c r="C20" s="276">
        <f ca="1">ROUND((C5+C19)*F20,0)</f>
        <v>131</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380</v>
      </c>
      <c r="D22" s="279">
        <f ca="1">C26</f>
        <v>5.9999999999999995E-4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376</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4</v>
      </c>
      <c r="D25" s="282"/>
      <c r="E25" s="285"/>
      <c r="F25" s="283"/>
      <c r="G25" s="286" t="s">
        <v>2381</v>
      </c>
    </row>
    <row r="26" spans="1:7" s="258" customFormat="1">
      <c r="A26" s="951" t="s">
        <v>795</v>
      </c>
      <c r="B26" s="259" t="s">
        <v>2382</v>
      </c>
      <c r="C26" s="282">
        <f ca="1">ROUND(IF('数据-取费表'!B22&lt;=1,F21*F22*'数据-取费表'!B23/2,F21*(POWER((1+F22),'数据-取费表'!B23/2)-1)),4)</f>
        <v>5.9999999999999995E-4</v>
      </c>
      <c r="D26" s="282"/>
      <c r="E26" s="285"/>
      <c r="F26" s="283"/>
      <c r="G26" s="287"/>
    </row>
    <row r="27" spans="1:7" s="258" customFormat="1" ht="24.75">
      <c r="A27" s="299" t="s">
        <v>2383</v>
      </c>
      <c r="B27" s="288" t="s">
        <v>2384</v>
      </c>
      <c r="C27" s="289">
        <f ca="1">C28</f>
        <v>603</v>
      </c>
      <c r="D27" s="279">
        <f ca="1">C29</f>
        <v>1.8E-3</v>
      </c>
      <c r="E27" s="280" t="s">
        <v>2385</v>
      </c>
      <c r="F27" s="290">
        <f ca="1">IF(B1="",'数据-取费表'!Q16,INDIRECT("'数据-取费表'!q"&amp;$G$1))</f>
        <v>0.15</v>
      </c>
      <c r="G27" s="291" t="s">
        <v>2386</v>
      </c>
    </row>
    <row r="28" spans="1:7" s="258" customFormat="1" ht="13.5" customHeight="1">
      <c r="A28" s="951" t="s">
        <v>791</v>
      </c>
      <c r="B28" s="292" t="s">
        <v>2387</v>
      </c>
      <c r="C28" s="293">
        <f ca="1">ROUND((C5+C19+C20)*F27*'数据-取费表'!B21/'数据-取费表'!B20,0)</f>
        <v>603</v>
      </c>
      <c r="D28" s="279"/>
      <c r="E28" s="280"/>
      <c r="F28" s="290"/>
      <c r="G28" s="291"/>
    </row>
    <row r="29" spans="1:7" s="258" customFormat="1" ht="13.5" customHeight="1">
      <c r="A29" s="951" t="s">
        <v>792</v>
      </c>
      <c r="B29" s="292" t="s">
        <v>2388</v>
      </c>
      <c r="C29" s="282">
        <f ca="1">ROUND(C21*F27*'数据-取费表'!B21/'数据-取费表'!B20,4)</f>
        <v>1.8E-3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8314</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5012</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4484</v>
      </c>
      <c r="D34" s="261"/>
      <c r="E34" s="264"/>
      <c r="F34" s="301">
        <f ca="1">IF('数据-取费表'!B24=0,1,IF(B1="",'数据-取费表'!N16,INDIRECT("'数据-取费表'!n"&amp;$G$1)))</f>
        <v>0.5</v>
      </c>
      <c r="G34" s="263" t="s">
        <v>2397</v>
      </c>
    </row>
    <row r="35" spans="1:7" ht="13.5" customHeight="1">
      <c r="A35" s="951" t="s">
        <v>796</v>
      </c>
      <c r="B35" s="259" t="s">
        <v>2398</v>
      </c>
      <c r="C35" s="264">
        <f ca="1">ROUND(C34*F35,0)</f>
        <v>135</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326</v>
      </c>
      <c r="D37" s="261">
        <f ca="1">D19</f>
        <v>32573.120000000003</v>
      </c>
      <c r="E37" s="293">
        <f>'数据-取费表'!B35</f>
        <v>200</v>
      </c>
      <c r="F37" s="303"/>
      <c r="G37" s="305" t="s">
        <v>2403</v>
      </c>
    </row>
    <row r="38" spans="1:7" ht="13.5" customHeight="1">
      <c r="A38" s="951" t="s">
        <v>799</v>
      </c>
      <c r="B38" s="259" t="s">
        <v>2404</v>
      </c>
      <c r="C38" s="264">
        <f ca="1">ROUND(C34*F38,0)</f>
        <v>67</v>
      </c>
      <c r="D38" s="264"/>
      <c r="E38" s="264"/>
      <c r="F38" s="303">
        <f>'数据-取费表'!B36</f>
        <v>1.4999999999999999E-2</v>
      </c>
      <c r="G38" s="263" t="s">
        <v>2399</v>
      </c>
    </row>
    <row r="39" spans="1:7" s="258" customFormat="1" ht="13.5" customHeight="1">
      <c r="A39" s="299" t="s">
        <v>2405</v>
      </c>
      <c r="B39" s="254" t="s">
        <v>2406</v>
      </c>
      <c r="C39" s="276">
        <f ca="1">ROUND(C33*F20,0)</f>
        <v>100</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145</v>
      </c>
      <c r="D41" s="279">
        <f ca="1">C44</f>
        <v>5.9999999999999995E-4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142</v>
      </c>
      <c r="D42" s="282"/>
      <c r="E42" s="282"/>
      <c r="F42" s="283"/>
      <c r="G42" s="3176" t="s">
        <v>2415</v>
      </c>
    </row>
    <row r="43" spans="1:7" ht="13.5" customHeight="1">
      <c r="A43" s="951" t="s">
        <v>792</v>
      </c>
      <c r="B43" s="259" t="s">
        <v>2416</v>
      </c>
      <c r="C43" s="282">
        <f ca="1">ROUND(IF('数据-取费表'!B22&lt;=1,C39*F22*'数据-取费表'!B21/2,C39*(POWER((1+F22),'数据-取费表'!B21/2)-1)),0)</f>
        <v>3</v>
      </c>
      <c r="D43" s="282"/>
      <c r="E43" s="282"/>
      <c r="F43" s="283"/>
      <c r="G43" s="3177"/>
    </row>
    <row r="44" spans="1:7" ht="13.5" customHeight="1">
      <c r="A44" s="951" t="s">
        <v>793</v>
      </c>
      <c r="B44" s="259" t="s">
        <v>2417</v>
      </c>
      <c r="C44" s="282">
        <f ca="1">ROUND(IF('数据-取费表'!B22&lt;=1,C40*F22*'数据-取费表'!B21/2,C40*(POWER((1+F22),'数据-取费表'!B21/2)-1)),4)</f>
        <v>5.9999999999999995E-4</v>
      </c>
      <c r="D44" s="282"/>
      <c r="E44" s="282"/>
      <c r="F44" s="283"/>
      <c r="G44" s="3178"/>
    </row>
    <row r="45" spans="1:7" s="258" customFormat="1" ht="13.5" customHeight="1">
      <c r="A45" s="299" t="s">
        <v>2418</v>
      </c>
      <c r="B45" s="288" t="s">
        <v>2384</v>
      </c>
      <c r="C45" s="289">
        <f ca="1">C46</f>
        <v>767</v>
      </c>
      <c r="D45" s="279">
        <f ca="1">C47</f>
        <v>3.0000000000000001E-3</v>
      </c>
      <c r="E45" s="280" t="s">
        <v>2410</v>
      </c>
      <c r="F45" s="290"/>
      <c r="G45" s="291" t="s">
        <v>2419</v>
      </c>
    </row>
    <row r="46" spans="1:7" s="258" customFormat="1" ht="13.5" customHeight="1">
      <c r="A46" s="951" t="s">
        <v>791</v>
      </c>
      <c r="B46" s="292" t="s">
        <v>2420</v>
      </c>
      <c r="C46" s="293">
        <f ca="1">ROUND((C33+C39)*F27,0)</f>
        <v>767</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6526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6526</v>
      </c>
      <c r="D51" s="276"/>
      <c r="E51" s="276"/>
      <c r="F51" s="308"/>
      <c r="G51" s="278" t="s">
        <v>2431</v>
      </c>
    </row>
    <row r="52" spans="1:7" s="252" customFormat="1" ht="16.5" thickBot="1">
      <c r="A52" s="309" t="s">
        <v>2432</v>
      </c>
      <c r="B52" s="310"/>
      <c r="C52" s="311">
        <f ca="1">C31+C51</f>
        <v>14840</v>
      </c>
      <c r="D52" s="310"/>
      <c r="E52" s="310"/>
      <c r="F52" s="310"/>
      <c r="G52" s="312"/>
    </row>
    <row r="55" spans="1:7" ht="15">
      <c r="B55" s="314" t="s">
        <v>2433</v>
      </c>
      <c r="C55" s="315"/>
    </row>
    <row r="56" spans="1:7">
      <c r="B56" s="317" t="s">
        <v>1513</v>
      </c>
      <c r="C56" s="319">
        <f ca="1">1-C57</f>
        <v>0.56000000000000005</v>
      </c>
    </row>
    <row r="57" spans="1:7">
      <c r="B57" s="317" t="s">
        <v>1514</v>
      </c>
      <c r="C57" s="318">
        <f ca="1">ROUND(C51/C52,3)</f>
        <v>0.44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北京市北京市海淀区永丰产业基地Ⅱ-4-C地段出让国有建设用地使用权及在建建筑物房地产抵押价值预评估</v>
      </c>
      <c r="C37" s="2990"/>
      <c r="D37" s="2990"/>
      <c r="E37" s="2990"/>
      <c r="F37" s="2990"/>
      <c r="G37" s="2990"/>
      <c r="H37" s="2990"/>
      <c r="I37" s="299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14925</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4582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6514624</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6514624</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6514624</v>
      </c>
      <c r="D10" s="1032">
        <f ca="1">IF(B1="",'数据-汇总表'!E6,IF(INDIRECT("'数据-取费表'!c"&amp;$G$1)="住宅",INDIRECT("'数据-取费表'!s"&amp;$G$1),INDIRECT("'数据-取费表'!k"&amp;$G$1)+INDIRECT("'数据-取费表'!s"&amp;$G$1)))</f>
        <v>32573.120000000003</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5537430</v>
      </c>
      <c r="D19" s="1036">
        <f ca="1">D9+D10</f>
        <v>32573.120000000003</v>
      </c>
      <c r="E19" s="255">
        <f>'数据-取费表'!B31</f>
        <v>170</v>
      </c>
      <c r="F19" s="275"/>
      <c r="G19" s="2551"/>
    </row>
    <row r="20" spans="1:7" s="258" customFormat="1" ht="13.5" customHeight="1">
      <c r="A20" s="299" t="s">
        <v>2445</v>
      </c>
      <c r="B20" s="254" t="s">
        <v>2446</v>
      </c>
      <c r="C20" s="276">
        <f ca="1">ROUND((C5+C19)*F20,0)</f>
        <v>241041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1183587</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633588</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538550</v>
      </c>
      <c r="D24" s="282"/>
      <c r="E24" s="282"/>
      <c r="F24" s="283"/>
      <c r="G24" s="284" t="s">
        <v>2457</v>
      </c>
    </row>
    <row r="25" spans="1:7" s="258" customFormat="1" ht="24">
      <c r="A25" s="951" t="s">
        <v>2347</v>
      </c>
      <c r="B25" s="259" t="s">
        <v>2458</v>
      </c>
      <c r="C25" s="1381">
        <f ca="1">ROUND(IF('数据-取费表'!B22&lt;=1,C20*F22*'数据-取费表'!B22/2,C20*(POWER((1+F22),'数据-取费表'!B22/2)-1)),0)</f>
        <v>11449</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1843964</v>
      </c>
      <c r="D27" s="279">
        <f ca="1">C29</f>
        <v>3.0000000000000001E-3</v>
      </c>
      <c r="E27" s="280" t="s">
        <v>2385</v>
      </c>
      <c r="F27" s="290">
        <f ca="1">IF(B1="",'数据-取费表'!Q16,INDIRECT("'数据-取费表'!q"&amp;$G$1))</f>
        <v>0.15</v>
      </c>
      <c r="G27" s="291" t="s">
        <v>2386</v>
      </c>
    </row>
    <row r="28" spans="1:7" s="258" customFormat="1" ht="13.5" customHeight="1">
      <c r="A28" s="951" t="s">
        <v>791</v>
      </c>
      <c r="B28" s="292" t="s">
        <v>2387</v>
      </c>
      <c r="C28" s="293">
        <f ca="1">ROUND((C5+C19+C20)*F27,0)</f>
        <v>1843964</v>
      </c>
      <c r="D28" s="279"/>
      <c r="E28" s="280"/>
      <c r="F28" s="290"/>
      <c r="G28" s="291"/>
    </row>
    <row r="29" spans="1:7" s="258" customFormat="1" ht="13.5" customHeight="1">
      <c r="A29" s="951"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16604147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100203832</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89654745</v>
      </c>
      <c r="D34" s="261"/>
      <c r="E34" s="264"/>
      <c r="F34" s="301"/>
      <c r="G34" s="263"/>
    </row>
    <row r="35" spans="1:7" ht="13.5" customHeight="1">
      <c r="A35" s="951" t="s">
        <v>796</v>
      </c>
      <c r="B35" s="259" t="s">
        <v>2398</v>
      </c>
      <c r="C35" s="264">
        <f ca="1">ROUND(C34*F35,0)</f>
        <v>2689642</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6514624</v>
      </c>
      <c r="D37" s="261">
        <f ca="1">D19</f>
        <v>32573.120000000003</v>
      </c>
      <c r="E37" s="293">
        <f>'数据-取费表'!B35</f>
        <v>200</v>
      </c>
      <c r="F37" s="303"/>
      <c r="G37" s="305"/>
    </row>
    <row r="38" spans="1:7" ht="13.5" customHeight="1">
      <c r="A38" s="951" t="s">
        <v>799</v>
      </c>
      <c r="B38" s="259" t="s">
        <v>2404</v>
      </c>
      <c r="C38" s="264">
        <f ca="1">ROUND(C34*F38,0)</f>
        <v>1344821</v>
      </c>
      <c r="D38" s="264"/>
      <c r="E38" s="264"/>
      <c r="F38" s="303">
        <f>'数据-取费表'!B36</f>
        <v>1.4999999999999999E-2</v>
      </c>
      <c r="G38" s="263" t="s">
        <v>2399</v>
      </c>
    </row>
    <row r="39" spans="1:7" s="258" customFormat="1" ht="13.5" customHeight="1">
      <c r="A39" s="299" t="s">
        <v>2405</v>
      </c>
      <c r="B39" s="254" t="s">
        <v>2406</v>
      </c>
      <c r="C39" s="276">
        <f ca="1">ROUND(C33*F20,0)</f>
        <v>2004077</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4854876</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4759682</v>
      </c>
      <c r="D42" s="282"/>
      <c r="E42" s="282"/>
      <c r="F42" s="283"/>
      <c r="G42" s="3176" t="s">
        <v>2462</v>
      </c>
    </row>
    <row r="43" spans="1:7" ht="13.5" customHeight="1">
      <c r="A43" s="951" t="s">
        <v>792</v>
      </c>
      <c r="B43" s="259" t="s">
        <v>2416</v>
      </c>
      <c r="C43" s="282">
        <f ca="1">ROUND(IF('数据-取费表'!B22&lt;=1,C39*F22*'数据-取费表'!B20/2,C39*(POWER((1+F22),'数据-取费表'!B20/2)-1)),0)</f>
        <v>95194</v>
      </c>
      <c r="D43" s="282"/>
      <c r="E43" s="282"/>
      <c r="F43" s="283"/>
      <c r="G43" s="3177"/>
    </row>
    <row r="44" spans="1:7" ht="13.5" customHeight="1">
      <c r="A44" s="951" t="s">
        <v>793</v>
      </c>
      <c r="B44" s="259" t="s">
        <v>2417</v>
      </c>
      <c r="C44" s="282">
        <f ca="1">ROUND(IF('数据-取费表'!B22&lt;=1,C40*F22*'数据-取费表'!B20/2,C40*(POWER((1+F22),'数据-取费表'!B20/2)-1)),4)</f>
        <v>1E-3</v>
      </c>
      <c r="D44" s="282"/>
      <c r="E44" s="282"/>
      <c r="F44" s="283"/>
      <c r="G44" s="3178"/>
    </row>
    <row r="45" spans="1:7" s="258" customFormat="1" ht="13.5" customHeight="1">
      <c r="A45" s="299" t="s">
        <v>2418</v>
      </c>
      <c r="B45" s="288" t="s">
        <v>2384</v>
      </c>
      <c r="C45" s="289">
        <f ca="1">C46</f>
        <v>15331186</v>
      </c>
      <c r="D45" s="279">
        <f ca="1">C47</f>
        <v>3.0000000000000001E-3</v>
      </c>
      <c r="E45" s="280" t="s">
        <v>2410</v>
      </c>
      <c r="F45" s="290"/>
      <c r="G45" s="291" t="s">
        <v>2419</v>
      </c>
    </row>
    <row r="46" spans="1:7" s="258" customFormat="1" ht="13.5" customHeight="1">
      <c r="A46" s="951" t="s">
        <v>791</v>
      </c>
      <c r="B46" s="292" t="s">
        <v>2420</v>
      </c>
      <c r="C46" s="293">
        <f ca="1">ROUND((C33+C39)*F27,0)</f>
        <v>15331186</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132647633</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132647633</v>
      </c>
      <c r="D51" s="276"/>
      <c r="E51" s="276"/>
      <c r="F51" s="308"/>
      <c r="G51" s="278" t="s">
        <v>2431</v>
      </c>
    </row>
    <row r="52" spans="1:7" s="252" customFormat="1" ht="16.5" thickBot="1">
      <c r="A52" s="309" t="s">
        <v>2432</v>
      </c>
      <c r="B52" s="310"/>
      <c r="C52" s="311">
        <f ca="1">C31+C51</f>
        <v>149251780</v>
      </c>
      <c r="D52" s="310"/>
      <c r="E52" s="310"/>
      <c r="F52" s="310"/>
      <c r="G52" s="312"/>
    </row>
    <row r="55" spans="1:7" ht="15">
      <c r="B55" s="314" t="s">
        <v>2433</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2883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885</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32.25" customHeight="1">
      <c r="A5" s="404"/>
      <c r="B5" s="405"/>
      <c r="C5" s="3190" t="s">
        <v>2545</v>
      </c>
      <c r="D5" s="3191"/>
      <c r="E5" s="3216" t="s">
        <v>3291</v>
      </c>
      <c r="F5" s="3217"/>
      <c r="G5" s="3194" t="s">
        <v>3287</v>
      </c>
      <c r="H5" s="3191"/>
      <c r="I5" s="3194" t="s">
        <v>3315</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192" t="s">
        <v>2800</v>
      </c>
      <c r="D6" s="3193"/>
      <c r="E6" s="3196" t="s">
        <v>2800</v>
      </c>
      <c r="F6" s="3197"/>
      <c r="G6" s="3192" t="s">
        <v>2800</v>
      </c>
      <c r="H6" s="3193"/>
      <c r="I6" s="3192" t="s">
        <v>2800</v>
      </c>
      <c r="J6" s="3193"/>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v>43094</v>
      </c>
      <c r="F7" s="413">
        <f>SUMIF(65:65,YEAR(E7)&amp;"-"&amp;INT((MONTH(E7)+2)/3),66:66)</f>
        <v>96</v>
      </c>
      <c r="G7" s="2696">
        <v>42668</v>
      </c>
      <c r="H7" s="411">
        <f>SUMIF(65:65,YEAR(G7)&amp;"-"&amp;INT((MONTH(G7)+2)/3),66:66)</f>
        <v>94</v>
      </c>
      <c r="I7" s="2696">
        <v>42535</v>
      </c>
      <c r="J7" s="411">
        <f>SUMIF(65:65,YEAR(I7)&amp;"-"&amp;INT((MONTH(I7)+2)/3),66:66)</f>
        <v>92</v>
      </c>
      <c r="K7" s="611"/>
      <c r="L7" s="1132"/>
      <c r="M7" s="1133"/>
      <c r="N7" s="1133"/>
      <c r="O7" s="1133"/>
      <c r="P7" s="3184" t="s">
        <v>2552</v>
      </c>
      <c r="Q7" s="3195"/>
      <c r="R7" s="770" t="s">
        <v>17</v>
      </c>
      <c r="S7" s="771">
        <f t="shared" ref="S7:S15" si="0">F7</f>
        <v>96</v>
      </c>
      <c r="T7" s="770" t="s">
        <v>17</v>
      </c>
      <c r="U7" s="771">
        <f t="shared" ref="U7:U15" si="1">H7</f>
        <v>94</v>
      </c>
      <c r="V7" s="770" t="s">
        <v>17</v>
      </c>
      <c r="W7" s="771">
        <f t="shared" ref="W7:W15" si="2">J7</f>
        <v>92</v>
      </c>
      <c r="X7" s="772"/>
      <c r="Y7" s="3184" t="s">
        <v>2552</v>
      </c>
      <c r="Z7" s="3185"/>
      <c r="AA7" s="773">
        <f>D7/F7</f>
        <v>1.0416666666666667</v>
      </c>
      <c r="AB7" s="773">
        <f>D7/H7</f>
        <v>1.0638297872340425</v>
      </c>
      <c r="AC7" s="773">
        <f>D7/J7</f>
        <v>1.0869565217391304</v>
      </c>
    </row>
    <row r="8" spans="1:29" s="117" customFormat="1" ht="15.75" thickBot="1">
      <c r="A8" s="408" t="s">
        <v>2553</v>
      </c>
      <c r="B8" s="409"/>
      <c r="C8" s="414" t="s">
        <v>2554</v>
      </c>
      <c r="D8" s="411">
        <v>100</v>
      </c>
      <c r="E8" s="414" t="s">
        <v>3059</v>
      </c>
      <c r="F8" s="413">
        <f>SUMIF(68:68,E8,69:69)-SUMIF(68:68,C8,69:69)+100</f>
        <v>100</v>
      </c>
      <c r="G8" s="414" t="s">
        <v>3059</v>
      </c>
      <c r="H8" s="411">
        <f>SUMIF(68:68,G8,69:69)-SUMIF(68:68,C8,69:69)+100</f>
        <v>100</v>
      </c>
      <c r="I8" s="414" t="s">
        <v>3059</v>
      </c>
      <c r="J8" s="411">
        <f>SUMIF(68:68,I8,69:69)-SUMIF(68:68,C8,69:69)+100</f>
        <v>100</v>
      </c>
      <c r="K8" s="611"/>
      <c r="L8" s="1132"/>
      <c r="M8" s="1133"/>
      <c r="N8" s="1133"/>
      <c r="O8" s="1133"/>
      <c r="P8" s="3184" t="s">
        <v>2555</v>
      </c>
      <c r="Q8" s="3185"/>
      <c r="R8" s="770" t="s">
        <v>17</v>
      </c>
      <c r="S8" s="771">
        <f t="shared" si="0"/>
        <v>100</v>
      </c>
      <c r="T8" s="770" t="s">
        <v>17</v>
      </c>
      <c r="U8" s="771">
        <f t="shared" si="1"/>
        <v>100</v>
      </c>
      <c r="V8" s="770" t="s">
        <v>17</v>
      </c>
      <c r="W8" s="771">
        <f t="shared" si="2"/>
        <v>100</v>
      </c>
      <c r="X8" s="772"/>
      <c r="Y8" s="3184" t="s">
        <v>2555</v>
      </c>
      <c r="Z8" s="3185"/>
      <c r="AA8" s="773">
        <f t="shared" ref="AA8:AA40" si="3">D8/F8</f>
        <v>1</v>
      </c>
      <c r="AB8" s="773">
        <f t="shared" ref="AB8:AB40" si="4">D8/H8</f>
        <v>1</v>
      </c>
      <c r="AC8" s="773">
        <f t="shared" ref="AC8:AC40" si="5">D8/J8</f>
        <v>1</v>
      </c>
    </row>
    <row r="9" spans="1:29" s="117" customFormat="1">
      <c r="A9" s="415" t="s">
        <v>2556</v>
      </c>
      <c r="B9" s="71" t="s">
        <v>2557</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32" t="s">
        <v>3300</v>
      </c>
      <c r="D10" s="136">
        <v>100</v>
      </c>
      <c r="E10" s="432" t="s">
        <v>3300</v>
      </c>
      <c r="F10" s="136">
        <f>ROUND(100/'数据-取费表'!G16,0)</f>
        <v>103</v>
      </c>
      <c r="G10" s="432" t="s">
        <v>3300</v>
      </c>
      <c r="H10" s="136">
        <f>ROUND(100/'数据-取费表'!G16,0)</f>
        <v>103</v>
      </c>
      <c r="I10" s="432" t="s">
        <v>3316</v>
      </c>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2974" t="s">
        <v>2561</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2975"/>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29" t="s">
        <v>2801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201" t="s">
        <v>2563</v>
      </c>
      <c r="Q15" s="1810" t="str">
        <f t="shared" si="6"/>
        <v>产业集聚程度</v>
      </c>
      <c r="R15" s="774" t="s">
        <v>17</v>
      </c>
      <c r="S15" s="775">
        <f t="shared" si="0"/>
        <v>100</v>
      </c>
      <c r="T15" s="774" t="s">
        <v>17</v>
      </c>
      <c r="U15" s="775">
        <f t="shared" si="1"/>
        <v>100</v>
      </c>
      <c r="V15" s="774" t="s">
        <v>17</v>
      </c>
      <c r="W15" s="775">
        <f t="shared" si="2"/>
        <v>100</v>
      </c>
      <c r="X15" s="1813"/>
      <c r="Y15" s="3201" t="s">
        <v>2563</v>
      </c>
      <c r="Z15" s="1814" t="str">
        <f t="shared" si="7"/>
        <v>产业集聚程度</v>
      </c>
      <c r="AA15" s="1811">
        <f t="shared" si="3"/>
        <v>1</v>
      </c>
      <c r="AB15" s="1811">
        <f t="shared" si="4"/>
        <v>1</v>
      </c>
      <c r="AC15" s="1811">
        <f t="shared" si="5"/>
        <v>1</v>
      </c>
    </row>
    <row r="16" spans="1:29" ht="15">
      <c r="A16" s="428"/>
      <c r="B16" s="630"/>
      <c r="C16" s="447" t="s">
        <v>3086</v>
      </c>
      <c r="D16" s="448"/>
      <c r="E16" s="2611" t="s">
        <v>3086</v>
      </c>
      <c r="F16" s="448"/>
      <c r="G16" s="2611" t="s">
        <v>3086</v>
      </c>
      <c r="H16" s="450"/>
      <c r="I16" s="2611" t="s">
        <v>3086</v>
      </c>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632"/>
      <c r="C18" s="447" t="s">
        <v>3086</v>
      </c>
      <c r="D18" s="448"/>
      <c r="E18" s="2605" t="s">
        <v>3086</v>
      </c>
      <c r="F18" s="448"/>
      <c r="G18" s="2605" t="s">
        <v>3086</v>
      </c>
      <c r="H18" s="448"/>
      <c r="I18" s="2604" t="s">
        <v>3086</v>
      </c>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202"/>
      <c r="Q19" s="1810" t="str">
        <f t="shared" ref="Q19:Q33" si="8">B19</f>
        <v>区域土地利用方向</v>
      </c>
      <c r="R19" s="774" t="s">
        <v>17</v>
      </c>
      <c r="S19" s="775">
        <f>F19</f>
        <v>100</v>
      </c>
      <c r="T19" s="774" t="s">
        <v>17</v>
      </c>
      <c r="U19" s="775">
        <f>H19</f>
        <v>100</v>
      </c>
      <c r="V19" s="774" t="s">
        <v>17</v>
      </c>
      <c r="W19" s="775">
        <f>J19</f>
        <v>100</v>
      </c>
      <c r="X19" s="1813"/>
      <c r="Y19" s="3202"/>
      <c r="Z19" s="1814" t="str">
        <f>Q19</f>
        <v>区域土地利用方向</v>
      </c>
      <c r="AA19" s="1811">
        <f t="shared" si="3"/>
        <v>1</v>
      </c>
      <c r="AB19" s="1811">
        <f t="shared" si="4"/>
        <v>1</v>
      </c>
      <c r="AC19" s="1811">
        <f t="shared" si="5"/>
        <v>1</v>
      </c>
    </row>
    <row r="20" spans="1:29" ht="15">
      <c r="A20" s="404"/>
      <c r="B20" s="632"/>
      <c r="C20" s="447" t="s">
        <v>3087</v>
      </c>
      <c r="D20" s="448"/>
      <c r="E20" s="2605" t="s">
        <v>3087</v>
      </c>
      <c r="F20" s="448"/>
      <c r="G20" s="2605" t="s">
        <v>3087</v>
      </c>
      <c r="H20" s="448"/>
      <c r="I20" s="2605" t="s">
        <v>3087</v>
      </c>
      <c r="J20" s="448"/>
      <c r="K20" s="809"/>
      <c r="L20" s="1140"/>
      <c r="M20" s="1131"/>
      <c r="N20" s="1131"/>
      <c r="O20" s="1139"/>
      <c r="P20" s="3202"/>
      <c r="Q20" s="1810"/>
      <c r="R20" s="774"/>
      <c r="S20" s="775"/>
      <c r="T20" s="774"/>
      <c r="U20" s="775"/>
      <c r="V20" s="774"/>
      <c r="W20" s="775"/>
      <c r="X20" s="1813"/>
      <c r="Y20" s="3202"/>
      <c r="Z20" s="1814"/>
      <c r="AA20" s="1811"/>
      <c r="AB20" s="1811"/>
      <c r="AC20" s="1811"/>
    </row>
    <row r="21" spans="1:29" ht="71.25">
      <c r="A21" s="404"/>
      <c r="B21" s="631" t="s">
        <v>2802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202"/>
      <c r="Q21" s="1810" t="str">
        <f t="shared" si="8"/>
        <v>环境状况</v>
      </c>
      <c r="R21" s="774" t="s">
        <v>17</v>
      </c>
      <c r="S21" s="775">
        <f>F21</f>
        <v>100</v>
      </c>
      <c r="T21" s="774" t="s">
        <v>17</v>
      </c>
      <c r="U21" s="775">
        <f>H21</f>
        <v>100</v>
      </c>
      <c r="V21" s="774" t="s">
        <v>17</v>
      </c>
      <c r="W21" s="775">
        <f>J21</f>
        <v>100</v>
      </c>
      <c r="X21" s="1813"/>
      <c r="Y21" s="3202"/>
      <c r="Z21" s="1814" t="str">
        <f>Q21</f>
        <v>环境状况</v>
      </c>
      <c r="AA21" s="1811">
        <f t="shared" si="3"/>
        <v>1</v>
      </c>
      <c r="AB21" s="1811">
        <f t="shared" si="4"/>
        <v>1</v>
      </c>
      <c r="AC21" s="1811">
        <f t="shared" si="5"/>
        <v>1</v>
      </c>
    </row>
    <row r="22" spans="1:29" ht="15">
      <c r="A22" s="404"/>
      <c r="B22" s="632"/>
      <c r="C22" s="447" t="s">
        <v>3086</v>
      </c>
      <c r="D22" s="448"/>
      <c r="E22" s="2611" t="s">
        <v>3086</v>
      </c>
      <c r="F22" s="448"/>
      <c r="G22" s="2611" t="s">
        <v>3086</v>
      </c>
      <c r="H22" s="448"/>
      <c r="I22" s="447" t="s">
        <v>3086</v>
      </c>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202"/>
      <c r="Q23" s="1795" t="str">
        <f t="shared" si="8"/>
        <v>公共配套设施</v>
      </c>
      <c r="R23" s="770" t="s">
        <v>17</v>
      </c>
      <c r="S23" s="771">
        <f>F23</f>
        <v>100</v>
      </c>
      <c r="T23" s="770" t="s">
        <v>17</v>
      </c>
      <c r="U23" s="771">
        <f>H23</f>
        <v>100</v>
      </c>
      <c r="V23" s="770" t="s">
        <v>17</v>
      </c>
      <c r="W23" s="771">
        <f>J23</f>
        <v>100</v>
      </c>
      <c r="X23" s="772"/>
      <c r="Y23" s="3202"/>
      <c r="Z23" s="55" t="str">
        <f>Q23</f>
        <v>公共配套设施</v>
      </c>
      <c r="AA23" s="1811">
        <f>D23/F23</f>
        <v>1</v>
      </c>
      <c r="AB23" s="1811">
        <f>D23/H23</f>
        <v>1</v>
      </c>
      <c r="AC23" s="1811">
        <f>D23/J23</f>
        <v>1</v>
      </c>
    </row>
    <row r="24" spans="1:29" s="117" customFormat="1" ht="15">
      <c r="A24" s="649"/>
      <c r="B24" s="632"/>
      <c r="C24" s="2700" t="s">
        <v>3086</v>
      </c>
      <c r="D24" s="448"/>
      <c r="E24" s="2611" t="s">
        <v>3086</v>
      </c>
      <c r="F24" s="448"/>
      <c r="G24" s="2611" t="s">
        <v>3086</v>
      </c>
      <c r="H24" s="448"/>
      <c r="I24" s="447" t="s">
        <v>3086</v>
      </c>
      <c r="J24" s="448"/>
      <c r="K24" s="672"/>
      <c r="L24" s="1132"/>
      <c r="M24" s="1133"/>
      <c r="N24" s="1133"/>
      <c r="O24" s="1134"/>
      <c r="P24" s="3202"/>
      <c r="Q24" s="1795"/>
      <c r="R24" s="770"/>
      <c r="S24" s="771"/>
      <c r="T24" s="770"/>
      <c r="U24" s="771"/>
      <c r="V24" s="770"/>
      <c r="W24" s="771"/>
      <c r="X24" s="772"/>
      <c r="Y24" s="3202"/>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202"/>
      <c r="Q25" s="1795"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1">
        <f>D25/F25</f>
        <v>1</v>
      </c>
      <c r="AB25" s="1811">
        <f>D25/H25</f>
        <v>1</v>
      </c>
      <c r="AC25" s="1811">
        <f>D25/J25</f>
        <v>1</v>
      </c>
    </row>
    <row r="26" spans="1:29" s="117" customFormat="1" ht="15">
      <c r="A26" s="649"/>
      <c r="B26" s="632"/>
      <c r="C26" s="2700" t="s">
        <v>3088</v>
      </c>
      <c r="D26" s="448"/>
      <c r="E26" s="2701" t="s">
        <v>3088</v>
      </c>
      <c r="F26" s="448"/>
      <c r="G26" s="2701" t="s">
        <v>3088</v>
      </c>
      <c r="H26" s="448"/>
      <c r="I26" s="2701" t="s">
        <v>3088</v>
      </c>
      <c r="J26" s="448"/>
      <c r="K26" s="672"/>
      <c r="L26" s="1132"/>
      <c r="M26" s="1133"/>
      <c r="N26" s="1133"/>
      <c r="O26" s="1134"/>
      <c r="P26" s="3202"/>
      <c r="Q26" s="1795"/>
      <c r="R26" s="770"/>
      <c r="S26" s="771"/>
      <c r="T26" s="770"/>
      <c r="U26" s="771"/>
      <c r="V26" s="770"/>
      <c r="W26" s="771"/>
      <c r="X26" s="772"/>
      <c r="Y26" s="3202"/>
      <c r="Z26" s="55"/>
      <c r="AA26" s="773">
        <v>1</v>
      </c>
      <c r="AB26" s="773">
        <v>1</v>
      </c>
      <c r="AC26" s="773">
        <v>1</v>
      </c>
    </row>
    <row r="27" spans="1:29" ht="15">
      <c r="A27" s="428"/>
      <c r="B27" s="632" t="s">
        <v>2659</v>
      </c>
      <c r="C27" s="616" t="s">
        <v>3311</v>
      </c>
      <c r="D27" s="435">
        <v>100</v>
      </c>
      <c r="E27" s="634" t="s">
        <v>3311</v>
      </c>
      <c r="F27" s="435">
        <f>SUMIF(95:95,E27,96:96)-SUMIF(95:95,C27,96:96)+100</f>
        <v>100</v>
      </c>
      <c r="G27" s="634" t="s">
        <v>3311</v>
      </c>
      <c r="H27" s="435">
        <f>SUMIF(95:95,G27,96:96)-SUMIF(95:95,C27,96:96)+100</f>
        <v>100</v>
      </c>
      <c r="I27" s="634" t="s">
        <v>3311</v>
      </c>
      <c r="J27" s="435">
        <f>SUMIF(95:95,I27,96:96)-SUMIF(95:95,C27,96:96)+100</f>
        <v>100</v>
      </c>
      <c r="K27" s="673">
        <v>2</v>
      </c>
      <c r="L27" s="1140"/>
      <c r="M27" s="1131"/>
      <c r="N27" s="1131"/>
      <c r="O27" s="1139"/>
      <c r="P27" s="32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202"/>
      <c r="Q28" s="1810" t="str">
        <f t="shared" si="8"/>
        <v>毗邻道路的类型与等级</v>
      </c>
      <c r="R28" s="774" t="s">
        <v>17</v>
      </c>
      <c r="S28" s="775">
        <f t="shared" si="10"/>
        <v>100</v>
      </c>
      <c r="T28" s="774" t="s">
        <v>17</v>
      </c>
      <c r="U28" s="775">
        <f t="shared" si="11"/>
        <v>100</v>
      </c>
      <c r="V28" s="774" t="s">
        <v>17</v>
      </c>
      <c r="W28" s="775">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t="s">
        <v>3123</v>
      </c>
      <c r="D29" s="448"/>
      <c r="E29" s="2611" t="s">
        <v>3123</v>
      </c>
      <c r="F29" s="448"/>
      <c r="G29" s="2611" t="s">
        <v>3123</v>
      </c>
      <c r="H29" s="448"/>
      <c r="I29" s="2611" t="s">
        <v>3123</v>
      </c>
      <c r="J29" s="448"/>
      <c r="K29" s="613"/>
      <c r="L29" s="1140"/>
      <c r="M29" s="1131"/>
      <c r="N29" s="1131"/>
      <c r="O29" s="1139"/>
      <c r="P29" s="3202"/>
      <c r="Q29" s="1810"/>
      <c r="R29" s="774"/>
      <c r="S29" s="775"/>
      <c r="T29" s="774"/>
      <c r="U29" s="775"/>
      <c r="V29" s="774"/>
      <c r="W29" s="775"/>
      <c r="X29" s="1813"/>
      <c r="Y29" s="3202"/>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10" t="str">
        <f t="shared" si="8"/>
        <v>土地级别</v>
      </c>
      <c r="R30" s="774" t="s">
        <v>17</v>
      </c>
      <c r="S30" s="775">
        <f t="shared" si="10"/>
        <v>100</v>
      </c>
      <c r="T30" s="774" t="s">
        <v>17</v>
      </c>
      <c r="U30" s="775">
        <f t="shared" si="11"/>
        <v>100</v>
      </c>
      <c r="V30" s="774" t="s">
        <v>17</v>
      </c>
      <c r="W30" s="775">
        <f t="shared" si="12"/>
        <v>100</v>
      </c>
      <c r="X30" s="1813"/>
      <c r="Y30" s="320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10">
        <f t="shared" si="8"/>
        <v>111</v>
      </c>
      <c r="R31" s="774" t="s">
        <v>17</v>
      </c>
      <c r="S31" s="775">
        <f t="shared" si="10"/>
        <v>100</v>
      </c>
      <c r="T31" s="774" t="s">
        <v>17</v>
      </c>
      <c r="U31" s="775">
        <f t="shared" si="11"/>
        <v>100</v>
      </c>
      <c r="V31" s="774" t="s">
        <v>17</v>
      </c>
      <c r="W31" s="775">
        <f t="shared" si="12"/>
        <v>100</v>
      </c>
      <c r="X31" s="1813"/>
      <c r="Y31" s="320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8" t="s">
        <v>2568</v>
      </c>
      <c r="Q32" s="1810">
        <f t="shared" si="8"/>
        <v>111</v>
      </c>
      <c r="R32" s="774" t="s">
        <v>17</v>
      </c>
      <c r="S32" s="775">
        <f t="shared" si="10"/>
        <v>100</v>
      </c>
      <c r="T32" s="774" t="s">
        <v>17</v>
      </c>
      <c r="U32" s="775">
        <f t="shared" si="11"/>
        <v>100</v>
      </c>
      <c r="V32" s="774" t="s">
        <v>17</v>
      </c>
      <c r="W32" s="775">
        <f t="shared" si="12"/>
        <v>100</v>
      </c>
      <c r="X32" s="1813"/>
      <c r="Y32" s="3203" t="s">
        <v>2568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10">
        <f t="shared" si="8"/>
        <v>111</v>
      </c>
      <c r="R33" s="777" t="s">
        <v>17</v>
      </c>
      <c r="S33" s="778">
        <f t="shared" si="10"/>
        <v>100</v>
      </c>
      <c r="T33" s="777" t="s">
        <v>17</v>
      </c>
      <c r="U33" s="778">
        <f t="shared" si="11"/>
        <v>100</v>
      </c>
      <c r="V33" s="777" t="s">
        <v>17</v>
      </c>
      <c r="W33" s="778">
        <f t="shared" si="12"/>
        <v>100</v>
      </c>
      <c r="X33" s="779"/>
      <c r="Y33" s="3203"/>
      <c r="Z33" s="780">
        <f t="shared" si="13"/>
        <v>111</v>
      </c>
      <c r="AA33" s="1811">
        <f t="shared" si="3"/>
        <v>1</v>
      </c>
      <c r="AB33" s="1811">
        <f t="shared" si="4"/>
        <v>1</v>
      </c>
      <c r="AC33" s="1811">
        <f t="shared" si="5"/>
        <v>1</v>
      </c>
    </row>
    <row r="34" spans="1:29" ht="15">
      <c r="A34" s="440" t="s">
        <v>2566</v>
      </c>
      <c r="B34" s="2976" t="s">
        <v>2754</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203"/>
      <c r="Q34" s="1810" t="str">
        <f>B34</f>
        <v>宗地面积</v>
      </c>
      <c r="R34" s="774" t="s">
        <v>17</v>
      </c>
      <c r="S34" s="775">
        <f t="shared" si="10"/>
        <v>104</v>
      </c>
      <c r="T34" s="774" t="s">
        <v>17</v>
      </c>
      <c r="U34" s="775">
        <f t="shared" si="11"/>
        <v>104</v>
      </c>
      <c r="V34" s="774" t="s">
        <v>17</v>
      </c>
      <c r="W34" s="775">
        <f t="shared" si="12"/>
        <v>100</v>
      </c>
      <c r="X34" s="1813"/>
      <c r="Y34" s="3203"/>
      <c r="Z34" s="1814" t="str">
        <f t="shared" si="13"/>
        <v>宗地面积</v>
      </c>
      <c r="AA34" s="1811">
        <f t="shared" si="3"/>
        <v>0.96153846153846156</v>
      </c>
      <c r="AB34" s="1811">
        <f t="shared" si="4"/>
        <v>0.96153846153846156</v>
      </c>
      <c r="AC34" s="1811">
        <f t="shared" si="5"/>
        <v>1</v>
      </c>
    </row>
    <row r="35" spans="1:29" ht="15">
      <c r="A35" s="472"/>
      <c r="B35" s="422" t="s">
        <v>2755</v>
      </c>
      <c r="C35" s="2613" t="s">
        <v>3312</v>
      </c>
      <c r="D35" s="435">
        <v>100</v>
      </c>
      <c r="E35" s="2613" t="s">
        <v>3312</v>
      </c>
      <c r="F35" s="435">
        <f>SUMIF(110:110,E35,111:111)-SUMIF(110:110,C35,111:111)+100</f>
        <v>100</v>
      </c>
      <c r="G35" s="2613" t="s">
        <v>3312</v>
      </c>
      <c r="H35" s="435">
        <f>SUMIF(110:110,G35,111:111)-SUMIF(110:110,C35,111:111)+100</f>
        <v>100</v>
      </c>
      <c r="I35" s="2613" t="s">
        <v>3312</v>
      </c>
      <c r="J35" s="435">
        <f>SUMIF(110:110,I35,111:111)-SUMIF(110:110,C35,111:111)+100</f>
        <v>100</v>
      </c>
      <c r="K35" s="612">
        <v>1</v>
      </c>
      <c r="L35" s="1140"/>
      <c r="M35" s="1131"/>
      <c r="N35" s="1131"/>
      <c r="O35" s="1139"/>
      <c r="P35" s="3203"/>
      <c r="Q35" s="1810" t="str">
        <f t="shared" ref="Q35:Q40" si="14">B35</f>
        <v>宗地形状</v>
      </c>
      <c r="R35" s="774" t="s">
        <v>17</v>
      </c>
      <c r="S35" s="775">
        <f t="shared" si="10"/>
        <v>100</v>
      </c>
      <c r="T35" s="774" t="s">
        <v>17</v>
      </c>
      <c r="U35" s="775">
        <f t="shared" si="11"/>
        <v>100</v>
      </c>
      <c r="V35" s="774" t="s">
        <v>17</v>
      </c>
      <c r="W35" s="775">
        <f t="shared" si="12"/>
        <v>100</v>
      </c>
      <c r="X35" s="1813"/>
      <c r="Y35" s="3203"/>
      <c r="Z35" s="1814" t="str">
        <f t="shared" si="13"/>
        <v>宗地形状</v>
      </c>
      <c r="AA35" s="1811">
        <f t="shared" si="3"/>
        <v>1</v>
      </c>
      <c r="AB35" s="1811">
        <f t="shared" si="4"/>
        <v>1</v>
      </c>
      <c r="AC35" s="1811">
        <f t="shared" si="5"/>
        <v>1</v>
      </c>
    </row>
    <row r="36" spans="1:29" s="117" customFormat="1" ht="15">
      <c r="A36" s="473"/>
      <c r="B36" s="422" t="s">
        <v>2757</v>
      </c>
      <c r="C36" s="2985" t="s">
        <v>3088</v>
      </c>
      <c r="D36" s="136">
        <v>100</v>
      </c>
      <c r="E36" s="2702" t="s">
        <v>3105</v>
      </c>
      <c r="F36" s="435">
        <f>SUMIF(112:112,E36,113:113)-SUMIF(112:112,C36,113:113)+100</f>
        <v>99</v>
      </c>
      <c r="G36" s="2702" t="s">
        <v>3298</v>
      </c>
      <c r="H36" s="435">
        <f>SUMIF(112:112,G36,113:113)-SUMIF(112:112,C36,113:113)+100</f>
        <v>97</v>
      </c>
      <c r="I36" s="2702" t="s">
        <v>3298</v>
      </c>
      <c r="J36" s="435">
        <f>SUMIF(112:112,I36,113:113)-SUMIF(112:112,C36,113:113)+100</f>
        <v>97</v>
      </c>
      <c r="K36" s="612">
        <v>1</v>
      </c>
      <c r="L36" s="1132"/>
      <c r="M36" s="1133"/>
      <c r="N36" s="1133"/>
      <c r="O36" s="1134"/>
      <c r="P36" s="3203"/>
      <c r="Q36" s="1810" t="str">
        <f t="shared" si="14"/>
        <v>宗地开发程度</v>
      </c>
      <c r="R36" s="770" t="s">
        <v>17</v>
      </c>
      <c r="S36" s="771">
        <f t="shared" si="10"/>
        <v>99</v>
      </c>
      <c r="T36" s="770" t="s">
        <v>17</v>
      </c>
      <c r="U36" s="771">
        <f t="shared" si="11"/>
        <v>97</v>
      </c>
      <c r="V36" s="770" t="s">
        <v>17</v>
      </c>
      <c r="W36" s="771">
        <f t="shared" si="12"/>
        <v>97</v>
      </c>
      <c r="X36" s="772"/>
      <c r="Y36" s="3203"/>
      <c r="Z36" s="55" t="str">
        <f t="shared" si="13"/>
        <v>宗地开发程度</v>
      </c>
      <c r="AA36" s="773">
        <f t="shared" si="3"/>
        <v>1.0101010101010102</v>
      </c>
      <c r="AB36" s="773">
        <f t="shared" si="4"/>
        <v>1.0309278350515463</v>
      </c>
      <c r="AC36" s="773">
        <f t="shared" si="5"/>
        <v>1.0309278350515463</v>
      </c>
    </row>
    <row r="37" spans="1:29" ht="15">
      <c r="A37" s="472"/>
      <c r="B37" s="422" t="s">
        <v>2758</v>
      </c>
      <c r="C37" s="2613" t="s">
        <v>3087</v>
      </c>
      <c r="D37" s="435">
        <v>100</v>
      </c>
      <c r="E37" s="2613" t="s">
        <v>3087</v>
      </c>
      <c r="F37" s="435">
        <f>SUMIF(114:114,E37,115:115)-SUMIF(114:114,C37,115:115)+100</f>
        <v>100</v>
      </c>
      <c r="G37" s="2613" t="s">
        <v>3087</v>
      </c>
      <c r="H37" s="435">
        <f>SUMIF(114:114,G37,115:115)-SUMIF(114:114,C37,115:115)+100</f>
        <v>100</v>
      </c>
      <c r="I37" s="2613" t="s">
        <v>3087</v>
      </c>
      <c r="J37" s="435">
        <f>SUMIF(114:114,I37,115:115)-SUMIF(114:114,C37,115:115)+100</f>
        <v>100</v>
      </c>
      <c r="K37" s="612">
        <v>1</v>
      </c>
      <c r="L37" s="1140"/>
      <c r="M37" s="1131"/>
      <c r="N37" s="1131"/>
      <c r="O37" s="1139"/>
      <c r="P37" s="3203" t="s">
        <v>2568</v>
      </c>
      <c r="Q37" s="1810" t="str">
        <f t="shared" si="14"/>
        <v>工程地质条件</v>
      </c>
      <c r="R37" s="774" t="s">
        <v>17</v>
      </c>
      <c r="S37" s="775">
        <f t="shared" si="10"/>
        <v>100</v>
      </c>
      <c r="T37" s="774" t="s">
        <v>17</v>
      </c>
      <c r="U37" s="775">
        <f t="shared" si="11"/>
        <v>100</v>
      </c>
      <c r="V37" s="774" t="s">
        <v>17</v>
      </c>
      <c r="W37" s="775">
        <f t="shared" si="12"/>
        <v>100</v>
      </c>
      <c r="X37" s="1813"/>
      <c r="Y37" s="3203"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10">
        <f t="shared" si="14"/>
        <v>111</v>
      </c>
      <c r="R38" s="774" t="s">
        <v>17</v>
      </c>
      <c r="S38" s="775">
        <f t="shared" si="10"/>
        <v>100</v>
      </c>
      <c r="T38" s="774" t="s">
        <v>17</v>
      </c>
      <c r="U38" s="775">
        <f t="shared" si="11"/>
        <v>100</v>
      </c>
      <c r="V38" s="774" t="s">
        <v>17</v>
      </c>
      <c r="W38" s="775">
        <f t="shared" si="12"/>
        <v>100</v>
      </c>
      <c r="X38" s="1813"/>
      <c r="Y38" s="320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10">
        <f t="shared" si="14"/>
        <v>111</v>
      </c>
      <c r="R39" s="774" t="s">
        <v>17</v>
      </c>
      <c r="S39" s="775">
        <f t="shared" si="10"/>
        <v>100</v>
      </c>
      <c r="T39" s="774" t="s">
        <v>17</v>
      </c>
      <c r="U39" s="775">
        <f t="shared" si="11"/>
        <v>100</v>
      </c>
      <c r="V39" s="774" t="s">
        <v>17</v>
      </c>
      <c r="W39" s="775">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10">
        <f t="shared" si="14"/>
        <v>111</v>
      </c>
      <c r="R40" s="777" t="s">
        <v>17</v>
      </c>
      <c r="S40" s="778">
        <f t="shared" si="10"/>
        <v>100</v>
      </c>
      <c r="T40" s="777" t="s">
        <v>17</v>
      </c>
      <c r="U40" s="778">
        <f t="shared" si="11"/>
        <v>100</v>
      </c>
      <c r="V40" s="777" t="s">
        <v>17</v>
      </c>
      <c r="W40" s="778">
        <f t="shared" si="12"/>
        <v>100</v>
      </c>
      <c r="X40" s="779"/>
      <c r="Y40" s="3203"/>
      <c r="Z40" s="780">
        <f t="shared" si="13"/>
        <v>111</v>
      </c>
      <c r="AA40" s="1811">
        <f t="shared" si="3"/>
        <v>1</v>
      </c>
      <c r="AB40" s="1811">
        <f t="shared" si="4"/>
        <v>1</v>
      </c>
      <c r="AC40" s="1811">
        <f t="shared" si="5"/>
        <v>1</v>
      </c>
    </row>
    <row r="41" spans="1:29" ht="15">
      <c r="A41" s="479" t="s">
        <v>2723</v>
      </c>
      <c r="B41" s="2704" t="s">
        <v>3319</v>
      </c>
      <c r="C41" s="682" t="s">
        <v>1</v>
      </c>
      <c r="D41" s="481"/>
      <c r="E41" s="482">
        <v>1875</v>
      </c>
      <c r="F41" s="483"/>
      <c r="G41" s="484">
        <v>1500</v>
      </c>
      <c r="H41" s="485"/>
      <c r="I41" s="482">
        <v>1500</v>
      </c>
      <c r="J41" s="485"/>
      <c r="K41" s="783"/>
      <c r="L41" s="1143"/>
      <c r="M41" s="1131"/>
      <c r="N41" s="1131"/>
      <c r="O41" s="1144"/>
      <c r="P41" s="3182" t="str">
        <f>A41</f>
        <v>成交单价</v>
      </c>
      <c r="Q41" s="3182"/>
      <c r="R41" s="3200">
        <f>E41</f>
        <v>1875</v>
      </c>
      <c r="S41" s="3200"/>
      <c r="T41" s="3200">
        <f>G41</f>
        <v>1500</v>
      </c>
      <c r="U41" s="3200"/>
      <c r="V41" s="3200">
        <f>I41</f>
        <v>1500</v>
      </c>
      <c r="W41" s="3200"/>
      <c r="X41" s="759"/>
      <c r="Y41" s="781"/>
      <c r="Z41" s="759"/>
      <c r="AA41" s="759"/>
      <c r="AB41" s="759"/>
      <c r="AC41" s="759"/>
    </row>
    <row r="42" spans="1:29" ht="15.75" thickBot="1">
      <c r="A42" s="486" t="s">
        <v>2672</v>
      </c>
      <c r="B42" s="683"/>
      <c r="C42" s="490">
        <f>R43</f>
        <v>1670</v>
      </c>
      <c r="D42" s="489"/>
      <c r="E42" s="490">
        <f>R42</f>
        <v>1842</v>
      </c>
      <c r="F42" s="491"/>
      <c r="G42" s="488">
        <f>T42</f>
        <v>1536</v>
      </c>
      <c r="H42" s="489"/>
      <c r="I42" s="490">
        <f>V42</f>
        <v>1632</v>
      </c>
      <c r="J42" s="489"/>
      <c r="K42" s="784"/>
      <c r="L42" s="1143"/>
      <c r="M42" s="1131"/>
      <c r="N42" s="1131"/>
      <c r="O42" s="1144"/>
      <c r="P42" s="3182" t="str">
        <f>A42</f>
        <v>比较价值（元/平方米）</v>
      </c>
      <c r="Q42" s="3182"/>
      <c r="R42" s="3222">
        <f>ROUND(PRODUCT(R41,AA7:AA40),0)</f>
        <v>1842</v>
      </c>
      <c r="S42" s="3222"/>
      <c r="T42" s="3222">
        <f>ROUND(PRODUCT(T41,AB7:AB40),0)</f>
        <v>1536</v>
      </c>
      <c r="U42" s="3222"/>
      <c r="V42" s="3222">
        <f>ROUND(PRODUCT(V41,AC7:AC40),0)</f>
        <v>1632</v>
      </c>
      <c r="W42" s="3222"/>
      <c r="X42" s="759"/>
      <c r="Y42" s="759"/>
      <c r="Z42" s="759"/>
      <c r="AA42" s="759"/>
      <c r="AB42" s="759"/>
      <c r="AC42" s="759"/>
    </row>
    <row r="43" spans="1:29" ht="15.75" thickBot="1">
      <c r="A43" s="492" t="s">
        <v>2673</v>
      </c>
      <c r="B43" s="493"/>
      <c r="C43" s="494">
        <f>R43</f>
        <v>1670</v>
      </c>
      <c r="D43" s="494"/>
      <c r="E43" s="494"/>
      <c r="F43" s="494"/>
      <c r="G43" s="494"/>
      <c r="H43" s="494"/>
      <c r="I43" s="494"/>
      <c r="J43" s="494"/>
      <c r="K43" s="785"/>
      <c r="L43" s="1143"/>
      <c r="M43" s="1131"/>
      <c r="N43" s="1131"/>
      <c r="O43" s="1144"/>
      <c r="P43" s="3219" t="str">
        <f>A43</f>
        <v>估价对象XX用房的比较价值（楼面单价，元/平方米）</v>
      </c>
      <c r="Q43" s="3220"/>
      <c r="R43" s="3221">
        <f>ROUND(AVERAGE(R42:V42),0)</f>
        <v>1670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f>IF(E41&lt;E42,E42/E41-1,E41/E42-1)</f>
        <v>1.791530944625408E-2</v>
      </c>
      <c r="F46" s="500" t="str">
        <f>IF(OR(E46&gt;=0.3,E46&lt;=-0.3),"超过30%","")</f>
        <v/>
      </c>
      <c r="G46" s="499">
        <f>IF(G41&lt;G42,G42/G41-1,G41/G42-1)</f>
        <v>2.4000000000000021E-2</v>
      </c>
      <c r="H46" s="500" t="str">
        <f>IF(OR(G46&gt;=0.3,G46&lt;=-0.3),"超过30%","")</f>
        <v/>
      </c>
      <c r="I46" s="499">
        <f>IF(I41&lt;I42,I42/I41-1,I41/I42-1)</f>
        <v>8.8000000000000078E-2</v>
      </c>
      <c r="J46" s="500" t="str">
        <f>IF(OR(I46&gt;=0.3,I46&lt;=-0.3),"超过30%","")</f>
        <v/>
      </c>
      <c r="K46" s="1105"/>
      <c r="L46" s="1106"/>
      <c r="M46" s="1131"/>
      <c r="N46" s="1131"/>
      <c r="O46" s="1144"/>
    </row>
    <row r="47" spans="1:29" ht="13.5" customHeight="1">
      <c r="A47" s="1144"/>
      <c r="B47" s="1144"/>
      <c r="C47" s="497" t="s">
        <v>2675</v>
      </c>
      <c r="D47" s="501"/>
      <c r="E47" s="499">
        <f>IF(E42&lt;G42,G42/E42-1,E42/G42-1)</f>
        <v>0.19921875</v>
      </c>
      <c r="F47" s="500" t="str">
        <f>IF(OR(E47&gt;=0.2,E47&lt;=-0.2),"超过20%","")</f>
        <v/>
      </c>
      <c r="G47" s="499">
        <f>IF(G42&lt;I42,I42/G42-1,G42/I42-1)</f>
        <v>6.25E-2</v>
      </c>
      <c r="H47" s="500" t="str">
        <f>IF(OR(G47&gt;=0.2,G47&lt;=-0.2),"超过20%","")</f>
        <v/>
      </c>
      <c r="I47" s="499">
        <f>IF(I42&lt;E42,E42/I42-1,I42/E42-1)</f>
        <v>0.12867647058823528</v>
      </c>
      <c r="J47" s="500" t="str">
        <f>IF(OR(I47&gt;=0.2,I47&lt;=-0.2),"超过20%","")</f>
        <v/>
      </c>
      <c r="K47" s="1105"/>
      <c r="L47" s="1106"/>
      <c r="M47" s="1144"/>
      <c r="N47" s="1144"/>
      <c r="O47" s="1144"/>
    </row>
    <row r="48" spans="1:29" s="502" customFormat="1" ht="13.5" customHeight="1">
      <c r="A48" s="1145"/>
      <c r="B48" s="1145"/>
      <c r="C48" s="497" t="s">
        <v>2676</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5" t="s">
        <v>3320</v>
      </c>
      <c r="D50" s="2706" t="s">
        <v>2764</v>
      </c>
      <c r="E50" s="686" t="s">
        <v>2765</v>
      </c>
      <c r="F50" s="687" t="s">
        <v>2766</v>
      </c>
      <c r="G50" s="3179" t="s">
        <v>2767</v>
      </c>
      <c r="H50" s="3180"/>
      <c r="I50" s="1814" t="s">
        <v>2803</v>
      </c>
      <c r="J50" s="1814">
        <f>项目基本情况!F35</f>
        <v>0</v>
      </c>
      <c r="K50" s="2708" t="s">
        <v>2769</v>
      </c>
      <c r="L50" s="1106"/>
      <c r="M50" s="1144"/>
      <c r="N50" s="1144"/>
      <c r="O50" s="1144"/>
    </row>
    <row r="51" spans="1:17" s="692" customFormat="1">
      <c r="A51" s="688" t="s">
        <v>2770</v>
      </c>
      <c r="B51" s="689">
        <f>C43</f>
        <v>1670</v>
      </c>
      <c r="C51" s="690">
        <v>1</v>
      </c>
      <c r="D51" s="1163">
        <v>1</v>
      </c>
      <c r="E51" s="690">
        <f>'数据-汇总表'!E8+'数据-汇总表'!E9</f>
        <v>16443.89</v>
      </c>
      <c r="F51" s="691">
        <f t="shared" ref="F51:F60" si="15">ROUND(B51*E51/10000,0)</f>
        <v>2746</v>
      </c>
      <c r="G51" s="3181"/>
      <c r="H51" s="3182"/>
      <c r="I51" s="942">
        <v>1</v>
      </c>
      <c r="J51" s="942">
        <v>1</v>
      </c>
      <c r="K51" s="1145"/>
      <c r="L51" s="941"/>
      <c r="M51" s="941"/>
      <c r="N51" s="941"/>
      <c r="O51" s="941"/>
    </row>
    <row r="52" spans="1:17" s="692" customFormat="1">
      <c r="A52" s="693" t="s">
        <v>2771</v>
      </c>
      <c r="B52" s="262">
        <f>ROUND($C$43*C52*D52,0)</f>
        <v>292</v>
      </c>
      <c r="C52" s="200">
        <f t="shared" ref="C52:C60" si="16">IF($C$50="北京市系数",I52,J52)</f>
        <v>0.7</v>
      </c>
      <c r="D52" s="1164">
        <v>0.25</v>
      </c>
      <c r="E52" s="694"/>
      <c r="F52" s="691">
        <f t="shared" si="15"/>
        <v>0</v>
      </c>
      <c r="G52" s="3183" t="s">
        <v>2772</v>
      </c>
      <c r="H52" s="1104" t="str">
        <f>项目基本情况!B37</f>
        <v>五级</v>
      </c>
      <c r="I52" s="942">
        <f>SUMIF(修正!A45:A56,H52,修正!B45:B56)</f>
        <v>0.7</v>
      </c>
      <c r="J52" s="943"/>
      <c r="K52" s="1144"/>
      <c r="L52" s="941"/>
      <c r="M52" s="941"/>
      <c r="N52" s="941"/>
      <c r="O52" s="941"/>
    </row>
    <row r="53" spans="1:17" s="692" customFormat="1">
      <c r="A53" s="693" t="s">
        <v>2773</v>
      </c>
      <c r="B53" s="262">
        <f t="shared" ref="B53:B60" si="17">ROUND($C$43*C53*D53,0)</f>
        <v>167</v>
      </c>
      <c r="C53" s="200">
        <f t="shared" si="16"/>
        <v>0.4</v>
      </c>
      <c r="D53" s="1164">
        <v>0.25</v>
      </c>
      <c r="E53" s="694"/>
      <c r="F53" s="691">
        <f t="shared" si="15"/>
        <v>0</v>
      </c>
      <c r="G53" s="3183"/>
      <c r="H53" s="1104" t="str">
        <f>项目基本情况!B37</f>
        <v>五级</v>
      </c>
      <c r="I53" s="942">
        <f>SUMIF(修正!A45:A56,H53,修正!C45:C56)</f>
        <v>0.4</v>
      </c>
      <c r="J53" s="943"/>
      <c r="K53" s="1145"/>
      <c r="L53" s="941"/>
      <c r="M53" s="941"/>
      <c r="N53" s="941"/>
      <c r="O53" s="941"/>
    </row>
    <row r="54" spans="1:17" s="692" customFormat="1">
      <c r="A54" s="693" t="s">
        <v>2774</v>
      </c>
      <c r="B54" s="262">
        <f t="shared" si="17"/>
        <v>117</v>
      </c>
      <c r="C54" s="200">
        <f t="shared" si="16"/>
        <v>0.28000000000000003</v>
      </c>
      <c r="D54" s="1164">
        <v>0.25</v>
      </c>
      <c r="E54" s="694"/>
      <c r="F54" s="691">
        <f t="shared" si="15"/>
        <v>0</v>
      </c>
      <c r="G54" s="3183"/>
      <c r="H54" s="1104" t="str">
        <f>项目基本情况!B37</f>
        <v>五级</v>
      </c>
      <c r="I54" s="942">
        <f>SUMIF(修正!A45:A56,H54,修正!D45:D56)</f>
        <v>0.28000000000000003</v>
      </c>
      <c r="J54" s="943"/>
      <c r="K54" s="1144"/>
      <c r="L54" s="941"/>
      <c r="M54" s="941"/>
      <c r="N54" s="941"/>
      <c r="O54" s="941"/>
    </row>
    <row r="55" spans="1:17" s="692" customFormat="1">
      <c r="A55" s="693" t="s">
        <v>2775</v>
      </c>
      <c r="B55" s="262">
        <f t="shared" si="17"/>
        <v>104</v>
      </c>
      <c r="C55" s="200">
        <f t="shared" si="16"/>
        <v>0.25</v>
      </c>
      <c r="D55" s="1164">
        <v>0.25</v>
      </c>
      <c r="E55" s="694"/>
      <c r="F55" s="691">
        <f t="shared" si="15"/>
        <v>0</v>
      </c>
      <c r="G55" s="3183"/>
      <c r="H55" s="1104" t="str">
        <f>项目基本情况!B37</f>
        <v>五级</v>
      </c>
      <c r="I55" s="942">
        <f>SUMIF(修正!A45:A56,H55,修正!E45:E56)</f>
        <v>0.25</v>
      </c>
      <c r="J55" s="943"/>
      <c r="K55" s="1145"/>
      <c r="L55" s="941"/>
      <c r="M55" s="941"/>
      <c r="N55" s="941"/>
      <c r="O55" s="941"/>
    </row>
    <row r="56" spans="1:17" s="692" customFormat="1">
      <c r="A56" s="693" t="s">
        <v>2776</v>
      </c>
      <c r="B56" s="262">
        <f t="shared" si="17"/>
        <v>104</v>
      </c>
      <c r="C56" s="200">
        <f t="shared" si="16"/>
        <v>0.25</v>
      </c>
      <c r="D56" s="1164">
        <v>0.25</v>
      </c>
      <c r="E56" s="261">
        <f>'数据-汇总表'!E11</f>
        <v>0</v>
      </c>
      <c r="F56" s="691">
        <f t="shared" si="15"/>
        <v>0</v>
      </c>
      <c r="G56" s="2709" t="s">
        <v>2777</v>
      </c>
      <c r="H56" s="1104" t="str">
        <f>项目基本情况!C37</f>
        <v>五级</v>
      </c>
      <c r="I56" s="942">
        <f>SUMIF(修正!A45:A56,H56,修正!F45:F56)</f>
        <v>0.25</v>
      </c>
      <c r="J56" s="943"/>
      <c r="K56" s="1144"/>
      <c r="L56" s="941"/>
      <c r="M56" s="941"/>
      <c r="N56" s="941"/>
      <c r="O56" s="941"/>
    </row>
    <row r="57" spans="1:17" s="692" customFormat="1">
      <c r="A57" s="693" t="s">
        <v>2778</v>
      </c>
      <c r="B57" s="262">
        <f t="shared" si="17"/>
        <v>104</v>
      </c>
      <c r="C57" s="200">
        <f t="shared" si="16"/>
        <v>0.25</v>
      </c>
      <c r="D57" s="1164">
        <v>0.25</v>
      </c>
      <c r="E57" s="261">
        <f>'数据-汇总表'!E12</f>
        <v>6269.49</v>
      </c>
      <c r="F57" s="691">
        <f t="shared" si="15"/>
        <v>65</v>
      </c>
      <c r="G57" s="1109" t="s">
        <v>2779</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2780</v>
      </c>
      <c r="B58" s="262">
        <f t="shared" si="17"/>
        <v>84</v>
      </c>
      <c r="C58" s="200">
        <f t="shared" si="16"/>
        <v>0.2</v>
      </c>
      <c r="D58" s="1164">
        <v>0.25</v>
      </c>
      <c r="E58" s="261">
        <f>'数据-汇总表'!E13</f>
        <v>8588.09</v>
      </c>
      <c r="F58" s="691">
        <f t="shared" si="15"/>
        <v>72</v>
      </c>
      <c r="G58" s="1109" t="s">
        <v>2781</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2782</v>
      </c>
      <c r="B59" s="262">
        <f t="shared" si="17"/>
        <v>84</v>
      </c>
      <c r="C59" s="200">
        <f t="shared" si="16"/>
        <v>0.2</v>
      </c>
      <c r="D59" s="1164">
        <v>0.25</v>
      </c>
      <c r="E59" s="261">
        <f>'数据-汇总表'!E14</f>
        <v>0</v>
      </c>
      <c r="F59" s="691">
        <f t="shared" si="15"/>
        <v>0</v>
      </c>
      <c r="G59" s="2709" t="s">
        <v>2772</v>
      </c>
      <c r="H59" s="1104" t="str">
        <f>项目基本情况!B37</f>
        <v>五级</v>
      </c>
      <c r="I59" s="942">
        <f>SUMIF(修正!A45:A56,H59,修正!H45:H56)</f>
        <v>0.2</v>
      </c>
      <c r="J59" s="943"/>
      <c r="K59" s="1145"/>
      <c r="L59" s="941"/>
      <c r="M59" s="941"/>
      <c r="N59" s="941"/>
      <c r="O59" s="941"/>
    </row>
    <row r="60" spans="1:17" s="692" customFormat="1" ht="15" thickBot="1">
      <c r="A60" s="693" t="s">
        <v>2783</v>
      </c>
      <c r="B60" s="262">
        <f t="shared" si="17"/>
        <v>84</v>
      </c>
      <c r="C60" s="200">
        <f t="shared" si="16"/>
        <v>0.2</v>
      </c>
      <c r="D60" s="1164">
        <v>0.25</v>
      </c>
      <c r="E60" s="261">
        <f>'数据-汇总表'!E15</f>
        <v>0</v>
      </c>
      <c r="F60" s="691">
        <f t="shared" si="15"/>
        <v>0</v>
      </c>
      <c r="G60" s="2710" t="s">
        <v>2777</v>
      </c>
      <c r="H60" s="1114" t="str">
        <f>项目基本情况!C37</f>
        <v>五级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31301.469999999998</v>
      </c>
      <c r="F61" s="697">
        <f>IF(B41="楼面地价",SUM(F51:F60),ROUND(C43*E61/10000,0))</f>
        <v>2883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1" t="s">
        <v>2785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6" t="s">
        <v>2804</v>
      </c>
      <c r="B66" s="332" t="str">
        <f>"北京市平均增长率"&amp;TEXT(基准地价修正!P24,"0.00%")</f>
        <v>北京市平均增长率1.35%</v>
      </c>
      <c r="C66" s="603">
        <v>100</v>
      </c>
      <c r="D66" s="595">
        <v>98</v>
      </c>
      <c r="E66" s="595">
        <v>96</v>
      </c>
      <c r="F66" s="2964">
        <v>97</v>
      </c>
      <c r="G66" s="595">
        <v>96</v>
      </c>
      <c r="H66" s="595">
        <v>95</v>
      </c>
      <c r="I66" s="2964">
        <v>94</v>
      </c>
      <c r="J66" s="595">
        <v>93</v>
      </c>
      <c r="K66" s="595">
        <v>92</v>
      </c>
      <c r="L66" s="2964">
        <v>91</v>
      </c>
      <c r="M66" s="595">
        <v>90</v>
      </c>
      <c r="N66" s="595">
        <v>89</v>
      </c>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2956" t="s">
        <v>3289</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2694</v>
      </c>
      <c r="C97" s="2957" t="s">
        <v>3305</v>
      </c>
      <c r="D97" s="2957" t="s">
        <v>3306</v>
      </c>
      <c r="E97" s="2957" t="s">
        <v>3307</v>
      </c>
      <c r="F97" s="2957" t="s">
        <v>3308</v>
      </c>
      <c r="G97" s="2957" t="s">
        <v>3309</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2566</v>
      </c>
      <c r="B107" s="528" t="s">
        <v>2794</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2795</v>
      </c>
      <c r="C110" s="2958" t="s">
        <v>3292</v>
      </c>
      <c r="D110" s="2958" t="s">
        <v>3313</v>
      </c>
      <c r="E110" s="2958" t="s">
        <v>3303</v>
      </c>
      <c r="F110" s="2958" t="s">
        <v>3314</v>
      </c>
      <c r="G110" s="2958" t="s">
        <v>3293</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2797</v>
      </c>
      <c r="C112" s="2957" t="s">
        <v>3294</v>
      </c>
      <c r="D112" s="2957" t="s">
        <v>3295</v>
      </c>
      <c r="E112" s="2957" t="s">
        <v>3296</v>
      </c>
      <c r="F112" s="2957" t="s">
        <v>3297</v>
      </c>
      <c r="G112" s="2957" t="s">
        <v>3299</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2798</v>
      </c>
      <c r="C114" s="2957" t="s">
        <v>3301</v>
      </c>
      <c r="D114" s="2957" t="s">
        <v>3302</v>
      </c>
      <c r="E114" s="2958" t="s">
        <v>3303</v>
      </c>
      <c r="F114" s="2958" t="s">
        <v>3304</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20119</v>
      </c>
      <c r="C2" s="320" t="s">
        <v>2466</v>
      </c>
      <c r="D2" s="320"/>
      <c r="E2" s="320"/>
      <c r="F2" s="320"/>
      <c r="G2" s="320"/>
      <c r="H2" s="320"/>
      <c r="I2" s="320"/>
      <c r="J2" s="320"/>
      <c r="K2" s="320"/>
    </row>
    <row r="3" spans="1:33" ht="18" customHeight="1" thickBot="1">
      <c r="A3" s="247" t="s">
        <v>2335</v>
      </c>
      <c r="B3" s="248">
        <f ca="1">ROUND(B2*10000/IF(C1="",'数据-汇总表'!E3,INDIRECT("'数据-取费表'!K"&amp;$K$1)),0)</f>
        <v>6177</v>
      </c>
      <c r="C3" s="320" t="s">
        <v>2467</v>
      </c>
      <c r="D3" s="320"/>
      <c r="E3" s="320"/>
      <c r="F3" s="320"/>
      <c r="G3" s="320"/>
      <c r="H3" s="320"/>
      <c r="I3" s="320"/>
      <c r="J3" s="320"/>
      <c r="K3" s="320"/>
    </row>
    <row r="4" spans="1:33" s="956" customFormat="1" ht="16.5" customHeight="1">
      <c r="A4" s="953" t="s">
        <v>2468</v>
      </c>
      <c r="B4" s="954"/>
      <c r="C4" s="996">
        <f ca="1">SUM(C8:K8)</f>
        <v>30816</v>
      </c>
      <c r="D4" s="954"/>
      <c r="E4" s="954"/>
      <c r="F4" s="954"/>
      <c r="G4" s="954"/>
      <c r="H4" s="954"/>
      <c r="I4" s="954"/>
      <c r="J4" s="954"/>
      <c r="K4" s="955"/>
    </row>
    <row r="5" spans="1:33" s="960" customFormat="1" ht="15">
      <c r="A5" s="957" t="s">
        <v>2469</v>
      </c>
      <c r="B5" s="958" t="s">
        <v>2470</v>
      </c>
      <c r="C5" s="2555" t="s">
        <v>3076</v>
      </c>
      <c r="D5" s="2555" t="s">
        <v>3079</v>
      </c>
      <c r="E5" s="2555" t="s">
        <v>48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 ca="1">'收益法（办公）'!B3</f>
        <v>15602</v>
      </c>
      <c r="D6" s="962">
        <f ca="1">'收益法（仓储）'!B3</f>
        <v>3944</v>
      </c>
      <c r="E6" s="962">
        <f ca="1">'收益法 (车库)'!B3</f>
        <v>3130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16443.89</v>
      </c>
      <c r="D7" s="321">
        <f>SUMIF('数据-汇总表'!$C19:$C33,假设开发法!D5,'数据-汇总表'!$E19:$E33)</f>
        <v>6269.49</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2474</v>
      </c>
      <c r="B8" s="177" t="s">
        <v>2475</v>
      </c>
      <c r="C8" s="997">
        <f ca="1">'收益法（办公）'!B2</f>
        <v>25655</v>
      </c>
      <c r="D8" s="997">
        <f ca="1">'收益法 (车库)'!B2</f>
        <v>2688</v>
      </c>
      <c r="E8" s="997">
        <f ca="1">'收益法（仓储）'!B2</f>
        <v>2473</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4481</v>
      </c>
      <c r="D11" s="973"/>
      <c r="E11" s="375"/>
      <c r="F11" s="974">
        <f ca="1">1-IF('数据-取费表'!B24=0,1,IF(C1="",'数据-取费表'!N16,INDIRECT("'数据-取费表'!n"&amp;$K$1)))</f>
        <v>0.5</v>
      </c>
      <c r="G11" s="8"/>
      <c r="H11" s="968"/>
      <c r="I11" s="968"/>
      <c r="J11" s="968"/>
      <c r="K11" s="969"/>
    </row>
    <row r="12" spans="1:33" s="975" customFormat="1" ht="13.5" customHeight="1">
      <c r="A12" s="971" t="s">
        <v>1335</v>
      </c>
      <c r="B12" s="972" t="s">
        <v>2484</v>
      </c>
      <c r="C12" s="24">
        <f ca="1">ROUND(C11*F12,0)</f>
        <v>134</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326</v>
      </c>
      <c r="D14" s="1033">
        <f ca="1">IF(C1="",'数据-汇总表'!E3,INDIRECT("'数据-取费表'!K"&amp;$K$1)+INDIRECT("'数据-取费表'!S"&amp;$K$1))</f>
        <v>32573.120000000003</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67</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5008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98</v>
      </c>
      <c r="D17" s="1033">
        <f ca="1">D14</f>
        <v>32573.120000000003</v>
      </c>
      <c r="E17" s="24">
        <f>'数据-取费表'!B32</f>
        <v>30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979" t="s">
        <v>3135</v>
      </c>
      <c r="H18" s="1577">
        <v>651</v>
      </c>
      <c r="I18" s="2557"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651</v>
      </c>
      <c r="D20" s="1033">
        <f ca="1">IF(C1="",'数据-汇总表'!E6,IF(INDIRECT("'数据-取费表'!c"&amp;$K$1)="住宅",INDIRECT("'数据-取费表'!s"&amp;$K$1),INDIRECT("'数据-取费表'!k"&amp;$K$1)+INDIRECT("'数据-取费表'!s"&amp;$K$1)))</f>
        <v>32573.120000000003</v>
      </c>
      <c r="E20" s="24">
        <f>'数据-取费表'!B28</f>
        <v>200</v>
      </c>
      <c r="F20" s="976"/>
      <c r="G20" s="15"/>
      <c r="H20" s="981"/>
      <c r="I20" s="981"/>
      <c r="J20" s="981"/>
      <c r="K20" s="982"/>
    </row>
    <row r="21" spans="1:33" s="975" customFormat="1" ht="13.5" customHeight="1">
      <c r="A21" s="961" t="s">
        <v>802</v>
      </c>
      <c r="B21" s="985" t="s">
        <v>2499</v>
      </c>
      <c r="C21" s="986">
        <f ca="1">C16+C17+C18</f>
        <v>5106</v>
      </c>
      <c r="D21" s="987"/>
      <c r="E21" s="325"/>
      <c r="F21" s="325"/>
      <c r="G21" s="140" t="s">
        <v>2500</v>
      </c>
      <c r="H21" s="979"/>
      <c r="I21" s="979"/>
      <c r="J21" s="979"/>
      <c r="K21" s="980"/>
    </row>
    <row r="22" spans="1:33" s="975" customFormat="1" ht="13.5" customHeight="1">
      <c r="A22" s="961" t="s">
        <v>2472</v>
      </c>
      <c r="B22" s="985" t="s">
        <v>2501</v>
      </c>
      <c r="C22" s="986">
        <f ca="1">ROUND(C21*F22,0)</f>
        <v>102</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308</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103</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3.8899999999999997E-2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103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2512</v>
      </c>
      <c r="B28" s="2559" t="s">
        <v>2513</v>
      </c>
      <c r="C28" s="331">
        <f ca="1">C30</f>
        <v>827</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2514</v>
      </c>
      <c r="C29" s="328">
        <f ca="1">ROUND((1+C24)*F28*'数据-取费表'!B24/'数据-取费表'!B20,4)</f>
        <v>6.1699999999999998E-2</v>
      </c>
      <c r="D29" s="328"/>
      <c r="E29" s="329"/>
      <c r="F29" s="334"/>
      <c r="G29" s="140" t="s">
        <v>2515</v>
      </c>
      <c r="H29" s="979"/>
      <c r="I29" s="979"/>
      <c r="J29" s="979"/>
      <c r="K29" s="980"/>
    </row>
    <row r="30" spans="1:33" s="335" customFormat="1" ht="13.5" customHeight="1">
      <c r="A30" s="971" t="s">
        <v>804</v>
      </c>
      <c r="B30" s="994" t="s">
        <v>2516</v>
      </c>
      <c r="C30" s="336">
        <f ca="1">ROUND((C21+C22+C23)*F28,0)</f>
        <v>827</v>
      </c>
      <c r="D30" s="328"/>
      <c r="E30" s="329"/>
      <c r="F30" s="334"/>
      <c r="G30" s="140"/>
      <c r="H30" s="979"/>
      <c r="I30" s="979"/>
      <c r="J30" s="979"/>
      <c r="K30" s="980"/>
    </row>
    <row r="31" spans="1:33" s="975" customFormat="1" ht="13.5" customHeight="1" thickBot="1">
      <c r="A31" s="2560" t="s">
        <v>2517</v>
      </c>
      <c r="B31" s="1005" t="s">
        <v>2518</v>
      </c>
      <c r="C31" s="1006">
        <f ca="1">ROUND(C4*F31/(1+'数据-取费表'!C42),0)</f>
        <v>1644</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20119</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50" sqref="C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2689</v>
      </c>
      <c r="C1" s="1620" t="s">
        <v>2533</v>
      </c>
      <c r="D1" s="1621" t="s">
        <v>3076</v>
      </c>
      <c r="E1" s="1630"/>
      <c r="F1" s="2584" t="s">
        <v>3129</v>
      </c>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5</v>
      </c>
      <c r="C2" s="2586" t="s">
        <v>70</v>
      </c>
      <c r="D2" s="1365" t="e">
        <f ca="1">SUMIF(INDIRECT("'"&amp;F2&amp;"'"&amp;"!A:A"),"承租人权益价值",INDIRECT("'"&amp;F2&amp;"'"&amp;"!c:c"))</f>
        <v>#REF!</v>
      </c>
      <c r="E2" s="2587" t="s">
        <v>2334</v>
      </c>
      <c r="F2" s="2588" t="s">
        <v>3119</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3.1</v>
      </c>
      <c r="C3" s="400" t="s">
        <v>2647</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36" t="s">
        <v>2654</v>
      </c>
      <c r="Q4" s="3237"/>
      <c r="R4" s="3240" t="s">
        <v>2650</v>
      </c>
      <c r="S4" s="3241"/>
      <c r="T4" s="3240" t="s">
        <v>2651</v>
      </c>
      <c r="U4" s="3241"/>
      <c r="V4" s="3242" t="s">
        <v>2652</v>
      </c>
      <c r="W4" s="3242"/>
      <c r="X4" s="2670"/>
      <c r="Y4" s="3240" t="s">
        <v>2654</v>
      </c>
      <c r="Z4" s="3241"/>
      <c r="AA4" s="3248" t="s">
        <v>2650</v>
      </c>
      <c r="AB4" s="3248" t="s">
        <v>2651</v>
      </c>
      <c r="AC4" s="3233" t="s">
        <v>2652</v>
      </c>
    </row>
    <row r="5" spans="1:29" ht="15">
      <c r="A5" s="404"/>
      <c r="B5" s="405"/>
      <c r="C5" s="3194" t="s">
        <v>3082</v>
      </c>
      <c r="D5" s="3191"/>
      <c r="E5" s="3216" t="s">
        <v>3083</v>
      </c>
      <c r="F5" s="3217"/>
      <c r="G5" s="3194" t="s">
        <v>3134</v>
      </c>
      <c r="H5" s="3191"/>
      <c r="I5" s="3194" t="s">
        <v>3083</v>
      </c>
      <c r="J5" s="3191"/>
      <c r="K5" s="610"/>
      <c r="L5" s="1130"/>
      <c r="M5" s="1131"/>
      <c r="N5" s="1131"/>
      <c r="O5" s="1131"/>
      <c r="P5" s="3238"/>
      <c r="Q5" s="3213"/>
      <c r="R5" s="3188"/>
      <c r="S5" s="3189"/>
      <c r="T5" s="3188"/>
      <c r="U5" s="3189"/>
      <c r="V5" s="3200"/>
      <c r="W5" s="3200"/>
      <c r="X5" s="1813"/>
      <c r="Y5" s="3188"/>
      <c r="Z5" s="3189"/>
      <c r="AA5" s="3205"/>
      <c r="AB5" s="3205"/>
      <c r="AC5" s="3234"/>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39"/>
      <c r="Q6" s="3215"/>
      <c r="R6" s="3188"/>
      <c r="S6" s="3189"/>
      <c r="T6" s="3198"/>
      <c r="U6" s="3199"/>
      <c r="V6" s="3200"/>
      <c r="W6" s="3200"/>
      <c r="X6" s="1813"/>
      <c r="Y6" s="3198"/>
      <c r="Z6" s="3199"/>
      <c r="AA6" s="3206"/>
      <c r="AB6" s="3206"/>
      <c r="AC6" s="3235"/>
    </row>
    <row r="7" spans="1:29" s="117" customFormat="1" ht="15.75" thickBot="1">
      <c r="A7" s="408" t="s">
        <v>2551</v>
      </c>
      <c r="B7" s="409"/>
      <c r="C7" s="410">
        <f>'数据-取费表'!B2</f>
        <v>43276</v>
      </c>
      <c r="D7" s="411">
        <v>100</v>
      </c>
      <c r="E7" s="412">
        <f>C7</f>
        <v>43276</v>
      </c>
      <c r="F7" s="413">
        <f>SUMIF(59:59,YEAR(E7)&amp;"-"&amp;MONTH(E7),60:60)</f>
        <v>100</v>
      </c>
      <c r="G7" s="412">
        <f>C7</f>
        <v>43276</v>
      </c>
      <c r="H7" s="411">
        <f>SUMIF(59:59,YEAR(G7)&amp;"-"&amp;MONTH(G7),60:60)</f>
        <v>100</v>
      </c>
      <c r="I7" s="412">
        <f>C7</f>
        <v>43276</v>
      </c>
      <c r="J7" s="411">
        <f>SUMIF(59:59,YEAR(I7)&amp;"-"&amp;MONTH(I7),60:60)</f>
        <v>100</v>
      </c>
      <c r="K7" s="611"/>
      <c r="L7" s="1132"/>
      <c r="M7" s="1133"/>
      <c r="N7" s="1133"/>
      <c r="O7" s="1133"/>
      <c r="P7" s="3245" t="s">
        <v>2552</v>
      </c>
      <c r="Q7" s="3195"/>
      <c r="R7" s="770" t="s">
        <v>17</v>
      </c>
      <c r="S7" s="771">
        <f t="shared" ref="S7:S15" si="0">F7</f>
        <v>100</v>
      </c>
      <c r="T7" s="770" t="s">
        <v>17</v>
      </c>
      <c r="U7" s="771">
        <f t="shared" ref="U7:U15" si="1">H7</f>
        <v>100</v>
      </c>
      <c r="V7" s="770" t="s">
        <v>17</v>
      </c>
      <c r="W7" s="771">
        <f t="shared" ref="W7:W15" si="2">J7</f>
        <v>100</v>
      </c>
      <c r="X7" s="772"/>
      <c r="Y7" s="3184" t="s">
        <v>2552</v>
      </c>
      <c r="Z7" s="3185"/>
      <c r="AA7" s="773">
        <f>D7/F7</f>
        <v>1</v>
      </c>
      <c r="AB7" s="773">
        <f>D7/H7</f>
        <v>1</v>
      </c>
      <c r="AC7" s="2671">
        <f>D7/J7</f>
        <v>1</v>
      </c>
    </row>
    <row r="8" spans="1:29" s="117" customFormat="1" ht="15.75" thickBot="1">
      <c r="A8" s="408" t="s">
        <v>2553</v>
      </c>
      <c r="B8" s="409"/>
      <c r="C8" s="414" t="s">
        <v>2655</v>
      </c>
      <c r="D8" s="411">
        <v>100</v>
      </c>
      <c r="E8" s="414" t="s">
        <v>3059</v>
      </c>
      <c r="F8" s="413">
        <f>SUMIF(62:62,E8,63:63)-SUMIF(62:62,C8,63:63)+100</f>
        <v>100</v>
      </c>
      <c r="G8" s="414" t="s">
        <v>3059</v>
      </c>
      <c r="H8" s="411">
        <f>SUMIF(62:62,G8,63:63)-SUMIF(62:62,C8,63:63)+100</f>
        <v>100</v>
      </c>
      <c r="I8" s="414" t="s">
        <v>3059</v>
      </c>
      <c r="J8" s="411">
        <f>SUMIF(62:62,I8,63:63)-SUMIF(62:62,C8,63:63)+100</f>
        <v>100</v>
      </c>
      <c r="K8" s="611"/>
      <c r="L8" s="1132"/>
      <c r="M8" s="1133"/>
      <c r="N8" s="1133"/>
      <c r="O8" s="1133"/>
      <c r="P8" s="3245" t="s">
        <v>2555</v>
      </c>
      <c r="Q8" s="3185"/>
      <c r="R8" s="770" t="s">
        <v>17</v>
      </c>
      <c r="S8" s="771">
        <f t="shared" si="0"/>
        <v>100</v>
      </c>
      <c r="T8" s="770" t="s">
        <v>17</v>
      </c>
      <c r="U8" s="771">
        <f t="shared" si="1"/>
        <v>100</v>
      </c>
      <c r="V8" s="770" t="s">
        <v>17</v>
      </c>
      <c r="W8" s="771">
        <f t="shared" si="2"/>
        <v>100</v>
      </c>
      <c r="X8" s="772"/>
      <c r="Y8" s="3184" t="s">
        <v>2555</v>
      </c>
      <c r="Z8" s="3185"/>
      <c r="AA8" s="773">
        <f t="shared" ref="AA8:AA47" si="3">D8/F8</f>
        <v>1</v>
      </c>
      <c r="AB8" s="773">
        <f t="shared" ref="AB8:AB47" si="4">D8/H8</f>
        <v>1</v>
      </c>
      <c r="AC8" s="2671">
        <f t="shared" ref="AC8:AC47" si="5">D8/J8</f>
        <v>1</v>
      </c>
    </row>
    <row r="9" spans="1:29" s="117" customFormat="1">
      <c r="A9" s="415" t="s">
        <v>2556</v>
      </c>
      <c r="B9" s="2987" t="s">
        <v>2557</v>
      </c>
      <c r="C9" s="2955" t="s">
        <v>3331</v>
      </c>
      <c r="D9" s="135">
        <v>100</v>
      </c>
      <c r="E9" s="419" t="s">
        <v>27</v>
      </c>
      <c r="F9" s="135">
        <f>SUMIF(64:64,E9,65:65)-SUMIF(64:64,C9,65:65)+100</f>
        <v>105</v>
      </c>
      <c r="G9" s="417" t="s">
        <v>27</v>
      </c>
      <c r="H9" s="135">
        <f>SUMIF(64:64,G9,65:65)-SUMIF(64:64,C9,65:65)+100</f>
        <v>105</v>
      </c>
      <c r="I9" s="417" t="s">
        <v>27</v>
      </c>
      <c r="J9" s="135">
        <f>SUMIF(64:64,I9,65:65)-SUMIF(64:64,C9,65:65)+100</f>
        <v>105</v>
      </c>
      <c r="K9" s="611"/>
      <c r="L9" s="1132"/>
      <c r="M9" s="1133"/>
      <c r="N9" s="1133"/>
      <c r="O9" s="1133"/>
      <c r="P9" s="3181" t="s">
        <v>2558</v>
      </c>
      <c r="Q9" s="1795" t="str">
        <f t="shared" ref="Q9:Q15" si="6">B9</f>
        <v>用途</v>
      </c>
      <c r="R9" s="770" t="s">
        <v>17</v>
      </c>
      <c r="S9" s="771">
        <f t="shared" si="0"/>
        <v>105</v>
      </c>
      <c r="T9" s="770" t="s">
        <v>17</v>
      </c>
      <c r="U9" s="771">
        <f t="shared" si="1"/>
        <v>105</v>
      </c>
      <c r="V9" s="770" t="s">
        <v>17</v>
      </c>
      <c r="W9" s="771">
        <f t="shared" si="2"/>
        <v>105</v>
      </c>
      <c r="X9" s="772"/>
      <c r="Y9" s="3034" t="s">
        <v>2559</v>
      </c>
      <c r="Z9" s="55" t="str">
        <f t="shared" ref="Z9:Z15" si="7">Q9</f>
        <v>用途</v>
      </c>
      <c r="AA9" s="773">
        <f t="shared" si="3"/>
        <v>0.95238095238095233</v>
      </c>
      <c r="AB9" s="773">
        <f t="shared" si="4"/>
        <v>0.95238095238095233</v>
      </c>
      <c r="AC9" s="2671">
        <f t="shared" si="5"/>
        <v>0.95238095238095233</v>
      </c>
    </row>
    <row r="10" spans="1:29" s="427" customFormat="1" ht="27">
      <c r="A10" s="421"/>
      <c r="B10" s="422" t="s">
        <v>2560</v>
      </c>
      <c r="C10" s="423" t="s">
        <v>3085</v>
      </c>
      <c r="D10" s="136">
        <v>100</v>
      </c>
      <c r="E10" s="423" t="s">
        <v>3085</v>
      </c>
      <c r="F10" s="136">
        <f>SUMIF(66:66,E10,67:67)-SUMIF(66:66,C10,67:67)+100</f>
        <v>100</v>
      </c>
      <c r="G10" s="424" t="s">
        <v>3085</v>
      </c>
      <c r="H10" s="136">
        <f>SUMIF(66:66,G10,67:67)-SUMIF(66:66,C10,67:67)+100</f>
        <v>100</v>
      </c>
      <c r="I10" s="423" t="s">
        <v>3085</v>
      </c>
      <c r="J10" s="136">
        <f>SUMIF(66:66,I10,67:67)-SUMIF(66:66,C10,67:67)+100</f>
        <v>100</v>
      </c>
      <c r="K10" s="612">
        <v>2</v>
      </c>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1">
        <f t="shared" si="5"/>
        <v>1</v>
      </c>
    </row>
    <row r="11" spans="1:29" ht="15">
      <c r="A11" s="428"/>
      <c r="B11" s="422" t="s">
        <v>2561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81"/>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27" t="s">
        <v>2563</v>
      </c>
      <c r="Q15" s="1810" t="str">
        <f t="shared" si="6"/>
        <v>办公集聚程度</v>
      </c>
      <c r="R15" s="774" t="s">
        <v>17</v>
      </c>
      <c r="S15" s="775">
        <f t="shared" si="0"/>
        <v>100</v>
      </c>
      <c r="T15" s="774" t="s">
        <v>17</v>
      </c>
      <c r="U15" s="775">
        <f t="shared" si="1"/>
        <v>100</v>
      </c>
      <c r="V15" s="774" t="s">
        <v>17</v>
      </c>
      <c r="W15" s="775">
        <f t="shared" si="2"/>
        <v>100</v>
      </c>
      <c r="X15" s="1813"/>
      <c r="Y15" s="3201" t="s">
        <v>2563</v>
      </c>
      <c r="Z15" s="1814" t="str">
        <f t="shared" si="7"/>
        <v>办公集聚程度</v>
      </c>
      <c r="AA15" s="1811">
        <f t="shared" si="3"/>
        <v>1</v>
      </c>
      <c r="AB15" s="1811">
        <f t="shared" si="4"/>
        <v>1</v>
      </c>
      <c r="AC15" s="2674">
        <f t="shared" si="5"/>
        <v>1</v>
      </c>
    </row>
    <row r="16" spans="1:29" ht="15">
      <c r="A16" s="428"/>
      <c r="B16" s="630"/>
      <c r="C16" s="2611" t="s">
        <v>3087</v>
      </c>
      <c r="D16" s="448"/>
      <c r="E16" s="447" t="s">
        <v>3087</v>
      </c>
      <c r="F16" s="448"/>
      <c r="G16" s="2611" t="s">
        <v>3087</v>
      </c>
      <c r="H16" s="450"/>
      <c r="I16" s="447" t="s">
        <v>3087</v>
      </c>
      <c r="J16" s="448"/>
      <c r="K16" s="615"/>
      <c r="L16" s="1140"/>
      <c r="M16" s="1131"/>
      <c r="N16" s="1131"/>
      <c r="O16" s="1131"/>
      <c r="P16" s="3228"/>
      <c r="Q16" s="1810"/>
      <c r="R16" s="774"/>
      <c r="S16" s="775"/>
      <c r="T16" s="774"/>
      <c r="U16" s="775"/>
      <c r="V16" s="774"/>
      <c r="W16" s="775"/>
      <c r="X16" s="1813"/>
      <c r="Y16" s="3202"/>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2674">
        <f t="shared" si="5"/>
        <v>1</v>
      </c>
    </row>
    <row r="18" spans="1:29" ht="15">
      <c r="A18" s="428"/>
      <c r="B18" s="632"/>
      <c r="C18" s="2676" t="s">
        <v>3086</v>
      </c>
      <c r="D18" s="450"/>
      <c r="E18" s="2609" t="s">
        <v>3086</v>
      </c>
      <c r="F18" s="450"/>
      <c r="G18" s="2610" t="s">
        <v>3086</v>
      </c>
      <c r="H18" s="448"/>
      <c r="I18" s="2610" t="s">
        <v>3086</v>
      </c>
      <c r="J18" s="448"/>
      <c r="K18" s="615"/>
      <c r="L18" s="1140"/>
      <c r="M18" s="1131"/>
      <c r="N18" s="1131"/>
      <c r="O18" s="1131"/>
      <c r="P18" s="3228"/>
      <c r="Q18" s="1810"/>
      <c r="R18" s="774"/>
      <c r="S18" s="775"/>
      <c r="T18" s="774"/>
      <c r="U18" s="775"/>
      <c r="V18" s="774"/>
      <c r="W18" s="775"/>
      <c r="X18" s="1813"/>
      <c r="Y18" s="3202"/>
      <c r="Z18" s="1814"/>
      <c r="AA18" s="1811">
        <v>1</v>
      </c>
      <c r="AB18" s="1811">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2674">
        <f t="shared" si="5"/>
        <v>1</v>
      </c>
    </row>
    <row r="20" spans="1:29" ht="15">
      <c r="A20" s="428"/>
      <c r="B20" s="632"/>
      <c r="C20" s="2611" t="s">
        <v>3086</v>
      </c>
      <c r="D20" s="448"/>
      <c r="E20" s="2604" t="s">
        <v>3086</v>
      </c>
      <c r="F20" s="448"/>
      <c r="G20" s="2605" t="s">
        <v>3086</v>
      </c>
      <c r="H20" s="448"/>
      <c r="I20" s="2605" t="s">
        <v>3086</v>
      </c>
      <c r="J20" s="448"/>
      <c r="K20" s="615"/>
      <c r="L20" s="1140"/>
      <c r="M20" s="1131"/>
      <c r="N20" s="1131"/>
      <c r="O20" s="1131"/>
      <c r="P20" s="3228"/>
      <c r="Q20" s="1810"/>
      <c r="R20" s="774"/>
      <c r="S20" s="775"/>
      <c r="T20" s="774"/>
      <c r="U20" s="775"/>
      <c r="V20" s="774"/>
      <c r="W20" s="775"/>
      <c r="X20" s="1813"/>
      <c r="Y20" s="3202"/>
      <c r="Z20" s="1814"/>
      <c r="AA20" s="1811">
        <v>1</v>
      </c>
      <c r="AB20" s="1811">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2674">
        <f t="shared" ref="AC21" si="10">D21/J21</f>
        <v>1</v>
      </c>
    </row>
    <row r="22" spans="1:29" ht="15">
      <c r="A22" s="428"/>
      <c r="B22" s="633"/>
      <c r="C22" s="2676" t="s">
        <v>3088</v>
      </c>
      <c r="D22" s="448"/>
      <c r="E22" s="447" t="s">
        <v>3088</v>
      </c>
      <c r="F22" s="448"/>
      <c r="G22" s="2611" t="s">
        <v>3088</v>
      </c>
      <c r="H22" s="448"/>
      <c r="I22" s="2611" t="s">
        <v>3088</v>
      </c>
      <c r="J22" s="448"/>
      <c r="K22" s="1383"/>
      <c r="L22" s="1140"/>
      <c r="M22" s="1131"/>
      <c r="N22" s="1131"/>
      <c r="O22" s="1131"/>
      <c r="P22" s="3228"/>
      <c r="Q22" s="1810"/>
      <c r="R22" s="774"/>
      <c r="S22" s="775"/>
      <c r="T22" s="774"/>
      <c r="U22" s="775"/>
      <c r="V22" s="774"/>
      <c r="W22" s="775"/>
      <c r="X22" s="1813"/>
      <c r="Y22" s="3202"/>
      <c r="Z22" s="1814"/>
      <c r="AA22" s="1811">
        <v>1</v>
      </c>
      <c r="AB22" s="1811">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28"/>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2674">
        <f t="shared" si="5"/>
        <v>1</v>
      </c>
    </row>
    <row r="24" spans="1:29" ht="15">
      <c r="A24" s="428"/>
      <c r="B24" s="633"/>
      <c r="C24" s="2611" t="s">
        <v>3086</v>
      </c>
      <c r="D24" s="448"/>
      <c r="E24" s="2604" t="s">
        <v>3086</v>
      </c>
      <c r="F24" s="448"/>
      <c r="G24" s="2605" t="s">
        <v>3086</v>
      </c>
      <c r="H24" s="448"/>
      <c r="I24" s="2605" t="s">
        <v>3086</v>
      </c>
      <c r="J24" s="448"/>
      <c r="K24" s="615"/>
      <c r="L24" s="1140"/>
      <c r="M24" s="1131"/>
      <c r="N24" s="1131"/>
      <c r="O24" s="1131"/>
      <c r="P24" s="3228"/>
      <c r="Q24" s="1810"/>
      <c r="R24" s="774"/>
      <c r="S24" s="775"/>
      <c r="T24" s="774"/>
      <c r="U24" s="775"/>
      <c r="V24" s="774"/>
      <c r="W24" s="775"/>
      <c r="X24" s="1813"/>
      <c r="Y24" s="3202"/>
      <c r="Z24" s="1814"/>
      <c r="AA24" s="1811">
        <v>1</v>
      </c>
      <c r="AB24" s="1811">
        <v>1</v>
      </c>
      <c r="AC24" s="2674">
        <v>1</v>
      </c>
    </row>
    <row r="25" spans="1:29" ht="28.5">
      <c r="A25" s="404"/>
      <c r="B25" s="631" t="s">
        <v>2694</v>
      </c>
      <c r="C25" s="2959" t="s">
        <v>3117</v>
      </c>
      <c r="D25" s="435">
        <v>100</v>
      </c>
      <c r="E25" s="2960" t="str">
        <f>C25</f>
        <v>城市支路-丰润东路</v>
      </c>
      <c r="F25" s="435">
        <f>SUMIF(87:87,E26,88:88)-SUMIF(87:87,C26,88:88)+100</f>
        <v>100</v>
      </c>
      <c r="G25" s="2615" t="s">
        <v>3118</v>
      </c>
      <c r="H25" s="435">
        <f>SUMIF(87:87,G26,88:88)-SUMIF(87:87,C26,88:88)+100</f>
        <v>100</v>
      </c>
      <c r="I25" s="434" t="str">
        <f>C25</f>
        <v>城市支路-丰润东路</v>
      </c>
      <c r="J25" s="435">
        <f>SUMIF(87:87,I26,88:88)-SUMIF(87:87,C26,88:88)+100</f>
        <v>100</v>
      </c>
      <c r="K25" s="614">
        <v>2</v>
      </c>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202"/>
      <c r="Z25" s="1814" t="str">
        <f>Q25</f>
        <v>毗邻道路的类型与等级</v>
      </c>
      <c r="AA25" s="1811">
        <f t="shared" si="3"/>
        <v>1</v>
      </c>
      <c r="AB25" s="1811">
        <f t="shared" si="4"/>
        <v>1</v>
      </c>
      <c r="AC25" s="2674">
        <f t="shared" si="5"/>
        <v>1</v>
      </c>
    </row>
    <row r="26" spans="1:29" ht="15">
      <c r="A26" s="404"/>
      <c r="B26" s="632"/>
      <c r="C26" s="634" t="s">
        <v>3123</v>
      </c>
      <c r="D26" s="435"/>
      <c r="E26" s="616" t="s">
        <v>3123</v>
      </c>
      <c r="F26" s="435"/>
      <c r="G26" s="634" t="s">
        <v>3123</v>
      </c>
      <c r="H26" s="435"/>
      <c r="I26" s="616" t="s">
        <v>3123</v>
      </c>
      <c r="J26" s="435"/>
      <c r="K26" s="615"/>
      <c r="L26" s="1140"/>
      <c r="M26" s="1131"/>
      <c r="N26" s="1131"/>
      <c r="O26" s="1131"/>
      <c r="P26" s="3228"/>
      <c r="Q26" s="1810"/>
      <c r="R26" s="774"/>
      <c r="S26" s="775"/>
      <c r="T26" s="774"/>
      <c r="U26" s="775"/>
      <c r="V26" s="774"/>
      <c r="W26" s="775"/>
      <c r="X26" s="1813"/>
      <c r="Y26" s="3202"/>
      <c r="Z26" s="1814"/>
      <c r="AA26" s="1811">
        <v>1</v>
      </c>
      <c r="AB26" s="1811">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202"/>
      <c r="Z27" s="1814" t="str">
        <f>Q27</f>
        <v>楼层</v>
      </c>
      <c r="AA27" s="1811">
        <f t="shared" si="3"/>
        <v>1</v>
      </c>
      <c r="AB27" s="1811">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8"/>
      <c r="Q28" s="1795" t="str">
        <f t="shared" si="11"/>
        <v>朝向</v>
      </c>
      <c r="R28" s="770" t="s">
        <v>17</v>
      </c>
      <c r="S28" s="771">
        <f>F28</f>
        <v>100</v>
      </c>
      <c r="T28" s="770" t="s">
        <v>17</v>
      </c>
      <c r="U28" s="771">
        <f>H28</f>
        <v>100</v>
      </c>
      <c r="V28" s="770" t="s">
        <v>17</v>
      </c>
      <c r="W28" s="771">
        <f>J28</f>
        <v>100</v>
      </c>
      <c r="X28" s="772"/>
      <c r="Y28" s="320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8"/>
      <c r="Q29" s="1810">
        <f t="shared" si="11"/>
        <v>111</v>
      </c>
      <c r="R29" s="774" t="s">
        <v>17</v>
      </c>
      <c r="S29" s="775">
        <f t="shared" ref="S29:S47" si="12">F29</f>
        <v>100</v>
      </c>
      <c r="T29" s="774" t="s">
        <v>17</v>
      </c>
      <c r="U29" s="775">
        <f t="shared" ref="U29:U47" si="13">H29</f>
        <v>100</v>
      </c>
      <c r="V29" s="774" t="s">
        <v>17</v>
      </c>
      <c r="W29" s="775">
        <f t="shared" ref="W29:W47" si="14">J29</f>
        <v>100</v>
      </c>
      <c r="X29" s="1813"/>
      <c r="Y29" s="320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8"/>
      <c r="Q32" s="1810">
        <f t="shared" si="11"/>
        <v>111</v>
      </c>
      <c r="R32" s="774" t="s">
        <v>17</v>
      </c>
      <c r="S32" s="775">
        <f t="shared" si="12"/>
        <v>100</v>
      </c>
      <c r="T32" s="774" t="s">
        <v>17</v>
      </c>
      <c r="U32" s="775">
        <f t="shared" si="13"/>
        <v>100</v>
      </c>
      <c r="V32" s="774" t="s">
        <v>17</v>
      </c>
      <c r="W32" s="775">
        <f t="shared" si="14"/>
        <v>100</v>
      </c>
      <c r="X32" s="1813"/>
      <c r="Y32" s="3202"/>
      <c r="Z32" s="1814">
        <f t="shared" si="15"/>
        <v>111</v>
      </c>
      <c r="AA32" s="1811">
        <f t="shared" si="3"/>
        <v>1</v>
      </c>
      <c r="AB32" s="1811">
        <f t="shared" si="4"/>
        <v>1</v>
      </c>
      <c r="AC32" s="2674">
        <f t="shared" si="5"/>
        <v>1</v>
      </c>
    </row>
    <row r="33" spans="1:29" ht="15">
      <c r="A33" s="440" t="s">
        <v>2566</v>
      </c>
      <c r="B33" s="71" t="s">
        <v>2696</v>
      </c>
      <c r="C33" s="2679" t="s">
        <v>3115</v>
      </c>
      <c r="D33" s="467">
        <v>100</v>
      </c>
      <c r="E33" s="2679" t="s">
        <v>3115</v>
      </c>
      <c r="F33" s="461">
        <f>SUMIF(101:101,E33,102:102)-SUMIF(101:101,C33,102:102)+100</f>
        <v>100</v>
      </c>
      <c r="G33" s="2679" t="s">
        <v>3115</v>
      </c>
      <c r="H33" s="435">
        <f>SUMIF(101:101,G33,102:102)-SUMIF(101:101,C33,102:102)+100</f>
        <v>100</v>
      </c>
      <c r="I33" s="2679" t="s">
        <v>3115</v>
      </c>
      <c r="J33" s="467">
        <f>SUMIF(101:101,I33,102:102)-SUMIF(101:101,C33,102:102)+100</f>
        <v>100</v>
      </c>
      <c r="K33" s="612">
        <v>2</v>
      </c>
      <c r="L33" s="1140"/>
      <c r="M33" s="1131"/>
      <c r="N33" s="1131"/>
      <c r="O33" s="1131"/>
      <c r="P33" s="3229" t="s">
        <v>2568</v>
      </c>
      <c r="Q33" s="1810" t="str">
        <f t="shared" si="11"/>
        <v>建筑类型</v>
      </c>
      <c r="R33" s="774" t="s">
        <v>17</v>
      </c>
      <c r="S33" s="775">
        <f t="shared" si="12"/>
        <v>100</v>
      </c>
      <c r="T33" s="774" t="s">
        <v>17</v>
      </c>
      <c r="U33" s="775">
        <f t="shared" si="13"/>
        <v>100</v>
      </c>
      <c r="V33" s="774" t="s">
        <v>17</v>
      </c>
      <c r="W33" s="775">
        <f t="shared" si="14"/>
        <v>100</v>
      </c>
      <c r="X33" s="1813"/>
      <c r="Y33" s="3203" t="s">
        <v>2568</v>
      </c>
      <c r="Z33" s="1814" t="str">
        <f t="shared" si="15"/>
        <v>建筑类型</v>
      </c>
      <c r="AA33" s="1811">
        <f t="shared" si="3"/>
        <v>1</v>
      </c>
      <c r="AB33" s="1811">
        <f t="shared" si="4"/>
        <v>1</v>
      </c>
      <c r="AC33" s="2674">
        <f t="shared" si="5"/>
        <v>1</v>
      </c>
    </row>
    <row r="34" spans="1:29" s="471" customFormat="1" ht="15">
      <c r="A34" s="468"/>
      <c r="B34" s="2974" t="s">
        <v>2569</v>
      </c>
      <c r="C34" s="469">
        <v>16443.89</v>
      </c>
      <c r="D34" s="136">
        <v>100</v>
      </c>
      <c r="E34" s="430">
        <v>265</v>
      </c>
      <c r="F34" s="425">
        <f>LOOKUP(E34,104:104,105:105)-LOOKUP(C34,104:104,105:105)+100</f>
        <v>108</v>
      </c>
      <c r="G34" s="429">
        <v>950</v>
      </c>
      <c r="H34" s="136">
        <f>LOOKUP(G34,104:104,105:105)-LOOKUP(C34,104:104,105:105)+100</f>
        <v>110</v>
      </c>
      <c r="I34" s="429">
        <v>300</v>
      </c>
      <c r="J34" s="136">
        <f>LOOKUP(I34,104:104,105:105)-LOOKUP(C34,104:104,105:105)+100</f>
        <v>108</v>
      </c>
      <c r="K34" s="613"/>
      <c r="L34" s="1138"/>
      <c r="M34" s="1141"/>
      <c r="N34" s="1141"/>
      <c r="O34" s="1141"/>
      <c r="P34" s="3230"/>
      <c r="Q34" s="776" t="str">
        <f t="shared" si="11"/>
        <v>项目建筑规模</v>
      </c>
      <c r="R34" s="777" t="s">
        <v>17</v>
      </c>
      <c r="S34" s="778">
        <f t="shared" si="12"/>
        <v>108</v>
      </c>
      <c r="T34" s="777" t="s">
        <v>17</v>
      </c>
      <c r="U34" s="778">
        <f t="shared" si="13"/>
        <v>110</v>
      </c>
      <c r="V34" s="777" t="s">
        <v>17</v>
      </c>
      <c r="W34" s="778">
        <f t="shared" si="14"/>
        <v>108</v>
      </c>
      <c r="X34" s="779"/>
      <c r="Y34" s="3203"/>
      <c r="Z34" s="780" t="str">
        <f t="shared" si="15"/>
        <v>项目建筑规模</v>
      </c>
      <c r="AA34" s="1811">
        <f t="shared" si="3"/>
        <v>0.92592592592592593</v>
      </c>
      <c r="AB34" s="1811">
        <f t="shared" si="4"/>
        <v>0.90909090909090906</v>
      </c>
      <c r="AC34" s="2674">
        <f t="shared" si="5"/>
        <v>0.92592592592592593</v>
      </c>
    </row>
    <row r="35" spans="1:29" ht="15">
      <c r="A35" s="472"/>
      <c r="B35" s="422" t="s">
        <v>2570</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03"/>
      <c r="Z35" s="1814" t="str">
        <f t="shared" si="15"/>
        <v>建筑结构</v>
      </c>
      <c r="AA35" s="1811">
        <f t="shared" si="3"/>
        <v>1</v>
      </c>
      <c r="AB35" s="1811">
        <f t="shared" si="4"/>
        <v>1</v>
      </c>
      <c r="AC35" s="2674">
        <f t="shared" si="5"/>
        <v>1</v>
      </c>
    </row>
    <row r="36" spans="1:29" ht="15">
      <c r="A36" s="472"/>
      <c r="B36" s="422" t="s">
        <v>2664</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03"/>
      <c r="Z36" s="1814" t="str">
        <f t="shared" si="15"/>
        <v>公共部分装修</v>
      </c>
      <c r="AA36" s="1811">
        <f t="shared" si="3"/>
        <v>1</v>
      </c>
      <c r="AB36" s="1811">
        <f t="shared" si="4"/>
        <v>1</v>
      </c>
      <c r="AC36" s="2674">
        <f t="shared" si="5"/>
        <v>1</v>
      </c>
    </row>
    <row r="37" spans="1:29" ht="15">
      <c r="A37" s="472"/>
      <c r="B37" s="422" t="s">
        <v>2665</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230"/>
      <c r="Q37" s="1810" t="str">
        <f t="shared" si="11"/>
        <v>成新度</v>
      </c>
      <c r="R37" s="774" t="s">
        <v>17</v>
      </c>
      <c r="S37" s="775">
        <f t="shared" si="12"/>
        <v>100</v>
      </c>
      <c r="T37" s="774" t="s">
        <v>17</v>
      </c>
      <c r="U37" s="775">
        <f t="shared" si="13"/>
        <v>100</v>
      </c>
      <c r="V37" s="774" t="s">
        <v>17</v>
      </c>
      <c r="W37" s="775">
        <f t="shared" si="14"/>
        <v>100</v>
      </c>
      <c r="X37" s="1813"/>
      <c r="Y37" s="3203"/>
      <c r="Z37" s="1814" t="str">
        <f t="shared" si="15"/>
        <v>成新度</v>
      </c>
      <c r="AA37" s="1811">
        <f t="shared" si="3"/>
        <v>1</v>
      </c>
      <c r="AB37" s="1811">
        <f t="shared" si="4"/>
        <v>1</v>
      </c>
      <c r="AC37" s="2674">
        <f t="shared" si="5"/>
        <v>1</v>
      </c>
    </row>
    <row r="38" spans="1:29" s="117" customFormat="1" ht="15">
      <c r="A38" s="473"/>
      <c r="B38" s="422" t="s">
        <v>2697</v>
      </c>
      <c r="C38" s="460" t="s">
        <v>3097</v>
      </c>
      <c r="D38" s="136">
        <v>100</v>
      </c>
      <c r="E38" s="460" t="s">
        <v>3097</v>
      </c>
      <c r="F38" s="461">
        <f>SUMIF(113:113,E38,114:114)-SUMIF(113:113,C38,114:114)+100</f>
        <v>100</v>
      </c>
      <c r="G38" s="460" t="s">
        <v>3097</v>
      </c>
      <c r="H38" s="435">
        <f>SUMIF(113:113,G38,114:114)-SUMIF(113:113,C38,114:114)+100</f>
        <v>100</v>
      </c>
      <c r="I38" s="460" t="s">
        <v>3097</v>
      </c>
      <c r="J38" s="435">
        <f>SUMIF(113:113,I38,114:114)-SUMIF(113:113,C38,114:114)+100</f>
        <v>100</v>
      </c>
      <c r="K38" s="612">
        <v>2</v>
      </c>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1">
        <f t="shared" si="5"/>
        <v>1</v>
      </c>
    </row>
    <row r="39" spans="1:29" ht="15">
      <c r="A39" s="472"/>
      <c r="B39" s="422" t="s">
        <v>2698</v>
      </c>
      <c r="C39" s="460" t="s">
        <v>3100</v>
      </c>
      <c r="D39" s="435">
        <v>100</v>
      </c>
      <c r="E39" s="460" t="s">
        <v>3100</v>
      </c>
      <c r="F39" s="461">
        <f>SUMIF(115:115,E39,116:116)-SUMIF(115:115,C39,116:116)+100</f>
        <v>100</v>
      </c>
      <c r="G39" s="460" t="s">
        <v>3100</v>
      </c>
      <c r="H39" s="435">
        <f>SUMIF(115:115,G39,116:116)-SUMIF(115:115,C39,116:116)+100</f>
        <v>100</v>
      </c>
      <c r="I39" s="460" t="s">
        <v>3100</v>
      </c>
      <c r="J39" s="435">
        <f>SUMIF(115:115,I39,116:116)-SUMIF(115:115,C39,116:116)+100</f>
        <v>100</v>
      </c>
      <c r="K39" s="612">
        <v>2</v>
      </c>
      <c r="L39" s="1140"/>
      <c r="M39" s="1131"/>
      <c r="N39" s="1131"/>
      <c r="O39" s="1131"/>
      <c r="P39" s="3230" t="s">
        <v>2568</v>
      </c>
      <c r="Q39" s="1810" t="str">
        <f t="shared" si="11"/>
        <v>物业管理</v>
      </c>
      <c r="R39" s="774" t="s">
        <v>17</v>
      </c>
      <c r="S39" s="775">
        <f t="shared" si="12"/>
        <v>100</v>
      </c>
      <c r="T39" s="774" t="s">
        <v>17</v>
      </c>
      <c r="U39" s="775">
        <f t="shared" si="13"/>
        <v>100</v>
      </c>
      <c r="V39" s="774" t="s">
        <v>17</v>
      </c>
      <c r="W39" s="775">
        <f t="shared" si="14"/>
        <v>100</v>
      </c>
      <c r="X39" s="1813"/>
      <c r="Y39" s="3203" t="s">
        <v>2568</v>
      </c>
      <c r="Z39" s="1814" t="str">
        <f t="shared" si="15"/>
        <v>物业管理</v>
      </c>
      <c r="AA39" s="1811">
        <f t="shared" si="3"/>
        <v>1</v>
      </c>
      <c r="AB39" s="1811">
        <f t="shared" si="4"/>
        <v>1</v>
      </c>
      <c r="AC39" s="2674">
        <f t="shared" si="5"/>
        <v>1</v>
      </c>
    </row>
    <row r="40" spans="1:29" ht="15">
      <c r="A40" s="472"/>
      <c r="B40" s="422" t="s">
        <v>2666</v>
      </c>
      <c r="C40" s="460" t="s">
        <v>3088</v>
      </c>
      <c r="D40" s="435">
        <v>100</v>
      </c>
      <c r="E40" s="460" t="s">
        <v>3088</v>
      </c>
      <c r="F40" s="461">
        <f>SUMIF(117:117,E40,118:118)-SUMIF(117:117,C40,118:118)+100</f>
        <v>100</v>
      </c>
      <c r="G40" s="460" t="s">
        <v>3088</v>
      </c>
      <c r="H40" s="435">
        <f>SUMIF(117:117,G40,118:118)-SUMIF(117:117,C40,118:118)+100</f>
        <v>100</v>
      </c>
      <c r="I40" s="460" t="s">
        <v>3088</v>
      </c>
      <c r="J40" s="435">
        <f>SUMIF(117:117,I40,118:118)-SUMIF(117:117,C40,118:118)+100</f>
        <v>100</v>
      </c>
      <c r="K40" s="612">
        <v>2</v>
      </c>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03"/>
      <c r="Z40" s="1814" t="str">
        <f t="shared" si="15"/>
        <v>市政基础设施</v>
      </c>
      <c r="AA40" s="1811">
        <f t="shared" si="3"/>
        <v>1</v>
      </c>
      <c r="AB40" s="1811">
        <f t="shared" si="4"/>
        <v>1</v>
      </c>
      <c r="AC40" s="2674">
        <f t="shared" si="5"/>
        <v>1</v>
      </c>
    </row>
    <row r="41" spans="1:29" ht="15">
      <c r="A41" s="472"/>
      <c r="B41" s="422" t="s">
        <v>2668</v>
      </c>
      <c r="C41" s="616" t="s">
        <v>3109</v>
      </c>
      <c r="D41" s="435">
        <v>100</v>
      </c>
      <c r="E41" s="616" t="s">
        <v>3109</v>
      </c>
      <c r="F41" s="461">
        <f>SUMIF(119:119,E41,120:120)-SUMIF(119:119,C41,120:120)+100</f>
        <v>100</v>
      </c>
      <c r="G41" s="616" t="s">
        <v>3109</v>
      </c>
      <c r="H41" s="435">
        <f>SUMIF(119:119,G41,120:120)-SUMIF(119:119,C41,120:120)+100</f>
        <v>100</v>
      </c>
      <c r="I41" s="616" t="s">
        <v>3109</v>
      </c>
      <c r="J41" s="435">
        <f>SUMIF(119:119,I41,120:120)-SUMIF(119:119,C41,120:120)+100</f>
        <v>100</v>
      </c>
      <c r="K41" s="612">
        <v>2</v>
      </c>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03"/>
      <c r="Z41" s="1814" t="str">
        <f t="shared" si="15"/>
        <v>层高</v>
      </c>
      <c r="AA41" s="1811">
        <f t="shared" si="3"/>
        <v>1</v>
      </c>
      <c r="AB41" s="1811">
        <f t="shared" si="4"/>
        <v>1</v>
      </c>
      <c r="AC41" s="2674">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1">
        <f t="shared" si="3"/>
        <v>1</v>
      </c>
      <c r="AB42" s="1811">
        <f t="shared" si="4"/>
        <v>1</v>
      </c>
      <c r="AC42" s="2674">
        <f t="shared" si="5"/>
        <v>1</v>
      </c>
    </row>
    <row r="43" spans="1:29" ht="15">
      <c r="A43" s="472"/>
      <c r="B43" s="422" t="s">
        <v>2671</v>
      </c>
      <c r="C43" s="460" t="s">
        <v>3092</v>
      </c>
      <c r="D43" s="435">
        <v>100</v>
      </c>
      <c r="E43" s="460" t="s">
        <v>3092</v>
      </c>
      <c r="F43" s="461">
        <f>SUMIF(123:123,E43,124:124)-SUMIF(123:123,C43,124:124)+100</f>
        <v>100</v>
      </c>
      <c r="G43" s="460" t="s">
        <v>3092</v>
      </c>
      <c r="H43" s="435">
        <f>SUMIF(123:123,G43,124:124)-SUMIF(123:123,C43,124:124)+100</f>
        <v>100</v>
      </c>
      <c r="I43" s="460" t="s">
        <v>3092</v>
      </c>
      <c r="J43" s="435">
        <f>SUMIF(123:123,I43,124:124)-SUMIF(123:123,C43,124:124)+100</f>
        <v>100</v>
      </c>
      <c r="K43" s="612">
        <v>2</v>
      </c>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03"/>
      <c r="Z43" s="1814" t="str">
        <f t="shared" si="15"/>
        <v>内部装修</v>
      </c>
      <c r="AA43" s="1811">
        <f t="shared" si="3"/>
        <v>1</v>
      </c>
      <c r="AB43" s="1811">
        <f t="shared" si="4"/>
        <v>1</v>
      </c>
      <c r="AC43" s="2674">
        <f t="shared" si="5"/>
        <v>1</v>
      </c>
    </row>
    <row r="44" spans="1:29" ht="15">
      <c r="A44" s="472"/>
      <c r="B44" s="422" t="s">
        <v>2579</v>
      </c>
      <c r="C44" s="460" t="s">
        <v>3087</v>
      </c>
      <c r="D44" s="435">
        <v>100</v>
      </c>
      <c r="E44" s="2613" t="s">
        <v>3087</v>
      </c>
      <c r="F44" s="461">
        <f>SUMIF(125:125,E44,126:126)-SUMIF(125:125,C44,126:126)+100</f>
        <v>100</v>
      </c>
      <c r="G44" s="2613" t="s">
        <v>3114</v>
      </c>
      <c r="H44" s="435">
        <f>SUMIF(125:125,G44,126:126)-SUMIF(125:125,C44,126:126)+100</f>
        <v>103</v>
      </c>
      <c r="I44" s="2613" t="s">
        <v>3087</v>
      </c>
      <c r="J44" s="435">
        <f>SUMIF(125:125,I44,126:126)-SUMIF(125:125,C44,126:126)+100</f>
        <v>100</v>
      </c>
      <c r="K44" s="612">
        <v>3</v>
      </c>
      <c r="L44" s="1140"/>
      <c r="M44" s="1131"/>
      <c r="N44" s="1131"/>
      <c r="O44" s="1131"/>
      <c r="P44" s="3230"/>
      <c r="Q44" s="1810" t="str">
        <f t="shared" si="11"/>
        <v>内部装修维护情况</v>
      </c>
      <c r="R44" s="774" t="s">
        <v>17</v>
      </c>
      <c r="S44" s="775">
        <f t="shared" si="12"/>
        <v>100</v>
      </c>
      <c r="T44" s="774" t="s">
        <v>17</v>
      </c>
      <c r="U44" s="775">
        <f t="shared" si="13"/>
        <v>103</v>
      </c>
      <c r="V44" s="774" t="s">
        <v>17</v>
      </c>
      <c r="W44" s="775">
        <f t="shared" si="14"/>
        <v>100</v>
      </c>
      <c r="X44" s="1813"/>
      <c r="Y44" s="3203"/>
      <c r="Z44" s="1814" t="str">
        <f t="shared" si="15"/>
        <v>内部装修维护情况</v>
      </c>
      <c r="AA44" s="1811">
        <f t="shared" si="3"/>
        <v>1</v>
      </c>
      <c r="AB44" s="1811">
        <f t="shared" si="4"/>
        <v>0.970873786407767</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2674">
        <f t="shared" si="5"/>
        <v>1</v>
      </c>
    </row>
    <row r="47" spans="1:29" ht="15.75" thickBot="1">
      <c r="A47" s="478"/>
      <c r="B47" s="2602">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0.97</v>
      </c>
      <c r="R47" s="774" t="s">
        <v>17</v>
      </c>
      <c r="S47" s="775">
        <f t="shared" si="12"/>
        <v>100</v>
      </c>
      <c r="T47" s="774" t="s">
        <v>17</v>
      </c>
      <c r="U47" s="775">
        <f t="shared" si="13"/>
        <v>100</v>
      </c>
      <c r="V47" s="774" t="s">
        <v>17</v>
      </c>
      <c r="W47" s="775">
        <f t="shared" si="14"/>
        <v>100</v>
      </c>
      <c r="X47" s="1813"/>
      <c r="Y47" s="3232"/>
      <c r="Z47" s="1814">
        <f t="shared" si="15"/>
        <v>0.97</v>
      </c>
      <c r="AA47" s="1811">
        <f t="shared" si="3"/>
        <v>1</v>
      </c>
      <c r="AB47" s="1811">
        <f t="shared" si="4"/>
        <v>1</v>
      </c>
      <c r="AC47" s="2674">
        <f t="shared" si="5"/>
        <v>1</v>
      </c>
    </row>
    <row r="48" spans="1:29" ht="15">
      <c r="A48" s="479" t="s">
        <v>2580</v>
      </c>
      <c r="B48" s="480"/>
      <c r="C48" s="1407" t="s">
        <v>1</v>
      </c>
      <c r="D48" s="1408"/>
      <c r="E48" s="1409">
        <f>3.85*B47</f>
        <v>3.7345000000000002</v>
      </c>
      <c r="F48" s="1410"/>
      <c r="G48" s="1411">
        <f>3.5*B47</f>
        <v>3.395</v>
      </c>
      <c r="H48" s="1412"/>
      <c r="I48" s="1409">
        <f>3.6*B47</f>
        <v>3.492</v>
      </c>
      <c r="J48" s="485"/>
      <c r="K48" s="783"/>
      <c r="L48" s="1143"/>
      <c r="M48" s="1131"/>
      <c r="N48" s="1131"/>
      <c r="O48" s="1131"/>
      <c r="P48" s="3181" t="str">
        <f>A48</f>
        <v>成交单价（元/平方米）</v>
      </c>
      <c r="Q48" s="3182"/>
      <c r="R48" s="3223">
        <f>E48</f>
        <v>3.7345000000000002</v>
      </c>
      <c r="S48" s="3223"/>
      <c r="T48" s="3223">
        <f>G48</f>
        <v>3.395</v>
      </c>
      <c r="U48" s="3223"/>
      <c r="V48" s="3223">
        <f>I48</f>
        <v>3.492</v>
      </c>
      <c r="W48" s="3223"/>
      <c r="X48" s="446"/>
      <c r="Y48" s="781"/>
      <c r="Z48" s="446"/>
      <c r="AA48" s="446"/>
      <c r="AB48" s="446"/>
      <c r="AC48" s="630"/>
    </row>
    <row r="49" spans="1:29" ht="15.75" thickBot="1">
      <c r="A49" s="486" t="s">
        <v>2672</v>
      </c>
      <c r="B49" s="487"/>
      <c r="C49" s="1413">
        <f>R50</f>
        <v>3.1</v>
      </c>
      <c r="D49" s="1414"/>
      <c r="E49" s="1415">
        <f>R49</f>
        <v>3.3</v>
      </c>
      <c r="F49" s="1415"/>
      <c r="G49" s="1413">
        <f>T49</f>
        <v>2.9</v>
      </c>
      <c r="H49" s="1414"/>
      <c r="I49" s="1415">
        <f>V49</f>
        <v>3.1</v>
      </c>
      <c r="J49" s="489"/>
      <c r="K49" s="784"/>
      <c r="L49" s="1143"/>
      <c r="M49" s="1131"/>
      <c r="N49" s="1131"/>
      <c r="O49" s="1131"/>
      <c r="P49" s="3181" t="str">
        <f>A49</f>
        <v>比较价值（元/平方米）</v>
      </c>
      <c r="Q49" s="3182"/>
      <c r="R49" s="3223">
        <f>IF(F1="售价",ROUND(PRODUCT(R48,AA7:AA47),0),ROUND(PRODUCT(R48,AA7:AA47),1))</f>
        <v>3.3</v>
      </c>
      <c r="S49" s="3223"/>
      <c r="T49" s="3223">
        <f>IF(F1="售价",ROUND(PRODUCT(T48,AB7:AB47),0),ROUND(PRODUCT(T48,AB7:AB47),1))</f>
        <v>2.9</v>
      </c>
      <c r="U49" s="3223"/>
      <c r="V49" s="3223">
        <f>IF(F1="售价",ROUND(PRODUCT(V48,AC7:AC47),0),ROUND(PRODUCT(V48,AC7:AC47),1))</f>
        <v>3.1</v>
      </c>
      <c r="W49" s="3223"/>
      <c r="X49" s="446"/>
      <c r="Y49" s="446"/>
      <c r="Z49" s="446"/>
      <c r="AA49" s="446"/>
      <c r="AB49" s="446"/>
      <c r="AC49" s="630"/>
    </row>
    <row r="50" spans="1:29" ht="15.75" thickBot="1">
      <c r="A50" s="492" t="s">
        <v>2673</v>
      </c>
      <c r="B50" s="493"/>
      <c r="C50" s="1417">
        <f>R50</f>
        <v>3.1</v>
      </c>
      <c r="D50" s="1417"/>
      <c r="E50" s="1417"/>
      <c r="F50" s="1417"/>
      <c r="G50" s="1417"/>
      <c r="H50" s="1417"/>
      <c r="I50" s="1417"/>
      <c r="J50" s="494"/>
      <c r="K50" s="785"/>
      <c r="L50" s="1143"/>
      <c r="M50" s="1131"/>
      <c r="N50" s="1131"/>
      <c r="O50" s="1131"/>
      <c r="P50" s="3224" t="str">
        <f>A50</f>
        <v>估价对象XX用房的比较价值（楼面单价，元/平方米）</v>
      </c>
      <c r="Q50" s="3225"/>
      <c r="R50" s="3226">
        <f>IF(F1="售价",ROUND(AVERAGE(R49:V49),0),ROUND(AVERAGE(R49:V49),1))</f>
        <v>3.1</v>
      </c>
      <c r="S50" s="3226"/>
      <c r="T50" s="3226"/>
      <c r="U50" s="3226"/>
      <c r="V50" s="3226"/>
      <c r="W50" s="322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f>IF(E48&lt;E49,E49/E48-1,E48/E49-1)</f>
        <v>0.13166666666666682</v>
      </c>
      <c r="F53" s="500" t="str">
        <f>IF(OR(E53&gt;=0.3,E53&lt;=-0.3),"超过30%","")</f>
        <v/>
      </c>
      <c r="G53" s="499">
        <f>IF(G48&lt;G49,G49/G48-1,G48/G49-1)</f>
        <v>0.17068965517241375</v>
      </c>
      <c r="H53" s="500" t="str">
        <f>IF(OR(G53&gt;=0.3,G53&lt;=-0.3),"超过30%","")</f>
        <v/>
      </c>
      <c r="I53" s="499">
        <f>IF(I48&lt;I49,I49/I48-1,I48/I49-1)</f>
        <v>0.12645161290322582</v>
      </c>
      <c r="J53" s="500" t="str">
        <f>IF(OR(I53&gt;=0.3,I53&lt;=-0.3),"超过30%","")</f>
        <v/>
      </c>
      <c r="K53" s="1105"/>
      <c r="L53" s="1106"/>
      <c r="M53" s="1144"/>
      <c r="N53" s="1144"/>
      <c r="O53" s="1144"/>
    </row>
    <row r="54" spans="1:29" ht="13.5" customHeight="1">
      <c r="A54" s="1144"/>
      <c r="B54" s="1144"/>
      <c r="C54" s="497" t="s">
        <v>2675</v>
      </c>
      <c r="D54" s="501"/>
      <c r="E54" s="499">
        <f>IF(E49&lt;G49,G49/E49-1,E49/G49-1)</f>
        <v>0.13793103448275867</v>
      </c>
      <c r="F54" s="500" t="str">
        <f>IF(OR(E54&gt;=0.2,E54&lt;=-0.2),"超过20%","")</f>
        <v/>
      </c>
      <c r="G54" s="499">
        <f>IF(G49&lt;I49,I49/G49-1,G49/I49-1)</f>
        <v>6.8965517241379448E-2</v>
      </c>
      <c r="H54" s="500" t="str">
        <f>IF(OR(G54&gt;=0.2,G54&lt;=-0.2),"超过20%","")</f>
        <v/>
      </c>
      <c r="I54" s="499">
        <f>IF(I49&lt;E49,E49/I49-1,I49/E49-1)</f>
        <v>6.4516129032258007E-2</v>
      </c>
      <c r="J54" s="500" t="str">
        <f>IF(OR(I54&gt;=0.2,I54&lt;=-0.2),"超过20%","")</f>
        <v/>
      </c>
      <c r="K54" s="1105"/>
      <c r="L54" s="1106"/>
      <c r="M54" s="1144"/>
      <c r="N54" s="1144"/>
      <c r="O54" s="1144"/>
    </row>
    <row r="55" spans="1:29" s="502" customFormat="1" ht="13.5" customHeight="1">
      <c r="A55" s="1145"/>
      <c r="B55" s="1145"/>
      <c r="C55" s="497" t="s">
        <v>2676</v>
      </c>
      <c r="D55" s="501"/>
      <c r="E55" s="499">
        <f>IF(E48&lt;G48,G48/E48-1,E48/G48-1)</f>
        <v>0.10000000000000009</v>
      </c>
      <c r="F55" s="500" t="str">
        <f>IF(OR(E55&gt;=0.3,E55&lt;=-0.3),"超过30%","")</f>
        <v/>
      </c>
      <c r="G55" s="499">
        <f>IF(G48&lt;I48,I48/G48-1,G48/I48-1)</f>
        <v>2.857142857142847E-2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1"/>
      <c r="Q58" s="504"/>
    </row>
    <row r="59" spans="1:29" s="508" customFormat="1" ht="15">
      <c r="A59" s="505" t="s">
        <v>2551</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2591</v>
      </c>
      <c r="B64" s="528" t="s">
        <v>2557</v>
      </c>
      <c r="C64" s="529" t="str">
        <f>C9</f>
        <v>工业</v>
      </c>
      <c r="D64" s="2956" t="s">
        <v>3084</v>
      </c>
      <c r="E64" s="530"/>
      <c r="F64" s="530"/>
      <c r="G64" s="530"/>
      <c r="H64" s="530"/>
      <c r="I64" s="530"/>
      <c r="J64" s="530"/>
      <c r="K64" s="531"/>
      <c r="L64" s="532"/>
      <c r="M64" s="533"/>
      <c r="N64" s="1152"/>
      <c r="O64" s="1152"/>
      <c r="P64" s="2684"/>
      <c r="Q64" s="504"/>
    </row>
    <row r="65" spans="1:17" ht="15.75" thickBot="1">
      <c r="A65" s="534"/>
      <c r="B65" s="535"/>
      <c r="C65" s="536">
        <v>100</v>
      </c>
      <c r="D65" s="536">
        <v>105</v>
      </c>
      <c r="E65" s="536"/>
      <c r="F65" s="536"/>
      <c r="G65" s="536"/>
      <c r="H65" s="536"/>
      <c r="I65" s="536"/>
      <c r="J65" s="536"/>
      <c r="K65" s="536"/>
      <c r="L65" s="536"/>
      <c r="M65" s="537"/>
      <c r="N65" s="1153"/>
      <c r="O65" s="1153"/>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2561</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2702</v>
      </c>
      <c r="C87" s="2957" t="s">
        <v>3125</v>
      </c>
      <c r="D87" s="2957" t="s">
        <v>3120</v>
      </c>
      <c r="E87" s="2957" t="s">
        <v>3121</v>
      </c>
      <c r="F87" s="2957" t="s">
        <v>3122</v>
      </c>
      <c r="G87" s="2957" t="s">
        <v>3124</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2566</v>
      </c>
      <c r="B101" s="528" t="s">
        <v>2615</v>
      </c>
      <c r="C101" s="2956" t="s">
        <v>3116</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2616</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10000(含)-15000</v>
      </c>
      <c r="I103" s="578" t="str">
        <f t="shared" si="23"/>
        <v>15000(含)-20000</v>
      </c>
      <c r="J103" s="578" t="str">
        <f t="shared" si="23"/>
        <v>20000(含)-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500</v>
      </c>
      <c r="E104" s="595">
        <v>1000</v>
      </c>
      <c r="F104" s="595">
        <v>2000</v>
      </c>
      <c r="G104" s="595">
        <v>5000</v>
      </c>
      <c r="H104" s="595">
        <v>10000</v>
      </c>
      <c r="I104" s="595">
        <v>15000</v>
      </c>
      <c r="J104" s="596">
        <v>20000</v>
      </c>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v>88</v>
      </c>
      <c r="K105" s="536"/>
      <c r="L105" s="536"/>
      <c r="M105" s="537"/>
      <c r="N105" s="1153"/>
      <c r="O105" s="1153"/>
      <c r="P105" s="2685"/>
      <c r="Q105" s="559"/>
    </row>
    <row r="106" spans="1:17" ht="15" thickTop="1">
      <c r="A106" s="599"/>
      <c r="B106" s="538" t="s">
        <v>2617</v>
      </c>
      <c r="C106" s="2957" t="s">
        <v>3090</v>
      </c>
      <c r="D106" s="2957" t="s">
        <v>3091</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2619</v>
      </c>
      <c r="C108" s="2957" t="s">
        <v>3093</v>
      </c>
      <c r="D108" s="2957" t="s">
        <v>3094</v>
      </c>
      <c r="E108" s="2957" t="s">
        <v>3095</v>
      </c>
      <c r="F108" s="2958" t="s">
        <v>3096</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2703</v>
      </c>
      <c r="C113" s="2957" t="s">
        <v>3098</v>
      </c>
      <c r="D113" s="2957" t="s">
        <v>3099</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2620</v>
      </c>
      <c r="C115" s="2957" t="s">
        <v>3101</v>
      </c>
      <c r="D115" s="2957" t="s">
        <v>3102</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2621</v>
      </c>
      <c r="C117" s="2957" t="s">
        <v>3103</v>
      </c>
      <c r="D117" s="2957" t="s">
        <v>3104</v>
      </c>
      <c r="E117" s="2957" t="s">
        <v>3106</v>
      </c>
      <c r="F117" s="2957" t="s">
        <v>3107</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2704</v>
      </c>
      <c r="C119" s="2958" t="s">
        <v>3108</v>
      </c>
      <c r="D119" s="2958" t="s">
        <v>3110</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2623</v>
      </c>
      <c r="C123" s="2957" t="s">
        <v>3111</v>
      </c>
      <c r="D123" s="2957" t="s">
        <v>3113</v>
      </c>
      <c r="E123" s="2957" t="s">
        <v>3112</v>
      </c>
      <c r="F123" s="2958" t="s">
        <v>3096</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5"/>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0.97</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3076</v>
      </c>
      <c r="D1" s="1820" t="s">
        <v>3130</v>
      </c>
      <c r="E1" s="1821" t="s">
        <v>1387</v>
      </c>
      <c r="F1" s="1283">
        <f ca="1">J53</f>
        <v>44.81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25655</v>
      </c>
      <c r="C2" s="1845" t="s">
        <v>1516</v>
      </c>
      <c r="D2" s="1845"/>
      <c r="E2" s="1846"/>
      <c r="F2" s="1847"/>
      <c r="G2" s="1848"/>
      <c r="H2" s="1840"/>
      <c r="I2" s="1840"/>
      <c r="J2" s="1840"/>
      <c r="K2" s="1841"/>
      <c r="L2" s="1840"/>
      <c r="M2" s="1840"/>
    </row>
    <row r="3" spans="1:37" ht="18" customHeight="1" thickBot="1">
      <c r="A3" s="1849" t="s">
        <v>1517</v>
      </c>
      <c r="B3" s="1850">
        <f ca="1">IF(ISERROR(B2*10000/F43),0,ROUND(B2*10000/F43,0))</f>
        <v>15602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1582</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1582</v>
      </c>
      <c r="D6" s="164" t="s">
        <v>3034</v>
      </c>
      <c r="E6" s="347" t="s">
        <v>1405</v>
      </c>
      <c r="F6" s="348">
        <f ca="1">INDIRECT("'数据-取费表'!u"&amp;$G$1)</f>
        <v>3.1</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16443.89</v>
      </c>
      <c r="G7" s="1851"/>
      <c r="H7" s="349"/>
      <c r="I7" s="3252"/>
      <c r="J7" s="351"/>
      <c r="K7" s="352"/>
      <c r="L7" s="347" t="s">
        <v>1406</v>
      </c>
      <c r="M7" s="348">
        <f ca="1">F7</f>
        <v>16443.89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3329</v>
      </c>
      <c r="G10" s="1851"/>
      <c r="H10" s="1291" t="s">
        <v>1039</v>
      </c>
      <c r="I10" s="1823" t="s">
        <v>1409</v>
      </c>
      <c r="J10" s="346">
        <f ca="1">ROUND(IF(M10="押一",J6/12*M11,IF(M10="押二",J6/12*2*M11,IF(M10="押三",J6/12*3*M11,J11*M11))),0)</f>
        <v>0</v>
      </c>
      <c r="K10" s="1824" t="s">
        <v>3042</v>
      </c>
      <c r="L10" s="358" t="s">
        <v>1410</v>
      </c>
      <c r="M10" s="1366" t="s">
        <v>3131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7829</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5100</v>
      </c>
      <c r="D14" s="1800" t="s">
        <v>1418</v>
      </c>
      <c r="E14" s="1794"/>
      <c r="F14" s="364"/>
      <c r="G14" s="1851"/>
      <c r="H14" s="1201" t="s">
        <v>1035</v>
      </c>
      <c r="I14" s="347" t="s">
        <v>1419</v>
      </c>
      <c r="J14" s="24">
        <f ca="1">C29</f>
        <v>7829</v>
      </c>
      <c r="K14" s="15"/>
      <c r="L14" s="979"/>
      <c r="M14" s="980"/>
    </row>
    <row r="15" spans="1:37" s="1858" customFormat="1" ht="18" customHeight="1" thickBot="1">
      <c r="A15" s="1201" t="s">
        <v>1036</v>
      </c>
      <c r="B15" s="347" t="s">
        <v>1420</v>
      </c>
      <c r="C15" s="24">
        <f ca="1">ROUND(C14*F15,0)</f>
        <v>153</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185</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67.599999999999994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77</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5672</v>
      </c>
      <c r="D19" s="140" t="s">
        <v>1436</v>
      </c>
      <c r="E19" s="1818"/>
      <c r="F19" s="26"/>
      <c r="G19" s="1851"/>
      <c r="H19" s="1201" t="s">
        <v>1036</v>
      </c>
      <c r="I19" s="347" t="s">
        <v>1437</v>
      </c>
      <c r="J19" s="24">
        <f ca="1">IF(K19="按租金收入计税",ROUND(J5*M19,2),ROUND(C29*M19*0.7,2))</f>
        <v>65.760000000000005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113</v>
      </c>
      <c r="D20" s="369" t="s">
        <v>1440</v>
      </c>
      <c r="E20" s="347" t="s">
        <v>1422</v>
      </c>
      <c r="F20" s="367">
        <f>'数据-取费表'!B37</f>
        <v>0.02</v>
      </c>
      <c r="G20" s="1854"/>
      <c r="H20" s="1201" t="s">
        <v>1389</v>
      </c>
      <c r="I20" s="164" t="s">
        <v>1441</v>
      </c>
      <c r="J20" s="25">
        <f ca="1">ROUND(M20*M21/10000,2)</f>
        <v>1.88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6268.3200000000006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117.4</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274</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-185</v>
      </c>
      <c r="K25" s="1345" t="s">
        <v>1464</v>
      </c>
      <c r="L25" s="1346"/>
      <c r="M25" s="1347"/>
    </row>
    <row r="26" spans="1:37">
      <c r="A26" s="1201" t="s">
        <v>1034</v>
      </c>
      <c r="B26" s="347" t="s">
        <v>1465</v>
      </c>
      <c r="C26" s="24">
        <f ca="1">ROUND((C19+C20)*F26,0)</f>
        <v>1157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4.0000000000000001E-3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7829</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433</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276.10000000000002</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84.37</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189.84</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1.88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6268.3200000000006</v>
      </c>
      <c r="G35" s="1851"/>
      <c r="H35" s="745"/>
      <c r="I35" s="1860"/>
      <c r="J35" s="1861"/>
      <c r="K35" s="1862"/>
      <c r="L35" s="1859"/>
      <c r="M35" s="1859"/>
    </row>
    <row r="36" spans="1:18" ht="18" customHeight="1">
      <c r="A36" s="1352" t="s">
        <v>1039</v>
      </c>
      <c r="B36" s="347" t="s">
        <v>1449</v>
      </c>
      <c r="C36" s="24">
        <f ca="1">ROUND(C29*F36,1)</f>
        <v>117.4</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15.7</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23.7</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1149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25589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15561</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-38698</v>
      </c>
      <c r="D46" s="1872" t="str">
        <f>C2</f>
        <v>万元</v>
      </c>
      <c r="E46" s="1866"/>
      <c r="F46" s="1866"/>
      <c r="I46" s="1873" t="s">
        <v>1521</v>
      </c>
      <c r="J46" s="1874"/>
      <c r="K46" s="1875"/>
      <c r="L46" s="1876">
        <f ca="1">IF(M47="住宅",0,IF(L48&gt;J51,L60,J60))</f>
        <v>66</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25589</v>
      </c>
      <c r="R47" s="1886" t="s">
        <v>1529</v>
      </c>
    </row>
    <row r="48" spans="1:18" s="1842" customFormat="1" ht="28.5" thickBot="1">
      <c r="A48" s="1360" t="s">
        <v>1135</v>
      </c>
      <c r="B48" s="345" t="s">
        <v>1401</v>
      </c>
      <c r="C48" s="181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66</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v>2019</v>
      </c>
      <c r="K49" s="1889" t="s">
        <v>1535</v>
      </c>
      <c r="L49" s="1893"/>
      <c r="O49" s="1894" t="s">
        <v>1042</v>
      </c>
      <c r="P49" s="1885" t="s">
        <v>1536</v>
      </c>
      <c r="Q49" s="1886">
        <f ca="1">C29</f>
        <v>7829</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8626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25655</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7829</v>
      </c>
      <c r="D56" s="1914"/>
      <c r="E56" s="1915"/>
      <c r="F56" s="1907"/>
      <c r="I56" s="1916" t="s">
        <v>1554</v>
      </c>
      <c r="J56" s="1917" t="s">
        <v>3133</v>
      </c>
      <c r="K56" s="1887" t="s">
        <v>1555</v>
      </c>
      <c r="L56" s="1890" t="str">
        <f ca="1">IF(L48&lt;J51,"——",L48-J53)</f>
        <v>——</v>
      </c>
      <c r="O56" s="1884" t="s">
        <v>1040</v>
      </c>
      <c r="P56" s="1885" t="s">
        <v>1528</v>
      </c>
      <c r="Q56" s="1886">
        <f ca="1">C40+J29</f>
        <v>25589</v>
      </c>
      <c r="R56" s="1886" t="s">
        <v>1529</v>
      </c>
    </row>
    <row r="57" spans="1:18" s="1842" customFormat="1" ht="24.75" thickBot="1">
      <c r="A57" s="1918"/>
      <c r="B57" s="1169" t="s">
        <v>1478</v>
      </c>
      <c r="C57" s="282">
        <f ca="1">C29</f>
        <v>7829</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793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659.5</v>
      </c>
      <c r="D59" s="1182" t="s">
        <v>1430</v>
      </c>
      <c r="E59" s="1183" t="s">
        <v>1431</v>
      </c>
      <c r="F59" s="368" t="str">
        <f ca="1">IF(项目基本情况!B11="企业","",IF(INDIRECT("'数据-取费表'!c"&amp;$G$1)="住宅",5%,IF(F49*F50*F51/12/(1+'数据-取费表'!C42)&gt;20000,12%,7%)))</f>
        <v/>
      </c>
      <c r="I59" s="1922" t="s">
        <v>1563</v>
      </c>
      <c r="J59" s="1923">
        <f ca="1">IF(OR(M47="住宅",J51&lt;L48,J56="是"),"——",ROUND(C29*J58,0))</f>
        <v>3132</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66</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657.64</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1.88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25589</v>
      </c>
      <c r="R62" s="1886" t="s">
        <v>1047</v>
      </c>
    </row>
    <row r="63" spans="1:18" s="1842" customFormat="1" ht="13.5" thickBot="1">
      <c r="A63" s="372"/>
      <c r="B63" s="1175"/>
      <c r="C63" s="29"/>
      <c r="D63" s="1185"/>
      <c r="E63" s="1169" t="s">
        <v>1499</v>
      </c>
      <c r="F63" s="348">
        <f t="shared" ca="1" si="0"/>
        <v>6268.3200000000006</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117.4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15.7</v>
      </c>
      <c r="D65" s="1183" t="s">
        <v>1454</v>
      </c>
      <c r="E65" s="1169" t="s">
        <v>1455</v>
      </c>
      <c r="F65" s="376">
        <f t="shared" ca="1" si="0"/>
        <v>2E-3</v>
      </c>
      <c r="I65" s="1929" t="s">
        <v>1579</v>
      </c>
      <c r="J65" s="1930">
        <v>40</v>
      </c>
      <c r="K65" s="1930">
        <v>30</v>
      </c>
      <c r="L65" s="1930">
        <v>50</v>
      </c>
      <c r="M65" s="1932">
        <v>0.02</v>
      </c>
      <c r="O65" s="1884" t="s">
        <v>1040</v>
      </c>
      <c r="P65" s="1885" t="s">
        <v>1580</v>
      </c>
      <c r="Q65" s="1886">
        <f ca="1">C40+J29</f>
        <v>25589</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-793</v>
      </c>
      <c r="D67" s="1182" t="s">
        <v>1464</v>
      </c>
      <c r="E67" s="1187"/>
      <c r="F67" s="1188"/>
      <c r="O67" s="1894" t="s">
        <v>1042</v>
      </c>
      <c r="P67" s="1885" t="s">
        <v>1562</v>
      </c>
      <c r="Q67" s="1933">
        <f ca="1">L51</f>
        <v>8626</v>
      </c>
      <c r="R67" s="1886" t="s">
        <v>1582</v>
      </c>
    </row>
    <row r="68" spans="1:18" s="1842" customFormat="1" ht="16.5" thickBot="1">
      <c r="A68" s="1166" t="s">
        <v>1032</v>
      </c>
      <c r="B68" s="1167" t="s">
        <v>1485</v>
      </c>
      <c r="C68" s="346">
        <f ca="1">ROUND(C67*(1-((1+F70)/(1+F68))^F69)/(F68-F70),0)</f>
        <v>-13109</v>
      </c>
      <c r="D68" s="1184" t="s">
        <v>1469</v>
      </c>
      <c r="E68" s="1169" t="s">
        <v>1470</v>
      </c>
      <c r="F68" s="357">
        <f ca="1">F40</f>
        <v>5.5E-2</v>
      </c>
      <c r="O68" s="1894" t="s">
        <v>1043</v>
      </c>
      <c r="P68" s="1934" t="s">
        <v>1583</v>
      </c>
      <c r="Q68" s="1886">
        <f ca="1">ROUND(Q69-Q70*Q71,0)</f>
        <v>484</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1149</v>
      </c>
      <c r="R69" s="1886" t="s">
        <v>1529</v>
      </c>
    </row>
    <row r="70" spans="1:18" s="1842" customFormat="1" ht="13.5" thickBot="1">
      <c r="A70" s="1173"/>
      <c r="B70" s="1174"/>
      <c r="C70" s="355"/>
      <c r="D70" s="1185"/>
      <c r="E70" s="1169" t="s">
        <v>1477</v>
      </c>
      <c r="F70" s="1275"/>
      <c r="O70" s="1894" t="s">
        <v>1049</v>
      </c>
      <c r="P70" s="1934" t="s">
        <v>1585</v>
      </c>
      <c r="Q70" s="1886">
        <f ca="1">C13</f>
        <v>7829</v>
      </c>
      <c r="R70" s="1886" t="s">
        <v>1529</v>
      </c>
    </row>
    <row r="71" spans="1:18" s="1842" customFormat="1" ht="13.5" thickBot="1">
      <c r="A71" s="1190" t="s">
        <v>1033</v>
      </c>
      <c r="B71" s="1191" t="s">
        <v>1487</v>
      </c>
      <c r="C71" s="382">
        <f ca="1">ROUND(C68*10000/F71,0)</f>
        <v>-7972</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665</v>
      </c>
      <c r="D75" s="1842"/>
      <c r="E75" s="1842"/>
      <c r="F75" s="1842"/>
      <c r="K75" s="1868"/>
      <c r="L75" s="1842"/>
      <c r="O75" s="1884" t="s">
        <v>1046</v>
      </c>
      <c r="P75" s="1885" t="s">
        <v>1549</v>
      </c>
      <c r="Q75" s="1886">
        <f ca="1">Q65+Q66</f>
        <v>25589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0.42100000000000004</v>
      </c>
    </row>
    <row r="80" spans="1:18">
      <c r="B80" s="386" t="s">
        <v>1511</v>
      </c>
      <c r="C80" s="318">
        <f ca="1">ROUND(C75/C39,3)</f>
        <v>0.57899999999999996</v>
      </c>
    </row>
    <row r="81" spans="2:3">
      <c r="B81" s="314" t="s">
        <v>1512</v>
      </c>
      <c r="C81" s="282"/>
    </row>
    <row r="82" spans="2:3">
      <c r="B82" s="317" t="s">
        <v>1513</v>
      </c>
      <c r="C82" s="319">
        <f ca="1">1-C83</f>
        <v>0.69399999999999995</v>
      </c>
    </row>
    <row r="83" spans="2:3">
      <c r="B83" s="317" t="s">
        <v>1514</v>
      </c>
      <c r="C83" s="318">
        <f ca="1">ROUND(C13/C40,3)</f>
        <v>0.30599999999999999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1" t="s">
        <v>1403</v>
      </c>
      <c r="C6" s="1296">
        <f ca="1">ROUND(F6*F8*F7*(1-F9),0)</f>
        <v>0</v>
      </c>
      <c r="D6" s="164" t="s">
        <v>3031</v>
      </c>
      <c r="E6" s="347" t="s">
        <v>1405</v>
      </c>
      <c r="F6" s="348">
        <f ca="1">INDIRECT("'数据-取费表'!u"&amp;$G$1)</f>
        <v>0</v>
      </c>
      <c r="G6" s="1851"/>
      <c r="H6" s="1291" t="s">
        <v>1035</v>
      </c>
      <c r="I6" s="3251" t="s">
        <v>1403</v>
      </c>
      <c r="J6" s="346">
        <f ca="1">ROUND(M6*M8*M7*(1-M9),0)</f>
        <v>0</v>
      </c>
      <c r="K6" s="1834" t="s">
        <v>3032</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0</v>
      </c>
      <c r="G7" s="1851"/>
      <c r="H7" s="349"/>
      <c r="I7" s="3252"/>
      <c r="J7" s="351"/>
      <c r="K7" s="352"/>
      <c r="L7" s="347" t="s">
        <v>1406</v>
      </c>
      <c r="M7" s="348">
        <f ca="1">F7</f>
        <v>0</v>
      </c>
    </row>
    <row r="8" spans="1:37" ht="18" customHeight="1">
      <c r="A8" s="349"/>
      <c r="B8" s="3252"/>
      <c r="C8" s="351"/>
      <c r="D8" s="352"/>
      <c r="E8" s="347" t="s">
        <v>1407</v>
      </c>
      <c r="F8" s="348">
        <f ca="1">INDIRECT("'数据-取费表'!ai"&amp;$G$1)</f>
        <v>0</v>
      </c>
      <c r="G8" s="1851"/>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35" t="s">
        <v>3044</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3045</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49" t="s">
        <v>1548</v>
      </c>
      <c r="L53" s="3250"/>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8" sqref="H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3130</v>
      </c>
      <c r="E1" s="1821" t="s">
        <v>1387</v>
      </c>
      <c r="F1" s="1283">
        <f ca="1">J53</f>
        <v>44.81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2688</v>
      </c>
      <c r="C2" s="1845" t="s">
        <v>1516</v>
      </c>
      <c r="D2" s="1845"/>
      <c r="E2" s="1846"/>
      <c r="F2" s="1847"/>
      <c r="G2" s="1848"/>
      <c r="H2" s="1840"/>
      <c r="I2" s="1840"/>
      <c r="J2" s="1840"/>
      <c r="K2" s="1841"/>
      <c r="L2" s="1840"/>
      <c r="M2" s="1840"/>
    </row>
    <row r="3" spans="1:37" ht="18" customHeight="1" thickBot="1">
      <c r="A3" s="1849" t="s">
        <v>1517</v>
      </c>
      <c r="B3" s="1850">
        <f ca="1">IF(ISERROR(B2*10000/F43),0,ROUND(B2*10000/F43,0))</f>
        <v>3130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213</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213</v>
      </c>
      <c r="D6" s="164" t="s">
        <v>3034</v>
      </c>
      <c r="E6" s="347" t="s">
        <v>1405</v>
      </c>
      <c r="F6" s="348">
        <f ca="1">INDIRECT("'数据-取费表'!u"&amp;$G$1)</f>
        <v>0.8</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8588.09</v>
      </c>
      <c r="G7" s="1851"/>
      <c r="H7" s="349"/>
      <c r="I7" s="3252"/>
      <c r="J7" s="351"/>
      <c r="K7" s="352"/>
      <c r="L7" s="347" t="s">
        <v>1406</v>
      </c>
      <c r="M7" s="348">
        <f ca="1">F7</f>
        <v>8588.09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3184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2234</v>
      </c>
      <c r="D14" s="2944" t="s">
        <v>1418</v>
      </c>
      <c r="E14" s="2942"/>
      <c r="F14" s="364"/>
      <c r="G14" s="1851"/>
      <c r="H14" s="1201" t="s">
        <v>1035</v>
      </c>
      <c r="I14" s="347" t="s">
        <v>1419</v>
      </c>
      <c r="J14" s="24">
        <f ca="1">C29</f>
        <v>3184</v>
      </c>
      <c r="K14" s="2949"/>
      <c r="L14" s="979"/>
      <c r="M14" s="980"/>
    </row>
    <row r="15" spans="1:37" s="1858" customFormat="1" ht="18" customHeight="1" thickBot="1">
      <c r="A15" s="1201" t="s">
        <v>1036</v>
      </c>
      <c r="B15" s="347" t="s">
        <v>1420</v>
      </c>
      <c r="C15" s="24">
        <f ca="1">ROUND(C14*F15,0)</f>
        <v>67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76</v>
      </c>
      <c r="K16" s="1337" t="s">
        <v>1425</v>
      </c>
      <c r="L16" s="2945"/>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27.7</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2514</v>
      </c>
      <c r="D19" s="140" t="s">
        <v>1436</v>
      </c>
      <c r="E19" s="2948"/>
      <c r="F19" s="26"/>
      <c r="G19" s="1851"/>
      <c r="H19" s="1201" t="s">
        <v>1036</v>
      </c>
      <c r="I19" s="347" t="s">
        <v>1437</v>
      </c>
      <c r="J19" s="24">
        <f ca="1">IF(K19="按租金收入计税",ROUND(J5*M19,2),ROUND(C29*M19*0.7,2))</f>
        <v>26.75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50</v>
      </c>
      <c r="D20" s="369" t="s">
        <v>1440</v>
      </c>
      <c r="E20" s="347" t="s">
        <v>1422</v>
      </c>
      <c r="F20" s="367">
        <f>'数据-取费表'!B37</f>
        <v>0.02</v>
      </c>
      <c r="G20" s="1854"/>
      <c r="H20" s="1201" t="s">
        <v>1389</v>
      </c>
      <c r="I20" s="164" t="s">
        <v>1441</v>
      </c>
      <c r="J20" s="25">
        <f ca="1">ROUND(M20*M21/10000,2)</f>
        <v>0.98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3273.73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47.8</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121</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-76</v>
      </c>
      <c r="K25" s="1345" t="s">
        <v>1464</v>
      </c>
      <c r="L25" s="1346"/>
      <c r="M25" s="1347"/>
    </row>
    <row r="26" spans="1:37">
      <c r="A26" s="1201" t="s">
        <v>1034</v>
      </c>
      <c r="B26" s="347" t="s">
        <v>1465</v>
      </c>
      <c r="C26" s="24">
        <f ca="1">ROUND((C19+C20)*F26,0)</f>
        <v>256</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3184</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94</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37.9</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11.36</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25.56</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3273.73</v>
      </c>
      <c r="G35" s="1851"/>
      <c r="H35" s="745"/>
      <c r="I35" s="1860"/>
      <c r="J35" s="1861"/>
      <c r="K35" s="1862"/>
      <c r="L35" s="1859"/>
      <c r="M35" s="1859"/>
    </row>
    <row r="36" spans="1:18" ht="18" customHeight="1">
      <c r="A36" s="1352" t="s">
        <v>1039</v>
      </c>
      <c r="B36" s="347" t="s">
        <v>1449</v>
      </c>
      <c r="C36" s="24">
        <f ca="1">ROUND(C29*F36,1)</f>
        <v>47.8</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6.4</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2.1</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2661</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3098</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-8840</v>
      </c>
      <c r="D46" s="1872" t="str">
        <f>C2</f>
        <v>万元</v>
      </c>
      <c r="E46" s="1866"/>
      <c r="F46" s="1866"/>
      <c r="I46" s="1873" t="s">
        <v>1521</v>
      </c>
      <c r="J46" s="1874"/>
      <c r="K46" s="1875"/>
      <c r="L46" s="1876">
        <f ca="1">IF(M47="住宅",0,IF(L48&gt;J51,L60,J60))</f>
        <v>27</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2661</v>
      </c>
      <c r="R47" s="1886" t="s">
        <v>1529</v>
      </c>
    </row>
    <row r="48" spans="1:18" s="1842" customFormat="1" ht="28.5" thickBot="1">
      <c r="A48" s="1360" t="s">
        <v>1135</v>
      </c>
      <c r="B48" s="345" t="s">
        <v>1401</v>
      </c>
      <c r="C48" s="294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27</v>
      </c>
      <c r="R48" s="1886" t="s">
        <v>1533</v>
      </c>
    </row>
    <row r="49" spans="1:18" s="1842" customFormat="1" ht="13.5" thickBot="1">
      <c r="A49" s="1194" t="s">
        <v>1136</v>
      </c>
      <c r="B49" s="1829" t="s">
        <v>1490</v>
      </c>
      <c r="C49" s="1364">
        <f ca="1">ROUND(F49*F51*F50*(1-F52)/10000,0)</f>
        <v>0</v>
      </c>
      <c r="D49" s="1276" t="s">
        <v>3033</v>
      </c>
      <c r="E49" s="1830" t="s">
        <v>1491</v>
      </c>
      <c r="F49" s="1281"/>
      <c r="G49" s="1891"/>
      <c r="H49" s="793"/>
      <c r="I49" s="1887" t="s">
        <v>1534</v>
      </c>
      <c r="J49" s="1892">
        <v>2019</v>
      </c>
      <c r="K49" s="1889" t="s">
        <v>1535</v>
      </c>
      <c r="L49" s="1893"/>
      <c r="O49" s="1894" t="s">
        <v>1042</v>
      </c>
      <c r="P49" s="1885" t="s">
        <v>1536</v>
      </c>
      <c r="Q49" s="1886">
        <f ca="1">C29</f>
        <v>3184</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-2917</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2688</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3184</v>
      </c>
      <c r="D56" s="1914"/>
      <c r="E56" s="1915"/>
      <c r="F56" s="1907"/>
      <c r="I56" s="1916" t="s">
        <v>1554</v>
      </c>
      <c r="J56" s="1917"/>
      <c r="K56" s="1887" t="s">
        <v>1555</v>
      </c>
      <c r="L56" s="1890" t="str">
        <f ca="1">IF(L48&lt;J51,"——",L48-J53)</f>
        <v>——</v>
      </c>
      <c r="O56" s="1884" t="s">
        <v>1040</v>
      </c>
      <c r="P56" s="1885" t="s">
        <v>1528</v>
      </c>
      <c r="Q56" s="1886">
        <f ca="1">C40+J29</f>
        <v>2661</v>
      </c>
      <c r="R56" s="1886" t="s">
        <v>1529</v>
      </c>
    </row>
    <row r="57" spans="1:18" s="1842" customFormat="1" ht="24.75" thickBot="1">
      <c r="A57" s="1918"/>
      <c r="B57" s="1169" t="s">
        <v>1478</v>
      </c>
      <c r="C57" s="282">
        <f ca="1">C29</f>
        <v>3184</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323</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268.39999999999998</v>
      </c>
      <c r="D59" s="1182" t="s">
        <v>1430</v>
      </c>
      <c r="E59" s="1183" t="s">
        <v>1431</v>
      </c>
      <c r="F59" s="368" t="str">
        <f ca="1">IF(项目基本情况!B11="企业","",IF(INDIRECT("'数据-取费表'!c"&amp;$G$1)="住宅",5%,IF(F49*F50*F51/12/(1+'数据-取费表'!C42)&gt;20000,12%,7%)))</f>
        <v/>
      </c>
      <c r="I59" s="1922" t="s">
        <v>1563</v>
      </c>
      <c r="J59" s="1923">
        <f ca="1">IF(OR(M47="住宅",J51&lt;L48,J56="是"),"——",ROUND(C29*J58,0))</f>
        <v>1274</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27</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267.45999999999998</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0.98</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2661</v>
      </c>
      <c r="R62" s="1886" t="s">
        <v>1047</v>
      </c>
    </row>
    <row r="63" spans="1:18" s="1842" customFormat="1" ht="13.5" thickBot="1">
      <c r="A63" s="372"/>
      <c r="B63" s="1175"/>
      <c r="C63" s="29"/>
      <c r="D63" s="1185"/>
      <c r="E63" s="1169" t="s">
        <v>1447</v>
      </c>
      <c r="F63" s="348">
        <f t="shared" ca="1" si="0"/>
        <v>3273.73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47.8</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6.4</v>
      </c>
      <c r="D65" s="1183" t="s">
        <v>1454</v>
      </c>
      <c r="E65" s="1169" t="s">
        <v>1422</v>
      </c>
      <c r="F65" s="376">
        <f t="shared" ca="1" si="0"/>
        <v>2E-3</v>
      </c>
      <c r="I65" s="1929" t="s">
        <v>1579</v>
      </c>
      <c r="J65" s="1930">
        <v>40</v>
      </c>
      <c r="K65" s="1930">
        <v>30</v>
      </c>
      <c r="L65" s="1930">
        <v>50</v>
      </c>
      <c r="M65" s="1932">
        <v>0.02</v>
      </c>
      <c r="O65" s="1884" t="s">
        <v>1040</v>
      </c>
      <c r="P65" s="1885" t="s">
        <v>1528</v>
      </c>
      <c r="Q65" s="1886">
        <f ca="1">C40+J29</f>
        <v>2661</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-323</v>
      </c>
      <c r="D67" s="1182" t="s">
        <v>1464</v>
      </c>
      <c r="E67" s="1187"/>
      <c r="F67" s="1188"/>
      <c r="O67" s="1894" t="s">
        <v>1042</v>
      </c>
      <c r="P67" s="1885" t="s">
        <v>1562</v>
      </c>
      <c r="Q67" s="1933">
        <f ca="1">L51</f>
        <v>-2917</v>
      </c>
      <c r="R67" s="1886" t="s">
        <v>1582</v>
      </c>
    </row>
    <row r="68" spans="1:18" s="1842" customFormat="1" ht="16.5" thickBot="1">
      <c r="A68" s="1166" t="s">
        <v>1032</v>
      </c>
      <c r="B68" s="1167" t="s">
        <v>1485</v>
      </c>
      <c r="C68" s="346">
        <f ca="1">ROUND(C67*(1-((1+F70)/(1+F68))^F69)/(F68-F70),0)</f>
        <v>-6179</v>
      </c>
      <c r="D68" s="1184" t="s">
        <v>1469</v>
      </c>
      <c r="E68" s="1169" t="s">
        <v>1470</v>
      </c>
      <c r="F68" s="357">
        <f ca="1">F40</f>
        <v>4.4999999999999998E-2</v>
      </c>
      <c r="O68" s="1894" t="s">
        <v>1043</v>
      </c>
      <c r="P68" s="1934" t="s">
        <v>1583</v>
      </c>
      <c r="Q68" s="1886">
        <f ca="1">ROUND(Q69-Q70*Q71,0)</f>
        <v>-152</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3184</v>
      </c>
      <c r="R70" s="1886" t="s">
        <v>1529</v>
      </c>
    </row>
    <row r="71" spans="1:18" s="1842" customFormat="1" ht="13.5" thickBot="1">
      <c r="A71" s="1190" t="s">
        <v>1033</v>
      </c>
      <c r="B71" s="1191" t="s">
        <v>1487</v>
      </c>
      <c r="C71" s="382">
        <f ca="1">ROUND(C68*10000/F71,0)</f>
        <v>-7195</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271</v>
      </c>
      <c r="D75" s="1842"/>
      <c r="E75" s="1842"/>
      <c r="F75" s="1842"/>
      <c r="K75" s="1868"/>
      <c r="L75" s="1842"/>
      <c r="O75" s="1884" t="s">
        <v>1046</v>
      </c>
      <c r="P75" s="1885" t="s">
        <v>1549</v>
      </c>
      <c r="Q75" s="1886">
        <f ca="1">Q65+Q66</f>
        <v>2661</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-1.2770000000000001</v>
      </c>
    </row>
    <row r="80" spans="1:18">
      <c r="B80" s="386" t="s">
        <v>1511</v>
      </c>
      <c r="C80" s="318">
        <f ca="1">ROUND(C75/C39,3)</f>
        <v>2.2770000000000001</v>
      </c>
    </row>
    <row r="81" spans="2:3">
      <c r="B81" s="314" t="s">
        <v>1512</v>
      </c>
      <c r="C81" s="282"/>
    </row>
    <row r="82" spans="2:3">
      <c r="B82" s="317" t="s">
        <v>1513</v>
      </c>
      <c r="C82" s="319">
        <f ca="1">1-C83</f>
        <v>-0.19700000000000006</v>
      </c>
    </row>
    <row r="83" spans="2:3">
      <c r="B83" s="317" t="s">
        <v>1514</v>
      </c>
      <c r="C83" s="318">
        <f ca="1">ROUND(C13/C40,3)</f>
        <v>1.1970000000000001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3079</v>
      </c>
      <c r="D1" s="1820" t="s">
        <v>3130</v>
      </c>
      <c r="E1" s="1821" t="s">
        <v>1387</v>
      </c>
      <c r="F1" s="1283">
        <f ca="1">J53</f>
        <v>44.81</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2473</v>
      </c>
      <c r="C2" s="1845" t="s">
        <v>1516</v>
      </c>
      <c r="D2" s="1845"/>
      <c r="E2" s="1846"/>
      <c r="F2" s="1847"/>
      <c r="G2" s="1848"/>
      <c r="H2" s="1840"/>
      <c r="I2" s="1840"/>
      <c r="J2" s="1840"/>
      <c r="K2" s="1841"/>
      <c r="L2" s="1840"/>
      <c r="M2" s="1840"/>
    </row>
    <row r="3" spans="1:37" ht="18" customHeight="1" thickBot="1">
      <c r="A3" s="1849" t="s">
        <v>1517</v>
      </c>
      <c r="B3" s="1850">
        <f ca="1">IF(ISERROR(B2*10000/F43),0,ROUND(B2*10000/F43,0))</f>
        <v>3944</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195</v>
      </c>
      <c r="D6" s="164" t="s">
        <v>3034</v>
      </c>
      <c r="E6" s="347" t="s">
        <v>1405</v>
      </c>
      <c r="F6" s="348">
        <f ca="1">INDIRECT("'数据-取费表'!u"&amp;$G$1)</f>
        <v>1</v>
      </c>
      <c r="G6" s="1851"/>
      <c r="H6" s="1291" t="s">
        <v>1035</v>
      </c>
      <c r="I6" s="3251" t="s">
        <v>1403</v>
      </c>
      <c r="J6" s="346">
        <f ca="1">ROUND(M6*M8*M7*(1-M9)/10000,0)</f>
        <v>0</v>
      </c>
      <c r="K6" s="164" t="s">
        <v>3033</v>
      </c>
      <c r="L6" s="347" t="s">
        <v>1405</v>
      </c>
      <c r="M6" s="348">
        <f ca="1">INDIRECT("'数据-取费表'!z"&amp;$G$1)</f>
        <v>0</v>
      </c>
    </row>
    <row r="7" spans="1:37" ht="18" customHeight="1">
      <c r="A7" s="1295"/>
      <c r="B7" s="3252"/>
      <c r="C7" s="1297"/>
      <c r="D7" s="352"/>
      <c r="E7" s="2950" t="s">
        <v>1406</v>
      </c>
      <c r="F7" s="348">
        <f ca="1">IF(INDIRECT("'数据-取费表'!ah"&amp;$G$1)="",INDIRECT("'数据-取费表'!k"&amp;$G$1),INDIRECT("'数据-取费表'!ah"&amp;$G$1))</f>
        <v>6269.49</v>
      </c>
      <c r="G7" s="1851"/>
      <c r="H7" s="349"/>
      <c r="I7" s="3252"/>
      <c r="J7" s="351"/>
      <c r="K7" s="352"/>
      <c r="L7" s="347" t="s">
        <v>1406</v>
      </c>
      <c r="M7" s="348">
        <f ca="1">F7</f>
        <v>6269.49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2988" t="s">
        <v>3329</v>
      </c>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2324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1631</v>
      </c>
      <c r="D14" s="2944" t="s">
        <v>1418</v>
      </c>
      <c r="E14" s="2942"/>
      <c r="F14" s="364"/>
      <c r="G14" s="1851"/>
      <c r="H14" s="1201" t="s">
        <v>1035</v>
      </c>
      <c r="I14" s="347" t="s">
        <v>1419</v>
      </c>
      <c r="J14" s="24">
        <f ca="1">C29</f>
        <v>2324</v>
      </c>
      <c r="K14" s="2949"/>
      <c r="L14" s="979"/>
      <c r="M14" s="980"/>
    </row>
    <row r="15" spans="1:37" s="1858" customFormat="1" ht="18" customHeight="1" thickBot="1">
      <c r="A15" s="1201" t="s">
        <v>1036</v>
      </c>
      <c r="B15" s="347" t="s">
        <v>1420</v>
      </c>
      <c r="C15" s="24">
        <f ca="1">ROUND(C14*F15,0)</f>
        <v>49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55</v>
      </c>
      <c r="K16" s="1337" t="s">
        <v>1425</v>
      </c>
      <c r="L16" s="2945"/>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20.2</v>
      </c>
      <c r="K17" s="2944" t="s">
        <v>1430</v>
      </c>
      <c r="L17" s="294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1834</v>
      </c>
      <c r="D19" s="140" t="s">
        <v>1436</v>
      </c>
      <c r="E19" s="2948"/>
      <c r="F19" s="26"/>
      <c r="G19" s="1851"/>
      <c r="H19" s="1201" t="s">
        <v>1036</v>
      </c>
      <c r="I19" s="347" t="s">
        <v>1437</v>
      </c>
      <c r="J19" s="24">
        <f ca="1">IF(K19="按租金收入计税",ROUND(J5*M19,2),ROUND(C29*M19*0.7,2))</f>
        <v>19.52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37</v>
      </c>
      <c r="D20" s="369" t="s">
        <v>1440</v>
      </c>
      <c r="E20" s="347" t="s">
        <v>1422</v>
      </c>
      <c r="F20" s="367">
        <f>'数据-取费表'!B37</f>
        <v>0.02</v>
      </c>
      <c r="G20" s="1854"/>
      <c r="H20" s="1201" t="s">
        <v>1389</v>
      </c>
      <c r="I20" s="164" t="s">
        <v>1441</v>
      </c>
      <c r="J20" s="25">
        <f ca="1">ROUND(M20*M21/10000,2)</f>
        <v>0.72</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2389.8900000000003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8"/>
      <c r="F22" s="26"/>
      <c r="G22" s="1851"/>
      <c r="H22" s="1201" t="s">
        <v>1039</v>
      </c>
      <c r="I22" s="347" t="s">
        <v>1449</v>
      </c>
      <c r="J22" s="24">
        <f ca="1">ROUND(J14*M22,1)</f>
        <v>34.9</v>
      </c>
      <c r="K22" s="294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3"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8"/>
      <c r="F25" s="26"/>
      <c r="G25" s="1851"/>
      <c r="H25" s="1329" t="s">
        <v>1031</v>
      </c>
      <c r="I25" s="1344" t="s">
        <v>1463</v>
      </c>
      <c r="J25" s="355">
        <f ca="1">J5-J16</f>
        <v>-55</v>
      </c>
      <c r="K25" s="1345" t="s">
        <v>1464</v>
      </c>
      <c r="L25" s="1346"/>
      <c r="M25" s="1347"/>
    </row>
    <row r="26" spans="1:37">
      <c r="A26" s="1201" t="s">
        <v>1034</v>
      </c>
      <c r="B26" s="347" t="s">
        <v>1465</v>
      </c>
      <c r="C26" s="24">
        <f ca="1">ROUND((C19+C20)*F26,0)</f>
        <v>187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2324</v>
      </c>
      <c r="D29" s="1342"/>
      <c r="E29" s="1340"/>
      <c r="F29" s="1343"/>
      <c r="G29" s="1854"/>
      <c r="H29" s="380" t="s">
        <v>1033</v>
      </c>
      <c r="I29" s="381" t="s">
        <v>1479</v>
      </c>
      <c r="J29" s="382">
        <f ca="1">ROUND(J26/(1+F40)^F41,0)</f>
        <v>0</v>
      </c>
      <c r="K29" s="383" t="s">
        <v>1480</v>
      </c>
      <c r="L29" s="384"/>
      <c r="M29" s="385">
        <f ca="1">INDIRECT("'数据-取费表'!k"&amp;$G$1)</f>
        <v>6269.49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76</v>
      </c>
      <c r="D30" s="1337" t="s">
        <v>1425</v>
      </c>
      <c r="E30" s="2945"/>
      <c r="F30" s="1294"/>
      <c r="G30" s="1851"/>
      <c r="H30" s="745"/>
      <c r="I30" s="746"/>
      <c r="J30" s="747"/>
      <c r="K30" s="748"/>
      <c r="L30" s="749"/>
      <c r="M30" s="750"/>
    </row>
    <row r="31" spans="1:37" ht="18" customHeight="1">
      <c r="A31" s="1201" t="s">
        <v>1035</v>
      </c>
      <c r="B31" s="347" t="s">
        <v>1429</v>
      </c>
      <c r="C31" s="24">
        <f ca="1">ROUND(IF(项目基本情况!B11="自然人",C5*F31,C32+C33+C34),1)</f>
        <v>34.5</v>
      </c>
      <c r="D31" s="2944" t="s">
        <v>1430</v>
      </c>
      <c r="E31" s="294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23.4</v>
      </c>
      <c r="D33" s="2978" t="s">
        <v>3328</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0.72</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2389.8900000000003</v>
      </c>
      <c r="G35" s="1851"/>
      <c r="H35" s="745"/>
      <c r="I35" s="1860"/>
      <c r="J35" s="1861"/>
      <c r="K35" s="1862"/>
      <c r="L35" s="1859"/>
      <c r="M35" s="1859"/>
    </row>
    <row r="36" spans="1:18" ht="18" customHeight="1">
      <c r="A36" s="1352" t="s">
        <v>1039</v>
      </c>
      <c r="B36" s="347" t="s">
        <v>1449</v>
      </c>
      <c r="C36" s="24">
        <f ca="1">ROUND(C29*F36,1)</f>
        <v>34.9</v>
      </c>
      <c r="D36" s="294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4.5999999999999996</v>
      </c>
      <c r="D37" s="2943"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2453</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44.81</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3913</v>
      </c>
      <c r="D43" s="383" t="s">
        <v>1488</v>
      </c>
      <c r="E43" s="384" t="s">
        <v>1489</v>
      </c>
      <c r="F43" s="385">
        <f ca="1">INDIRECT("'数据-取费表'!k"&amp;$G$1)</f>
        <v>6269.49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-6625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2453</v>
      </c>
      <c r="R47" s="1886" t="s">
        <v>1529</v>
      </c>
    </row>
    <row r="48" spans="1:18" s="1842" customFormat="1" ht="28.5" thickBot="1">
      <c r="A48" s="1360" t="s">
        <v>1135</v>
      </c>
      <c r="B48" s="345" t="s">
        <v>1401</v>
      </c>
      <c r="C48" s="2947">
        <f ca="1">C49+C53+C55</f>
        <v>0</v>
      </c>
      <c r="D48" s="1362"/>
      <c r="E48" s="1363"/>
      <c r="F48" s="1181"/>
      <c r="G48" s="792"/>
      <c r="H48" s="793"/>
      <c r="I48" s="1887" t="s">
        <v>1530</v>
      </c>
      <c r="J48" s="1888" t="s">
        <v>3132</v>
      </c>
      <c r="K48" s="1889" t="s">
        <v>1531</v>
      </c>
      <c r="L48" s="1890">
        <f ca="1">INDIRECT("'数据-取费表'!f"&amp;$G$1)</f>
        <v>45.61</v>
      </c>
      <c r="O48" s="1884" t="s">
        <v>1041</v>
      </c>
      <c r="P48" s="1885" t="s">
        <v>1532</v>
      </c>
      <c r="Q48" s="1886">
        <f ca="1">J60</f>
        <v>20</v>
      </c>
      <c r="R48" s="1886" t="s">
        <v>1533</v>
      </c>
    </row>
    <row r="49" spans="1:18" s="1842" customFormat="1" ht="13.5" thickBot="1">
      <c r="A49" s="1194" t="s">
        <v>1136</v>
      </c>
      <c r="B49" s="1829" t="s">
        <v>1490</v>
      </c>
      <c r="C49" s="1364">
        <f ca="1">ROUND(F49*F51*F50*(1-F52)/10000,0)</f>
        <v>0</v>
      </c>
      <c r="D49" s="1276" t="s">
        <v>3033</v>
      </c>
      <c r="E49" s="1830" t="s">
        <v>1491</v>
      </c>
      <c r="F49" s="1281"/>
      <c r="G49" s="1891"/>
      <c r="H49" s="793"/>
      <c r="I49" s="1887" t="s">
        <v>1534</v>
      </c>
      <c r="J49" s="1892">
        <v>2019</v>
      </c>
      <c r="K49" s="1889" t="s">
        <v>1535</v>
      </c>
      <c r="L49" s="1893"/>
      <c r="O49" s="1894" t="s">
        <v>1042</v>
      </c>
      <c r="P49" s="1885" t="s">
        <v>1536</v>
      </c>
      <c r="Q49" s="1886">
        <f ca="1">C29</f>
        <v>2324</v>
      </c>
      <c r="R49" s="1886" t="s">
        <v>1529</v>
      </c>
    </row>
    <row r="50" spans="1:18" s="1842" customFormat="1" ht="13.5" thickBot="1">
      <c r="A50" s="1195"/>
      <c r="B50" s="1198"/>
      <c r="C50" s="1368"/>
      <c r="D50" s="1172"/>
      <c r="E50" s="1277" t="s">
        <v>1406</v>
      </c>
      <c r="F50" s="1278">
        <f ca="1">F7</f>
        <v>6269.49</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-1511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44.81</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44.81</v>
      </c>
      <c r="K53" s="3249" t="s">
        <v>1548</v>
      </c>
      <c r="L53" s="3250"/>
      <c r="O53" s="1884" t="s">
        <v>1046</v>
      </c>
      <c r="P53" s="1885" t="s">
        <v>1549</v>
      </c>
      <c r="Q53" s="1886">
        <f ca="1">Q47+Q48</f>
        <v>2473</v>
      </c>
      <c r="R53" s="1886" t="s">
        <v>1047</v>
      </c>
    </row>
    <row r="54" spans="1:18" s="1842" customFormat="1" ht="13.5" thickBot="1">
      <c r="A54" s="1406"/>
      <c r="B54" s="1825" t="s">
        <v>1388</v>
      </c>
      <c r="C54" s="1178"/>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6"/>
      <c r="F55" s="1907"/>
      <c r="I55" s="1910" t="s">
        <v>1551</v>
      </c>
      <c r="J55" s="1911">
        <f ca="1">ROUND(IF(J47="钢混",J57/J50,1-(1-2%)*(J50-J57)/J50),3)</f>
        <v>0.25700000000000001</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2324</v>
      </c>
      <c r="D56" s="1914"/>
      <c r="E56" s="1915"/>
      <c r="F56" s="1907"/>
      <c r="I56" s="1916" t="s">
        <v>1554</v>
      </c>
      <c r="J56" s="1917" t="s">
        <v>3133</v>
      </c>
      <c r="K56" s="1887" t="s">
        <v>1555</v>
      </c>
      <c r="L56" s="1890" t="str">
        <f ca="1">IF(L48&lt;J51,"——",L48-J53)</f>
        <v>——</v>
      </c>
      <c r="O56" s="1884" t="s">
        <v>1040</v>
      </c>
      <c r="P56" s="1885" t="s">
        <v>1528</v>
      </c>
      <c r="Q56" s="1886">
        <f ca="1">C40+J29</f>
        <v>2453</v>
      </c>
      <c r="R56" s="1886" t="s">
        <v>1529</v>
      </c>
    </row>
    <row r="57" spans="1:18" s="1842" customFormat="1" ht="24.75" thickBot="1">
      <c r="A57" s="1918"/>
      <c r="B57" s="1169" t="s">
        <v>1478</v>
      </c>
      <c r="C57" s="282">
        <f ca="1">C29</f>
        <v>2324</v>
      </c>
      <c r="D57" s="1919"/>
      <c r="E57" s="1920"/>
      <c r="F57" s="1921"/>
      <c r="I57" s="1922" t="s">
        <v>1556</v>
      </c>
      <c r="J57" s="1923">
        <f ca="1">IF(OR(M47="住宅",J51&lt;L48,J56="是"),"——",J51-L48)</f>
        <v>15.39</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235</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195.9</v>
      </c>
      <c r="D59" s="1182" t="s">
        <v>1430</v>
      </c>
      <c r="E59" s="1183" t="s">
        <v>1431</v>
      </c>
      <c r="F59" s="368" t="str">
        <f ca="1">IF(项目基本情况!B11="企业","",IF(INDIRECT("'数据-取费表'!c"&amp;$G$1)="住宅",5%,IF(F49*F50*F51/12/(1+'数据-取费表'!C42)&gt;20000,12%,7%)))</f>
        <v/>
      </c>
      <c r="I59" s="1922" t="s">
        <v>1563</v>
      </c>
      <c r="J59" s="1923">
        <f ca="1">IF(OR(M47="住宅",J51&lt;L48,J56="是"),"——",ROUND(C29*J58,0))</f>
        <v>930</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195.22</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0.72</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2453</v>
      </c>
      <c r="R62" s="1886" t="s">
        <v>1047</v>
      </c>
    </row>
    <row r="63" spans="1:18" s="1842" customFormat="1" ht="13.5" thickBot="1">
      <c r="A63" s="372"/>
      <c r="B63" s="1175"/>
      <c r="C63" s="29"/>
      <c r="D63" s="1185"/>
      <c r="E63" s="1169" t="s">
        <v>1447</v>
      </c>
      <c r="F63" s="348">
        <f t="shared" ca="1" si="0"/>
        <v>2389.8900000000003</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34.9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4.5999999999999996</v>
      </c>
      <c r="D65" s="1183" t="s">
        <v>1454</v>
      </c>
      <c r="E65" s="1169" t="s">
        <v>1422</v>
      </c>
      <c r="F65" s="376">
        <f t="shared" ca="1" si="0"/>
        <v>2E-3</v>
      </c>
      <c r="I65" s="1929" t="s">
        <v>1579</v>
      </c>
      <c r="J65" s="1930">
        <v>40</v>
      </c>
      <c r="K65" s="1930">
        <v>30</v>
      </c>
      <c r="L65" s="1930">
        <v>50</v>
      </c>
      <c r="M65" s="1932">
        <v>0.02</v>
      </c>
      <c r="O65" s="1884" t="s">
        <v>1040</v>
      </c>
      <c r="P65" s="1885" t="s">
        <v>1528</v>
      </c>
      <c r="Q65" s="1886">
        <f ca="1">C40+J29</f>
        <v>2453</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-235</v>
      </c>
      <c r="D67" s="1182" t="s">
        <v>1464</v>
      </c>
      <c r="E67" s="1187"/>
      <c r="F67" s="1188"/>
      <c r="O67" s="1894" t="s">
        <v>1042</v>
      </c>
      <c r="P67" s="1885" t="s">
        <v>1562</v>
      </c>
      <c r="Q67" s="1933">
        <f ca="1">L51</f>
        <v>-1511</v>
      </c>
      <c r="R67" s="1886" t="s">
        <v>1582</v>
      </c>
    </row>
    <row r="68" spans="1:18" s="1842" customFormat="1" ht="16.5" thickBot="1">
      <c r="A68" s="1166" t="s">
        <v>1032</v>
      </c>
      <c r="B68" s="1167" t="s">
        <v>1485</v>
      </c>
      <c r="C68" s="346">
        <f ca="1">ROUND(C67*(1-((1+F70)/(1+F68))^F69)/(F68-F70),0)</f>
        <v>-4172</v>
      </c>
      <c r="D68" s="1184" t="s">
        <v>1469</v>
      </c>
      <c r="E68" s="1169" t="s">
        <v>1470</v>
      </c>
      <c r="F68" s="357">
        <f ca="1">F40</f>
        <v>0.05</v>
      </c>
      <c r="O68" s="1894" t="s">
        <v>1043</v>
      </c>
      <c r="P68" s="1934" t="s">
        <v>1583</v>
      </c>
      <c r="Q68" s="1886">
        <f ca="1">ROUND(Q69-Q70*Q71,0)</f>
        <v>-79</v>
      </c>
      <c r="R68" s="1886" t="s">
        <v>1051</v>
      </c>
    </row>
    <row r="69" spans="1:18" s="1842" customFormat="1" ht="13.5" thickBot="1">
      <c r="A69" s="1170"/>
      <c r="B69" s="1171"/>
      <c r="C69" s="351"/>
      <c r="D69" s="1189" t="s">
        <v>1473</v>
      </c>
      <c r="E69" s="1169" t="s">
        <v>1474</v>
      </c>
      <c r="F69" s="379">
        <f ca="1">F41</f>
        <v>44.81</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2324</v>
      </c>
      <c r="R70" s="1886" t="s">
        <v>1529</v>
      </c>
    </row>
    <row r="71" spans="1:18" s="1842" customFormat="1" ht="13.5" thickBot="1">
      <c r="A71" s="1190" t="s">
        <v>1033</v>
      </c>
      <c r="B71" s="1191" t="s">
        <v>1487</v>
      </c>
      <c r="C71" s="382">
        <f ca="1">ROUND(C68*10000/F71,0)</f>
        <v>-6654</v>
      </c>
      <c r="D71" s="1192" t="s">
        <v>1488</v>
      </c>
      <c r="E71" s="1193" t="s">
        <v>1489</v>
      </c>
      <c r="F71" s="385">
        <f ca="1">F43</f>
        <v>6269.49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198</v>
      </c>
      <c r="D75" s="1842"/>
      <c r="E75" s="1842"/>
      <c r="F75" s="1842"/>
      <c r="K75" s="1868"/>
      <c r="L75" s="1842"/>
      <c r="O75" s="1884" t="s">
        <v>1046</v>
      </c>
      <c r="P75" s="1885" t="s">
        <v>1549</v>
      </c>
      <c r="Q75" s="1886">
        <f ca="1">Q65+Q66</f>
        <v>2453</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-0.66399999999999992</v>
      </c>
    </row>
    <row r="80" spans="1:18">
      <c r="B80" s="386" t="s">
        <v>1511</v>
      </c>
      <c r="C80" s="318">
        <f ca="1">ROUND(C75/C39,3)</f>
        <v>1.6639999999999999</v>
      </c>
    </row>
    <row r="81" spans="2:3">
      <c r="B81" s="314" t="s">
        <v>1512</v>
      </c>
      <c r="C81" s="282"/>
    </row>
    <row r="82" spans="2:3">
      <c r="B82" s="317" t="s">
        <v>1513</v>
      </c>
      <c r="C82" s="319">
        <f ca="1">1-C83</f>
        <v>5.3000000000000047E-2</v>
      </c>
    </row>
    <row r="83" spans="2:3">
      <c r="B83" s="317" t="s">
        <v>1514</v>
      </c>
      <c r="C83" s="318">
        <f ca="1">ROUND(C13/C40,3)</f>
        <v>0.94699999999999995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2529</v>
      </c>
      <c r="B1" s="2562"/>
      <c r="C1" s="2562"/>
      <c r="D1" s="2562"/>
      <c r="E1" s="2563"/>
    </row>
    <row r="2" spans="1:6" ht="15.75">
      <c r="A2" s="2564" t="s">
        <v>2333</v>
      </c>
      <c r="B2" s="2565">
        <f ca="1">SUMIF(B6:B13,"&lt;&gt;#ref!",B6:B13)</f>
        <v>30816</v>
      </c>
      <c r="C2" s="2566" t="s">
        <v>2522</v>
      </c>
      <c r="D2" s="2567" t="s">
        <v>2523</v>
      </c>
      <c r="E2" s="2568">
        <f>SUM(E6:E13)</f>
        <v>32573.119999999999</v>
      </c>
    </row>
    <row r="3" spans="1:6" ht="15.75">
      <c r="A3" s="2564" t="s">
        <v>1395</v>
      </c>
      <c r="B3" s="2565">
        <f ca="1">ROUND(B2*10000/E2,0)</f>
        <v>9461</v>
      </c>
      <c r="C3" s="2566" t="s">
        <v>2530</v>
      </c>
      <c r="D3" s="2569"/>
      <c r="E3" s="2570"/>
    </row>
    <row r="4" spans="1:6" ht="15.75">
      <c r="A4" s="2571"/>
      <c r="B4" s="2569"/>
      <c r="C4" s="2569"/>
      <c r="D4" s="2569"/>
      <c r="E4" s="2570"/>
    </row>
    <row r="5" spans="1:6" ht="15">
      <c r="A5" s="2572" t="s">
        <v>2524</v>
      </c>
      <c r="B5" s="3254" t="s">
        <v>2525</v>
      </c>
      <c r="C5" s="3254"/>
      <c r="D5" s="2573"/>
      <c r="E5" s="2574" t="s">
        <v>2526</v>
      </c>
      <c r="F5" s="2575" t="s">
        <v>2527</v>
      </c>
    </row>
    <row r="6" spans="1:6">
      <c r="A6" s="2576" t="str">
        <f>'数据-取费表'!AN6</f>
        <v>收益法（办公）</v>
      </c>
      <c r="B6" s="2575">
        <f ca="1">IF(F6="是",'数据-取费表'!AO6,0)</f>
        <v>25655</v>
      </c>
      <c r="C6" s="2566" t="s">
        <v>2522</v>
      </c>
      <c r="D6" s="2569"/>
      <c r="E6" s="2577">
        <f>IF(OR(A6=0,F6="否"),0,'数据-取费表'!K6+'数据-取费表'!S6)</f>
        <v>17111.939999999999</v>
      </c>
      <c r="F6" s="2578" t="s">
        <v>2528</v>
      </c>
    </row>
    <row r="7" spans="1:6">
      <c r="A7" s="2576" t="str">
        <f>'数据-取费表'!AN7</f>
        <v>收益法 (车库)</v>
      </c>
      <c r="B7" s="2575">
        <f ca="1">IF(F7="是",'数据-取费表'!AO7,0)</f>
        <v>2688</v>
      </c>
      <c r="C7" s="2566" t="s">
        <v>2522</v>
      </c>
      <c r="D7" s="2569"/>
      <c r="E7" s="2577">
        <f>IF(OR(A7=0,F7="否"),0,'数据-取费表'!K7+'数据-取费表'!S7)</f>
        <v>8936.99</v>
      </c>
      <c r="F7" s="2578" t="s">
        <v>2528</v>
      </c>
    </row>
    <row r="8" spans="1:6">
      <c r="A8" s="2576" t="str">
        <f>'数据-取费表'!AN8</f>
        <v>收益法（仓储）</v>
      </c>
      <c r="B8" s="2575">
        <f ca="1">IF(F8="是",'数据-取费表'!AO8,0)</f>
        <v>2473</v>
      </c>
      <c r="C8" s="2566" t="s">
        <v>2522</v>
      </c>
      <c r="D8" s="2569"/>
      <c r="E8" s="2577">
        <f>IF(OR(A8=0,F8="否"),0,'数据-取费表'!K8+'数据-取费表'!S8)</f>
        <v>6524.19</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61" t="s">
        <v>1077</v>
      </c>
      <c r="B2" s="3262" t="s">
        <v>1078</v>
      </c>
      <c r="C2" s="3262"/>
      <c r="D2" s="1301" t="s">
        <v>1079</v>
      </c>
      <c r="E2" s="1301" t="s">
        <v>1080</v>
      </c>
      <c r="F2" s="1301" t="s">
        <v>1081</v>
      </c>
      <c r="G2" s="1301" t="s">
        <v>1082</v>
      </c>
      <c r="H2" s="1301" t="s">
        <v>1083</v>
      </c>
      <c r="I2" s="1302" t="s">
        <v>1084</v>
      </c>
    </row>
    <row r="3" spans="1:9">
      <c r="A3" s="3261"/>
      <c r="B3" s="3262" t="s">
        <v>1085</v>
      </c>
      <c r="C3" s="3262"/>
      <c r="D3" s="1303"/>
      <c r="E3" s="1301"/>
      <c r="F3" s="1304"/>
      <c r="G3" s="1304"/>
      <c r="H3" s="1305"/>
      <c r="I3" s="1306">
        <f>ROUND(D3*E3*F3*G3*H3/10000,0)</f>
        <v>0</v>
      </c>
    </row>
    <row r="4" spans="1:9">
      <c r="A4" s="3261"/>
      <c r="B4" s="3262" t="s">
        <v>1086</v>
      </c>
      <c r="C4" s="3262"/>
      <c r="D4" s="1303"/>
      <c r="E4" s="1301"/>
      <c r="F4" s="1304"/>
      <c r="G4" s="1304"/>
      <c r="H4" s="1305"/>
      <c r="I4" s="1306">
        <f t="shared" ref="I4:I9" si="0">ROUND(D4*E4*F4*G4*H4/10000,0)</f>
        <v>0</v>
      </c>
    </row>
    <row r="5" spans="1:9">
      <c r="A5" s="3261"/>
      <c r="B5" s="3262" t="s">
        <v>1087</v>
      </c>
      <c r="C5" s="3262"/>
      <c r="D5" s="1303"/>
      <c r="E5" s="1301"/>
      <c r="F5" s="1304"/>
      <c r="G5" s="1304"/>
      <c r="H5" s="1305"/>
      <c r="I5" s="1306">
        <f t="shared" si="0"/>
        <v>0</v>
      </c>
    </row>
    <row r="6" spans="1:9">
      <c r="A6" s="3261"/>
      <c r="B6" s="3262" t="s">
        <v>1088</v>
      </c>
      <c r="C6" s="3262"/>
      <c r="D6" s="1303"/>
      <c r="E6" s="1301"/>
      <c r="F6" s="1304"/>
      <c r="G6" s="1304"/>
      <c r="H6" s="1305"/>
      <c r="I6" s="1306">
        <f t="shared" si="0"/>
        <v>0</v>
      </c>
    </row>
    <row r="7" spans="1:9">
      <c r="A7" s="3261"/>
      <c r="B7" s="3262" t="s">
        <v>1089</v>
      </c>
      <c r="C7" s="3262"/>
      <c r="D7" s="1303"/>
      <c r="E7" s="1301"/>
      <c r="F7" s="1304"/>
      <c r="G7" s="1304"/>
      <c r="H7" s="1305"/>
      <c r="I7" s="1306">
        <f t="shared" si="0"/>
        <v>0</v>
      </c>
    </row>
    <row r="8" spans="1:9">
      <c r="A8" s="3261"/>
      <c r="B8" s="3262" t="s">
        <v>1090</v>
      </c>
      <c r="C8" s="3262"/>
      <c r="D8" s="1303"/>
      <c r="E8" s="1301"/>
      <c r="F8" s="1304"/>
      <c r="G8" s="1304"/>
      <c r="H8" s="1305"/>
      <c r="I8" s="1306">
        <f t="shared" si="0"/>
        <v>0</v>
      </c>
    </row>
    <row r="9" spans="1:9">
      <c r="A9" s="3261"/>
      <c r="B9" s="3262" t="s">
        <v>1091</v>
      </c>
      <c r="C9" s="3262"/>
      <c r="D9" s="1303"/>
      <c r="E9" s="1301"/>
      <c r="F9" s="1304"/>
      <c r="G9" s="1304"/>
      <c r="H9" s="1305"/>
      <c r="I9" s="1306">
        <f t="shared" si="0"/>
        <v>0</v>
      </c>
    </row>
    <row r="10" spans="1:9">
      <c r="A10" s="3261"/>
      <c r="B10" s="3263" t="s">
        <v>1092</v>
      </c>
      <c r="C10" s="3263"/>
      <c r="D10" s="1307"/>
      <c r="E10" s="1307" t="e">
        <f>ROUND(D1*10000/D10/H9,0)</f>
        <v>#DIV/0!</v>
      </c>
      <c r="F10" s="1308"/>
      <c r="G10" s="1308"/>
      <c r="H10" s="1309"/>
      <c r="I10" s="1310">
        <f>SUM(I3:I9)</f>
        <v>0</v>
      </c>
    </row>
    <row r="11" spans="1:9" ht="14.25">
      <c r="A11" s="3261" t="s">
        <v>1093</v>
      </c>
      <c r="B11" s="3262" t="s">
        <v>1094</v>
      </c>
      <c r="C11" s="3262"/>
      <c r="D11" s="1303" t="s">
        <v>1095</v>
      </c>
      <c r="E11" s="1303" t="s">
        <v>1096</v>
      </c>
      <c r="F11" s="1304" t="s">
        <v>1097</v>
      </c>
      <c r="G11" s="1304" t="s">
        <v>1083</v>
      </c>
      <c r="H11" s="1311" t="s">
        <v>1098</v>
      </c>
      <c r="I11" s="1302" t="s">
        <v>1084</v>
      </c>
    </row>
    <row r="12" spans="1:9">
      <c r="A12" s="3261"/>
      <c r="B12" s="3262" t="s">
        <v>1099</v>
      </c>
      <c r="C12" s="3262"/>
      <c r="D12" s="1303"/>
      <c r="E12" s="1303"/>
      <c r="F12" s="1304"/>
      <c r="G12" s="1305"/>
      <c r="H12" s="1312"/>
      <c r="I12" s="1302">
        <f>ROUND(D12*E12*F12*G12/10000,0)</f>
        <v>0</v>
      </c>
    </row>
    <row r="13" spans="1:9">
      <c r="A13" s="3261"/>
      <c r="B13" s="3262" t="s">
        <v>1100</v>
      </c>
      <c r="C13" s="3262"/>
      <c r="D13" s="1303"/>
      <c r="E13" s="1303"/>
      <c r="F13" s="1304"/>
      <c r="G13" s="1305"/>
      <c r="H13" s="1312"/>
      <c r="I13" s="1302">
        <f>ROUND(D13*E13*F13*G13/10000,0)</f>
        <v>0</v>
      </c>
    </row>
    <row r="14" spans="1:9">
      <c r="A14" s="3261"/>
      <c r="B14" s="3262" t="s">
        <v>1101</v>
      </c>
      <c r="C14" s="3262"/>
      <c r="D14" s="1303"/>
      <c r="E14" s="1303"/>
      <c r="F14" s="1304"/>
      <c r="G14" s="1305"/>
      <c r="H14" s="1312"/>
      <c r="I14" s="1302">
        <f>ROUND(D14*E14*F14*G14/10000,0)</f>
        <v>0</v>
      </c>
    </row>
    <row r="15" spans="1:9">
      <c r="A15" s="3261"/>
      <c r="B15" s="3263" t="s">
        <v>1092</v>
      </c>
      <c r="C15" s="3263"/>
      <c r="D15" s="1307"/>
      <c r="E15" s="1307">
        <f>SUM(E12:E14)</f>
        <v>0</v>
      </c>
      <c r="F15" s="1308"/>
      <c r="G15" s="1305"/>
      <c r="H15" s="1312"/>
      <c r="I15" s="1313">
        <f>SUM(I12:I14)</f>
        <v>0</v>
      </c>
    </row>
    <row r="16" spans="1:9" ht="24">
      <c r="A16" s="3261" t="s">
        <v>1102</v>
      </c>
      <c r="B16" s="3262" t="s">
        <v>1103</v>
      </c>
      <c r="C16" s="3262"/>
      <c r="D16" s="1303" t="s">
        <v>1079</v>
      </c>
      <c r="E16" s="1314" t="s">
        <v>1104</v>
      </c>
      <c r="F16" s="1304" t="s">
        <v>1105</v>
      </c>
      <c r="G16" s="1305" t="s">
        <v>1083</v>
      </c>
      <c r="H16" s="1311" t="s">
        <v>1098</v>
      </c>
      <c r="I16" s="1302" t="s">
        <v>1084</v>
      </c>
    </row>
    <row r="17" spans="1:9" ht="14.25">
      <c r="A17" s="3261"/>
      <c r="B17" s="3262" t="s">
        <v>1106</v>
      </c>
      <c r="C17" s="3262"/>
      <c r="D17" s="1303"/>
      <c r="E17" s="1303"/>
      <c r="F17" s="1304"/>
      <c r="G17" s="1305"/>
      <c r="H17" s="1315"/>
      <c r="I17" s="1316">
        <f>ROUND(D17*E17*F17*G17/10000,0)</f>
        <v>0</v>
      </c>
    </row>
    <row r="18" spans="1:9" ht="14.25">
      <c r="A18" s="3261"/>
      <c r="B18" s="3262" t="s">
        <v>1107</v>
      </c>
      <c r="C18" s="3262"/>
      <c r="D18" s="1303"/>
      <c r="E18" s="1303"/>
      <c r="F18" s="1304"/>
      <c r="G18" s="1305"/>
      <c r="H18" s="1315"/>
      <c r="I18" s="1316">
        <f>ROUND(D18*E18*F18*G18/10000,0)</f>
        <v>0</v>
      </c>
    </row>
    <row r="19" spans="1:9" ht="14.25">
      <c r="A19" s="3261"/>
      <c r="B19" s="3262" t="s">
        <v>1108</v>
      </c>
      <c r="C19" s="3262"/>
      <c r="D19" s="1303"/>
      <c r="E19" s="1303"/>
      <c r="F19" s="1304"/>
      <c r="G19" s="1305"/>
      <c r="H19" s="1315"/>
      <c r="I19" s="1316">
        <f>ROUND(D19*E19*F19*G19/10000,0)</f>
        <v>0</v>
      </c>
    </row>
    <row r="20" spans="1:9">
      <c r="A20" s="3261"/>
      <c r="B20" s="3263" t="s">
        <v>1092</v>
      </c>
      <c r="C20" s="3263"/>
      <c r="D20" s="1307">
        <f>SUM(D17:D19)</f>
        <v>0</v>
      </c>
      <c r="E20" s="1307"/>
      <c r="F20" s="1308"/>
      <c r="G20" s="1305"/>
      <c r="H20" s="1312"/>
      <c r="I20" s="1313">
        <f>SUM(I17:I19)</f>
        <v>0</v>
      </c>
    </row>
    <row r="21" spans="1:9">
      <c r="A21" s="3261" t="s">
        <v>1109</v>
      </c>
      <c r="B21" s="3264"/>
      <c r="C21" s="3264"/>
      <c r="D21" s="3264"/>
      <c r="E21" s="3264"/>
      <c r="F21" s="3264"/>
      <c r="G21" s="3264"/>
      <c r="H21" s="1765">
        <v>0.1</v>
      </c>
      <c r="I21" s="1310">
        <f>ROUND(I10*H21,0)</f>
        <v>0</v>
      </c>
    </row>
    <row r="22" spans="1:9" ht="14.25">
      <c r="A22" s="3265" t="s">
        <v>1110</v>
      </c>
      <c r="B22" s="3266"/>
      <c r="C22" s="3267"/>
      <c r="D22" s="1317" t="s">
        <v>1111</v>
      </c>
      <c r="E22" s="1317" t="s">
        <v>1112</v>
      </c>
      <c r="F22" s="1318" t="s">
        <v>1113</v>
      </c>
      <c r="G22" s="1318" t="s">
        <v>1114</v>
      </c>
      <c r="H22" s="1311" t="s">
        <v>1115</v>
      </c>
      <c r="I22" s="1302" t="s">
        <v>1116</v>
      </c>
    </row>
    <row r="23" spans="1:9" ht="14.25" thickBot="1">
      <c r="A23" s="3268"/>
      <c r="B23" s="3269"/>
      <c r="C23" s="3270"/>
      <c r="D23" s="1319"/>
      <c r="E23" s="1319"/>
      <c r="F23" s="1319"/>
      <c r="G23" s="1320"/>
      <c r="H23" s="1321"/>
      <c r="I23" s="1322">
        <f>ROUND(E23*D23*F23*(1-G23)/10000,0)</f>
        <v>0</v>
      </c>
    </row>
    <row r="26" spans="1:9">
      <c r="A26" s="1323" t="s">
        <v>1117</v>
      </c>
      <c r="B26" s="1323"/>
      <c r="C26" s="1323"/>
      <c r="D26" s="1323"/>
      <c r="E26" s="3258">
        <f>C27-C30-C31-C32</f>
        <v>0</v>
      </c>
      <c r="F26" s="3258"/>
      <c r="G26" s="3258"/>
      <c r="H26" s="1737" t="s">
        <v>1340</v>
      </c>
    </row>
    <row r="27" spans="1:9">
      <c r="A27" s="1324">
        <v>1</v>
      </c>
      <c r="B27" s="1325" t="s">
        <v>1118</v>
      </c>
      <c r="C27" s="1325">
        <f>C28+C29</f>
        <v>0</v>
      </c>
      <c r="D27" s="1325"/>
      <c r="E27" s="3259"/>
      <c r="F27" s="3259"/>
      <c r="G27" s="3259"/>
    </row>
    <row r="28" spans="1:9">
      <c r="A28" s="1326" t="s">
        <v>1119</v>
      </c>
      <c r="B28" s="1325" t="s">
        <v>1120</v>
      </c>
      <c r="C28" s="1325"/>
      <c r="D28" s="1325"/>
      <c r="E28" s="3259"/>
      <c r="F28" s="3259"/>
      <c r="G28" s="325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0"/>
      <c r="F32" s="3260"/>
      <c r="G32" s="3260"/>
    </row>
    <row r="33" spans="1:7" hidden="1">
      <c r="A33" s="3255" t="s">
        <v>1129</v>
      </c>
      <c r="B33" s="3256"/>
      <c r="C33" s="3256"/>
      <c r="D33" s="3257"/>
      <c r="E33" s="3258"/>
      <c r="F33" s="3258"/>
      <c r="G33" s="3258"/>
    </row>
    <row r="34" spans="1:7" hidden="1">
      <c r="A34" s="1328">
        <v>1</v>
      </c>
      <c r="B34" s="1325" t="s">
        <v>1130</v>
      </c>
      <c r="C34" s="1325"/>
      <c r="D34" s="1325"/>
      <c r="E34" s="3259"/>
      <c r="F34" s="3259"/>
      <c r="G34" s="3259"/>
    </row>
    <row r="35" spans="1:7" hidden="1">
      <c r="A35" s="1328">
        <v>2</v>
      </c>
      <c r="B35" s="1325" t="s">
        <v>1131</v>
      </c>
      <c r="C35" s="1325"/>
      <c r="D35" s="1325"/>
      <c r="E35" s="3259"/>
      <c r="F35" s="3259"/>
      <c r="G35" s="3259"/>
    </row>
    <row r="36" spans="1:7" hidden="1">
      <c r="A36" s="1328">
        <v>3</v>
      </c>
      <c r="B36" s="1325" t="s">
        <v>1132</v>
      </c>
      <c r="C36" s="1325"/>
      <c r="D36" s="1325"/>
      <c r="E36" s="3259"/>
      <c r="F36" s="3259"/>
      <c r="G36" s="3259"/>
    </row>
    <row r="37" spans="1:7" hidden="1">
      <c r="A37" s="1328">
        <v>4</v>
      </c>
      <c r="B37" s="1325" t="s">
        <v>1133</v>
      </c>
      <c r="C37" s="1325"/>
      <c r="D37" s="1325"/>
      <c r="E37" s="3259"/>
      <c r="F37" s="3259"/>
      <c r="G37" s="3259"/>
    </row>
    <row r="38" spans="1:7" hidden="1">
      <c r="A38" s="3255" t="s">
        <v>1134</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11931.94平方米，建筑面积为32573.12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32573.12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工业用地，土地取得方式为出让，出让国有建设用地使用权剩余土地使用年限为45.61，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2532</v>
      </c>
      <c r="C1" s="1634" t="s">
        <v>2533</v>
      </c>
      <c r="D1" s="1621"/>
      <c r="E1" s="2583"/>
      <c r="F1" s="2584" t="s">
        <v>2534</v>
      </c>
      <c r="G1" s="1631" t="s">
        <v>2535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32573.120000000003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2538</v>
      </c>
      <c r="B4" s="402"/>
      <c r="C4" s="3179" t="s">
        <v>2539</v>
      </c>
      <c r="D4" s="3207"/>
      <c r="E4" s="3208" t="s">
        <v>2540</v>
      </c>
      <c r="F4" s="3209"/>
      <c r="G4" s="3179" t="s">
        <v>2541</v>
      </c>
      <c r="H4" s="3207"/>
      <c r="I4" s="3179" t="s">
        <v>2542</v>
      </c>
      <c r="J4" s="3207"/>
      <c r="K4" s="2596" t="s">
        <v>2543</v>
      </c>
      <c r="L4" s="1130"/>
      <c r="M4" s="1131"/>
      <c r="N4" s="1131"/>
      <c r="O4" s="1131"/>
      <c r="P4" s="3210" t="s">
        <v>2544</v>
      </c>
      <c r="Q4" s="3211"/>
      <c r="R4" s="3186" t="s">
        <v>2540</v>
      </c>
      <c r="S4" s="3187"/>
      <c r="T4" s="3186" t="s">
        <v>2541</v>
      </c>
      <c r="U4" s="3187"/>
      <c r="V4" s="3200" t="s">
        <v>2542</v>
      </c>
      <c r="W4" s="3200"/>
      <c r="X4" s="1813"/>
      <c r="Y4" s="3186" t="s">
        <v>2544</v>
      </c>
      <c r="Z4" s="3187"/>
      <c r="AA4" s="3204" t="s">
        <v>2540</v>
      </c>
      <c r="AB4" s="3204" t="s">
        <v>2541</v>
      </c>
      <c r="AC4" s="3204" t="s">
        <v>2542</v>
      </c>
    </row>
    <row r="5" spans="1:29" ht="15">
      <c r="A5" s="404"/>
      <c r="B5" s="405"/>
      <c r="C5" s="3190" t="s">
        <v>2545</v>
      </c>
      <c r="D5" s="3191"/>
      <c r="E5" s="3277" t="s">
        <v>2546</v>
      </c>
      <c r="F5" s="3217"/>
      <c r="G5" s="3190" t="s">
        <v>2547</v>
      </c>
      <c r="H5" s="3191"/>
      <c r="I5" s="3190" t="s">
        <v>2548</v>
      </c>
      <c r="J5" s="3191"/>
      <c r="K5" s="2597"/>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2597"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4" t="s">
        <v>2552</v>
      </c>
      <c r="Q7" s="3195"/>
      <c r="R7" s="770" t="s">
        <v>23</v>
      </c>
      <c r="S7" s="771">
        <f t="shared" ref="S7:S15" si="0">F7</f>
        <v>0</v>
      </c>
      <c r="T7" s="770" t="s">
        <v>23</v>
      </c>
      <c r="U7" s="771">
        <f t="shared" ref="U7:U15" si="1">H7</f>
        <v>0</v>
      </c>
      <c r="V7" s="770" t="s">
        <v>23</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4" t="s">
        <v>2555</v>
      </c>
      <c r="Q8" s="3185"/>
      <c r="R8" s="770" t="s">
        <v>23</v>
      </c>
      <c r="S8" s="771">
        <f t="shared" si="0"/>
        <v>0</v>
      </c>
      <c r="T8" s="770" t="s">
        <v>23</v>
      </c>
      <c r="U8" s="771">
        <f t="shared" si="1"/>
        <v>0</v>
      </c>
      <c r="V8" s="770" t="s">
        <v>23</v>
      </c>
      <c r="W8" s="771">
        <f t="shared" si="2"/>
        <v>0</v>
      </c>
      <c r="X8" s="772"/>
      <c r="Y8" s="3184" t="s">
        <v>2555</v>
      </c>
      <c r="Z8" s="318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1"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2562</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2563</v>
      </c>
      <c r="Q15" s="1810" t="str">
        <f t="shared" si="6"/>
        <v>居住社区成熟度</v>
      </c>
      <c r="R15" s="774" t="s">
        <v>21</v>
      </c>
      <c r="S15" s="775">
        <f t="shared" si="0"/>
        <v>100</v>
      </c>
      <c r="T15" s="774" t="s">
        <v>21</v>
      </c>
      <c r="U15" s="775">
        <f t="shared" si="1"/>
        <v>100</v>
      </c>
      <c r="V15" s="774" t="s">
        <v>21</v>
      </c>
      <c r="W15" s="775">
        <f t="shared" si="2"/>
        <v>100</v>
      </c>
      <c r="X15" s="1813"/>
      <c r="Y15" s="3201" t="s">
        <v>2563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20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2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2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2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2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2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202"/>
      <c r="Z31" s="1814">
        <f t="shared" si="18"/>
        <v>111</v>
      </c>
      <c r="AA31" s="1811">
        <f t="shared" si="15"/>
        <v>1</v>
      </c>
      <c r="AB31" s="1811">
        <f t="shared" si="16"/>
        <v>1</v>
      </c>
      <c r="AC31" s="1811">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29" t="s">
        <v>2568</v>
      </c>
      <c r="Q32" s="1810" t="str">
        <f t="shared" si="11"/>
        <v>建筑类型</v>
      </c>
      <c r="R32" s="774" t="s">
        <v>21</v>
      </c>
      <c r="S32" s="775">
        <f t="shared" si="12"/>
        <v>100</v>
      </c>
      <c r="T32" s="774" t="s">
        <v>21</v>
      </c>
      <c r="U32" s="775">
        <f t="shared" si="13"/>
        <v>100</v>
      </c>
      <c r="V32" s="774" t="s">
        <v>21</v>
      </c>
      <c r="W32" s="775">
        <f t="shared" si="14"/>
        <v>100</v>
      </c>
      <c r="X32" s="1813"/>
      <c r="Y32" s="3203"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1" t="e">
        <f t="shared" si="15"/>
        <v>#N/A</v>
      </c>
      <c r="AB33" s="1811" t="e">
        <f t="shared" si="16"/>
        <v>#N/A</v>
      </c>
      <c r="AC33" s="1811"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03"/>
      <c r="Z34" s="1814" t="str">
        <f t="shared" si="18"/>
        <v>建筑结构</v>
      </c>
      <c r="AA34" s="1811">
        <f t="shared" si="15"/>
        <v>1</v>
      </c>
      <c r="AB34" s="1811">
        <f t="shared" si="16"/>
        <v>1</v>
      </c>
      <c r="AC34" s="1811">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03"/>
      <c r="Z35" s="1814" t="str">
        <f t="shared" si="18"/>
        <v>建筑品质</v>
      </c>
      <c r="AA35" s="1811">
        <f t="shared" si="15"/>
        <v>1</v>
      </c>
      <c r="AB35" s="1811">
        <f t="shared" si="16"/>
        <v>1</v>
      </c>
      <c r="AC35" s="1811">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0" t="s">
        <v>2568</v>
      </c>
      <c r="Q38" s="1810" t="str">
        <f t="shared" si="11"/>
        <v>物业管理</v>
      </c>
      <c r="R38" s="774" t="s">
        <v>21</v>
      </c>
      <c r="S38" s="775">
        <f t="shared" si="12"/>
        <v>100</v>
      </c>
      <c r="T38" s="774" t="s">
        <v>21</v>
      </c>
      <c r="U38" s="775">
        <f t="shared" si="13"/>
        <v>100</v>
      </c>
      <c r="V38" s="774" t="s">
        <v>21</v>
      </c>
      <c r="W38" s="775">
        <f t="shared" si="14"/>
        <v>100</v>
      </c>
      <c r="X38" s="1813"/>
      <c r="Y38" s="3203" t="s">
        <v>2568</v>
      </c>
      <c r="Z38" s="1814" t="str">
        <f t="shared" si="18"/>
        <v>物业管理</v>
      </c>
      <c r="AA38" s="1811">
        <f t="shared" si="15"/>
        <v>1</v>
      </c>
      <c r="AB38" s="1811">
        <f t="shared" si="16"/>
        <v>1</v>
      </c>
      <c r="AC38" s="1811">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03"/>
      <c r="Z39" s="1814" t="str">
        <f t="shared" si="18"/>
        <v>市政基础设施</v>
      </c>
      <c r="AA39" s="1811">
        <f t="shared" si="15"/>
        <v>1</v>
      </c>
      <c r="AB39" s="1811">
        <f t="shared" si="16"/>
        <v>1</v>
      </c>
      <c r="AC39" s="1811">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03"/>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1">
        <f t="shared" si="15"/>
        <v>1</v>
      </c>
      <c r="AB41" s="1811">
        <f t="shared" si="16"/>
        <v>1</v>
      </c>
      <c r="AC41" s="1811">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03"/>
      <c r="Z42" s="1814" t="str">
        <f t="shared" si="18"/>
        <v>内部装修</v>
      </c>
      <c r="AA42" s="1811">
        <f t="shared" si="15"/>
        <v>1</v>
      </c>
      <c r="AB42" s="1811">
        <f t="shared" si="16"/>
        <v>1</v>
      </c>
      <c r="AC42" s="1811">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03"/>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1"/>
      <c r="L47" s="1143"/>
      <c r="M47" s="1144"/>
      <c r="N47" s="1131"/>
      <c r="O47" s="1144"/>
      <c r="P47" s="3182" t="str">
        <f>A47</f>
        <v>成交单价（元/平方米）</v>
      </c>
      <c r="Q47" s="3182"/>
      <c r="R47" s="3223">
        <f>E47</f>
        <v>0</v>
      </c>
      <c r="S47" s="3223"/>
      <c r="T47" s="3223">
        <f>G47</f>
        <v>0</v>
      </c>
      <c r="U47" s="3223"/>
      <c r="V47" s="3223">
        <f>I47</f>
        <v>0</v>
      </c>
      <c r="W47" s="3223"/>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3"/>
      <c r="L49" s="1143"/>
      <c r="M49" s="1144"/>
      <c r="N49" s="1144"/>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6"/>
      <c r="Q57" s="504"/>
    </row>
    <row r="58" spans="1:29" s="508" customFormat="1" ht="15">
      <c r="A58" s="505" t="s">
        <v>2587</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2566</v>
      </c>
      <c r="B100" s="528" t="s">
        <v>2615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4">
        <v>6</v>
      </c>
      <c r="C139" s="1085">
        <v>96</v>
      </c>
      <c r="D139" s="2648" t="s">
        <v>2634</v>
      </c>
      <c r="E139" s="1086">
        <v>100</v>
      </c>
      <c r="F139" s="1087">
        <v>102.5</v>
      </c>
      <c r="G139" s="2648" t="s">
        <v>2634</v>
      </c>
      <c r="H139" s="1088">
        <v>105</v>
      </c>
      <c r="I139" s="2649" t="s">
        <v>2635</v>
      </c>
      <c r="J139" s="1085">
        <v>20</v>
      </c>
      <c r="K139" s="1089">
        <f>C145/(J139-2)</f>
        <v>4.0555555555555553E-3</v>
      </c>
    </row>
    <row r="140" spans="1:17" ht="15">
      <c r="B140" s="1090">
        <v>5</v>
      </c>
      <c r="C140" s="1091">
        <v>100</v>
      </c>
      <c r="D140" s="1091"/>
      <c r="E140" s="1092"/>
      <c r="F140" s="1093">
        <v>102</v>
      </c>
      <c r="G140" s="1091"/>
      <c r="H140" s="1094"/>
      <c r="I140" s="2650" t="s">
        <v>2636</v>
      </c>
      <c r="J140" s="315">
        <f>ROUNDUP((J139-1)/2,0)</f>
        <v>10</v>
      </c>
      <c r="K140" s="1095">
        <v>100</v>
      </c>
    </row>
    <row r="141" spans="1:17" ht="15">
      <c r="B141" s="1090">
        <v>4</v>
      </c>
      <c r="C141" s="1091">
        <v>102</v>
      </c>
      <c r="D141" s="1091"/>
      <c r="E141" s="1092"/>
      <c r="F141" s="1093">
        <v>101.5</v>
      </c>
      <c r="G141" s="1091"/>
      <c r="H141" s="1094"/>
      <c r="I141" s="2650" t="s">
        <v>2637</v>
      </c>
      <c r="J141" s="315">
        <v>1</v>
      </c>
      <c r="K141" s="1096">
        <f>ROUND(100+(J141-J140)*K139*100,1)</f>
        <v>96.4</v>
      </c>
    </row>
    <row r="142" spans="1:17" ht="15">
      <c r="B142" s="1090">
        <v>3</v>
      </c>
      <c r="C142" s="1091">
        <v>103</v>
      </c>
      <c r="D142" s="1091"/>
      <c r="E142" s="1092"/>
      <c r="F142" s="1093">
        <v>101</v>
      </c>
      <c r="G142" s="1091"/>
      <c r="H142" s="1094"/>
      <c r="I142" s="2650" t="s">
        <v>2638</v>
      </c>
      <c r="J142" s="315">
        <f>J139</f>
        <v>20</v>
      </c>
      <c r="K142" s="1097">
        <v>95</v>
      </c>
    </row>
    <row r="143" spans="1:17" ht="15">
      <c r="B143" s="1090">
        <v>2</v>
      </c>
      <c r="C143" s="1091">
        <v>100</v>
      </c>
      <c r="D143" s="1091"/>
      <c r="E143" s="1092"/>
      <c r="F143" s="1093">
        <v>100.5</v>
      </c>
      <c r="G143" s="1091"/>
      <c r="H143" s="1094"/>
      <c r="I143" s="2650" t="s">
        <v>2639</v>
      </c>
      <c r="J143" s="1091">
        <v>15</v>
      </c>
      <c r="K143" s="1096">
        <f>ROUND(100+(J143-J140)*K139*100,1)</f>
        <v>102</v>
      </c>
    </row>
    <row r="144" spans="1:17" ht="15">
      <c r="B144" s="1090">
        <v>1</v>
      </c>
      <c r="C144" s="1091">
        <v>98</v>
      </c>
      <c r="D144" s="2651" t="s">
        <v>2640</v>
      </c>
      <c r="E144" s="1092">
        <v>102</v>
      </c>
      <c r="F144" s="1098">
        <v>100</v>
      </c>
      <c r="G144" s="2651" t="s">
        <v>2640</v>
      </c>
      <c r="H144" s="1094">
        <v>105</v>
      </c>
      <c r="I144" s="2650" t="s">
        <v>2639</v>
      </c>
      <c r="J144" s="1091">
        <v>18</v>
      </c>
      <c r="K144" s="1096">
        <f>ROUND(100+(J144-J140)*K139*100,1)</f>
        <v>103.2</v>
      </c>
    </row>
    <row r="145" spans="2:11" ht="15.75" thickBot="1">
      <c r="B145" s="2652" t="s">
        <v>2641</v>
      </c>
      <c r="C145" s="1099">
        <f>ROUND(MAX(C139:C144)/MIN(C139:C144)-1,3)</f>
        <v>7.2999999999999995E-2</v>
      </c>
      <c r="D145" s="1100"/>
      <c r="E145" s="1100"/>
      <c r="F145" s="2653" t="s">
        <v>2642</v>
      </c>
      <c r="G145" s="2654"/>
      <c r="H145" s="2655"/>
      <c r="I145" s="2656" t="s">
        <v>2639</v>
      </c>
      <c r="J145" s="1101">
        <v>8</v>
      </c>
      <c r="K145" s="1102">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2645</v>
      </c>
      <c r="C1" s="1634" t="s">
        <v>2533</v>
      </c>
      <c r="D1" s="1621"/>
      <c r="E1" s="2657"/>
      <c r="F1" s="2584"/>
      <c r="G1" s="1631" t="s">
        <v>2646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2647</v>
      </c>
      <c r="D3" s="399">
        <f>IF(D1="",'数据-汇总表'!E3,SUMIF('数据-汇总表'!$C19:$C33,D1,'数据-汇总表'!$E19:$E33))</f>
        <v>32573.120000000003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0"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0"/>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0"/>
      <c r="AC6" s="3206"/>
    </row>
    <row r="7" spans="1:29" s="117" customFormat="1" ht="15.75" thickBot="1">
      <c r="A7" s="408" t="s">
        <v>2551</v>
      </c>
      <c r="B7" s="409"/>
      <c r="C7" s="410">
        <f>'数据-取费表'!B2</f>
        <v>43276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2563</v>
      </c>
      <c r="Q15" s="1810" t="str">
        <f t="shared" si="6"/>
        <v>商业繁华度</v>
      </c>
      <c r="R15" s="774" t="s">
        <v>17</v>
      </c>
      <c r="S15" s="775">
        <f t="shared" si="0"/>
        <v>100</v>
      </c>
      <c r="T15" s="774" t="s">
        <v>17</v>
      </c>
      <c r="U15" s="775">
        <f t="shared" si="1"/>
        <v>100</v>
      </c>
      <c r="V15" s="774" t="s">
        <v>17</v>
      </c>
      <c r="W15" s="775">
        <f t="shared" si="2"/>
        <v>100</v>
      </c>
      <c r="X15" s="1813"/>
      <c r="Y15" s="3201"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202"/>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202"/>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202"/>
      <c r="Z26" s="1814" t="str">
        <f>Q26</f>
        <v>平面位置/可视性</v>
      </c>
      <c r="AA26" s="1811">
        <f t="shared" si="3"/>
        <v>1</v>
      </c>
      <c r="AB26" s="1811">
        <f t="shared" si="4"/>
        <v>1</v>
      </c>
      <c r="AC26" s="1811">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202"/>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20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1811">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9" t="s">
        <v>2568</v>
      </c>
      <c r="Q32" s="1810" t="str">
        <f t="shared" si="11"/>
        <v>商业类型</v>
      </c>
      <c r="R32" s="774" t="s">
        <v>17</v>
      </c>
      <c r="S32" s="775">
        <f t="shared" si="12"/>
        <v>100</v>
      </c>
      <c r="T32" s="774" t="s">
        <v>17</v>
      </c>
      <c r="U32" s="775">
        <f t="shared" si="13"/>
        <v>100</v>
      </c>
      <c r="V32" s="774" t="s">
        <v>17</v>
      </c>
      <c r="W32" s="775">
        <f t="shared" si="14"/>
        <v>100</v>
      </c>
      <c r="X32" s="1813"/>
      <c r="Y32" s="3203"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1" t="e">
        <f t="shared" si="3"/>
        <v>#N/A</v>
      </c>
      <c r="AB33" s="1811" t="e">
        <f t="shared" si="4"/>
        <v>#N/A</v>
      </c>
      <c r="AC33" s="1811"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03"/>
      <c r="Z34" s="1814" t="str">
        <f t="shared" si="15"/>
        <v>建筑结构</v>
      </c>
      <c r="AA34" s="1811">
        <f t="shared" si="3"/>
        <v>1</v>
      </c>
      <c r="AB34" s="1811">
        <f t="shared" si="4"/>
        <v>1</v>
      </c>
      <c r="AC34" s="1811">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203"/>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203"/>
      <c r="Z36" s="1814" t="str">
        <f t="shared" si="15"/>
        <v>成新度</v>
      </c>
      <c r="AA36" s="1811" t="e">
        <f t="shared" si="3"/>
        <v>#N/A</v>
      </c>
      <c r="AB36" s="1811" t="e">
        <f t="shared" si="4"/>
        <v>#N/A</v>
      </c>
      <c r="AC36" s="1811"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0" t="s">
        <v>2568</v>
      </c>
      <c r="Q38" s="1810" t="str">
        <f t="shared" si="11"/>
        <v>业态</v>
      </c>
      <c r="R38" s="774" t="s">
        <v>17</v>
      </c>
      <c r="S38" s="775">
        <f t="shared" si="12"/>
        <v>100</v>
      </c>
      <c r="T38" s="774" t="s">
        <v>17</v>
      </c>
      <c r="U38" s="775">
        <f t="shared" si="13"/>
        <v>100</v>
      </c>
      <c r="V38" s="774" t="s">
        <v>17</v>
      </c>
      <c r="W38" s="775">
        <f t="shared" si="14"/>
        <v>100</v>
      </c>
      <c r="X38" s="1813"/>
      <c r="Y38" s="3203" t="s">
        <v>2568</v>
      </c>
      <c r="Z38" s="1814" t="str">
        <f t="shared" si="15"/>
        <v>业态</v>
      </c>
      <c r="AA38" s="1811">
        <f t="shared" si="3"/>
        <v>1</v>
      </c>
      <c r="AB38" s="1811">
        <f t="shared" si="4"/>
        <v>1</v>
      </c>
      <c r="AC38" s="1811">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03"/>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1">
        <f t="shared" si="3"/>
        <v>1</v>
      </c>
      <c r="AB41" s="1811">
        <f t="shared" si="4"/>
        <v>1</v>
      </c>
      <c r="AC41" s="1811">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203"/>
      <c r="Z42" s="1814" t="str">
        <f t="shared" si="15"/>
        <v>内部装修</v>
      </c>
      <c r="AA42" s="1811">
        <f t="shared" si="3"/>
        <v>1</v>
      </c>
      <c r="AB42" s="1811">
        <f t="shared" si="4"/>
        <v>1</v>
      </c>
      <c r="AC42" s="1811">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20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03"/>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182" t="str">
        <f>A47</f>
        <v>成交单价（元/平方米）</v>
      </c>
      <c r="Q47" s="3182"/>
      <c r="R47" s="3200">
        <f>E47</f>
        <v>0</v>
      </c>
      <c r="S47" s="3200"/>
      <c r="T47" s="3200">
        <f>G47</f>
        <v>0</v>
      </c>
      <c r="U47" s="3200"/>
      <c r="V47" s="3200">
        <f>I47</f>
        <v>0</v>
      </c>
      <c r="W47" s="3200"/>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2551</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2566</v>
      </c>
      <c r="B100" s="528" t="s">
        <v>2684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2705</v>
      </c>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32573.120000000003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2563</v>
      </c>
      <c r="Q15" s="1810" t="str">
        <f t="shared" si="6"/>
        <v>产业集聚程度</v>
      </c>
      <c r="R15" s="774" t="s">
        <v>17</v>
      </c>
      <c r="S15" s="775">
        <f t="shared" si="0"/>
        <v>100</v>
      </c>
      <c r="T15" s="774" t="s">
        <v>17</v>
      </c>
      <c r="U15" s="775">
        <f t="shared" si="1"/>
        <v>100</v>
      </c>
      <c r="V15" s="774" t="s">
        <v>17</v>
      </c>
      <c r="W15" s="775">
        <f t="shared" si="2"/>
        <v>100</v>
      </c>
      <c r="X15" s="1813"/>
      <c r="Y15" s="3201"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2"/>
      <c r="Q18" s="1810"/>
      <c r="R18" s="774"/>
      <c r="S18" s="775"/>
      <c r="T18" s="774"/>
      <c r="U18" s="775"/>
      <c r="V18" s="774"/>
      <c r="W18" s="775"/>
      <c r="X18" s="1813"/>
      <c r="Y18" s="3202"/>
      <c r="Z18" s="1814"/>
      <c r="AA18" s="1811">
        <v>1</v>
      </c>
      <c r="AB18" s="1811">
        <v>1</v>
      </c>
      <c r="AC18" s="1811">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2"/>
      <c r="Q20" s="1810"/>
      <c r="R20" s="774"/>
      <c r="S20" s="775"/>
      <c r="T20" s="774"/>
      <c r="U20" s="775"/>
      <c r="V20" s="774"/>
      <c r="W20" s="775"/>
      <c r="X20" s="1813"/>
      <c r="Y20" s="3202"/>
      <c r="Z20" s="1814"/>
      <c r="AA20" s="1811">
        <v>1</v>
      </c>
      <c r="AB20" s="1811">
        <v>1</v>
      </c>
      <c r="AC20" s="1811">
        <v>1</v>
      </c>
    </row>
    <row r="21" spans="1:29" ht="28.5">
      <c r="A21" s="428"/>
      <c r="B21" s="1384"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2"/>
      <c r="Q22" s="1810"/>
      <c r="R22" s="774"/>
      <c r="S22" s="775"/>
      <c r="T22" s="774"/>
      <c r="U22" s="775"/>
      <c r="V22" s="774"/>
      <c r="W22" s="775"/>
      <c r="X22" s="1813"/>
      <c r="Y22" s="3202"/>
      <c r="Z22" s="1814"/>
      <c r="AA22" s="1811">
        <v>1</v>
      </c>
      <c r="AB22" s="1811">
        <v>1</v>
      </c>
      <c r="AC22" s="1811">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2"/>
      <c r="Q24" s="1810"/>
      <c r="R24" s="774"/>
      <c r="S24" s="775"/>
      <c r="T24" s="774"/>
      <c r="U24" s="775"/>
      <c r="V24" s="774"/>
      <c r="W24" s="775"/>
      <c r="X24" s="1813"/>
      <c r="Y24" s="32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10">
        <f>B25</f>
        <v>111</v>
      </c>
      <c r="R25" s="774" t="s">
        <v>17</v>
      </c>
      <c r="S25" s="775">
        <f>F25</f>
        <v>100</v>
      </c>
      <c r="T25" s="774" t="s">
        <v>17</v>
      </c>
      <c r="U25" s="775">
        <f>H25</f>
        <v>100</v>
      </c>
      <c r="V25" s="774" t="s">
        <v>17</v>
      </c>
      <c r="W25" s="775">
        <f>J25</f>
        <v>100</v>
      </c>
      <c r="X25" s="1813"/>
      <c r="Y25" s="32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10">
        <f t="shared" ref="Q26:Q40" si="11">B26</f>
        <v>111</v>
      </c>
      <c r="R26" s="774" t="s">
        <v>17</v>
      </c>
      <c r="S26" s="775">
        <f>F26</f>
        <v>100</v>
      </c>
      <c r="T26" s="774" t="s">
        <v>17</v>
      </c>
      <c r="U26" s="775">
        <f>H26</f>
        <v>100</v>
      </c>
      <c r="V26" s="774" t="s">
        <v>17</v>
      </c>
      <c r="W26" s="775">
        <f>J26</f>
        <v>100</v>
      </c>
      <c r="X26" s="1813"/>
      <c r="Y26" s="32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5">
        <f t="shared" si="11"/>
        <v>111</v>
      </c>
      <c r="R27" s="770" t="s">
        <v>17</v>
      </c>
      <c r="S27" s="771">
        <f>F27</f>
        <v>100</v>
      </c>
      <c r="T27" s="770" t="s">
        <v>17</v>
      </c>
      <c r="U27" s="771">
        <f>H27</f>
        <v>100</v>
      </c>
      <c r="V27" s="770" t="s">
        <v>17</v>
      </c>
      <c r="W27" s="771">
        <f>J27</f>
        <v>100</v>
      </c>
      <c r="X27" s="772"/>
      <c r="Y27" s="32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10">
        <f t="shared" si="11"/>
        <v>111</v>
      </c>
      <c r="R28" s="774" t="s">
        <v>17</v>
      </c>
      <c r="S28" s="775">
        <f t="shared" ref="S28:S40" si="12">F28</f>
        <v>100</v>
      </c>
      <c r="T28" s="774" t="s">
        <v>17</v>
      </c>
      <c r="U28" s="775">
        <f t="shared" ref="U28:U40" si="13">H28</f>
        <v>100</v>
      </c>
      <c r="V28" s="774" t="s">
        <v>17</v>
      </c>
      <c r="W28" s="775">
        <f t="shared" ref="W28:W40" si="14">J28</f>
        <v>100</v>
      </c>
      <c r="X28" s="1813"/>
      <c r="Y28" s="3202"/>
      <c r="Z28" s="1814">
        <f t="shared" ref="Z28:Z40" si="15">Q28</f>
        <v>111</v>
      </c>
      <c r="AA28" s="1811">
        <f t="shared" si="3"/>
        <v>1</v>
      </c>
      <c r="AB28" s="1811">
        <f t="shared" si="4"/>
        <v>1</v>
      </c>
      <c r="AC28" s="1811">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8" t="s">
        <v>2568</v>
      </c>
      <c r="Q29" s="1810" t="str">
        <f t="shared" si="11"/>
        <v>建筑类型</v>
      </c>
      <c r="R29" s="774" t="s">
        <v>17</v>
      </c>
      <c r="S29" s="775">
        <f t="shared" si="12"/>
        <v>100</v>
      </c>
      <c r="T29" s="774" t="s">
        <v>17</v>
      </c>
      <c r="U29" s="775">
        <f t="shared" si="13"/>
        <v>100</v>
      </c>
      <c r="V29" s="774" t="s">
        <v>17</v>
      </c>
      <c r="W29" s="775">
        <f t="shared" si="14"/>
        <v>100</v>
      </c>
      <c r="X29" s="1813"/>
      <c r="Y29" s="3203"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4" t="s">
        <v>17</v>
      </c>
      <c r="S31" s="775">
        <f t="shared" si="12"/>
        <v>100</v>
      </c>
      <c r="T31" s="774" t="s">
        <v>17</v>
      </c>
      <c r="U31" s="775">
        <f t="shared" si="13"/>
        <v>100</v>
      </c>
      <c r="V31" s="774" t="s">
        <v>17</v>
      </c>
      <c r="W31" s="775">
        <f t="shared" si="14"/>
        <v>100</v>
      </c>
      <c r="X31" s="1813"/>
      <c r="Y31" s="3203"/>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4" t="s">
        <v>17</v>
      </c>
      <c r="S32" s="775">
        <f t="shared" si="12"/>
        <v>100</v>
      </c>
      <c r="T32" s="774" t="s">
        <v>17</v>
      </c>
      <c r="U32" s="775">
        <f t="shared" si="13"/>
        <v>100</v>
      </c>
      <c r="V32" s="774" t="s">
        <v>17</v>
      </c>
      <c r="W32" s="775">
        <f t="shared" si="14"/>
        <v>100</v>
      </c>
      <c r="X32" s="1813"/>
      <c r="Y32" s="3203"/>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4" t="s">
        <v>17</v>
      </c>
      <c r="S33" s="775" t="e">
        <f t="shared" si="12"/>
        <v>#N/A</v>
      </c>
      <c r="T33" s="774" t="s">
        <v>17</v>
      </c>
      <c r="U33" s="775" t="e">
        <f t="shared" si="13"/>
        <v>#N/A</v>
      </c>
      <c r="V33" s="774" t="s">
        <v>17</v>
      </c>
      <c r="W33" s="775"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2568</v>
      </c>
      <c r="Q35" s="1810" t="str">
        <f t="shared" si="11"/>
        <v>市政基础设施</v>
      </c>
      <c r="R35" s="774" t="s">
        <v>17</v>
      </c>
      <c r="S35" s="775">
        <f t="shared" si="12"/>
        <v>100</v>
      </c>
      <c r="T35" s="774" t="s">
        <v>17</v>
      </c>
      <c r="U35" s="775">
        <f t="shared" si="13"/>
        <v>100</v>
      </c>
      <c r="V35" s="774" t="s">
        <v>17</v>
      </c>
      <c r="W35" s="775">
        <f t="shared" si="14"/>
        <v>100</v>
      </c>
      <c r="X35" s="1813"/>
      <c r="Y35" s="3203"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4" t="s">
        <v>17</v>
      </c>
      <c r="S36" s="775">
        <f t="shared" si="12"/>
        <v>100</v>
      </c>
      <c r="T36" s="774" t="s">
        <v>17</v>
      </c>
      <c r="U36" s="775">
        <f t="shared" si="13"/>
        <v>100</v>
      </c>
      <c r="V36" s="774" t="s">
        <v>17</v>
      </c>
      <c r="W36" s="775">
        <f t="shared" si="14"/>
        <v>100</v>
      </c>
      <c r="X36" s="1813"/>
      <c r="Y36" s="3203"/>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4" t="s">
        <v>17</v>
      </c>
      <c r="S37" s="775">
        <f t="shared" si="12"/>
        <v>100</v>
      </c>
      <c r="T37" s="774" t="s">
        <v>17</v>
      </c>
      <c r="U37" s="775">
        <f t="shared" si="13"/>
        <v>100</v>
      </c>
      <c r="V37" s="774" t="s">
        <v>17</v>
      </c>
      <c r="W37" s="775">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4" t="s">
        <v>17</v>
      </c>
      <c r="S39" s="775">
        <f t="shared" si="12"/>
        <v>100</v>
      </c>
      <c r="T39" s="774" t="s">
        <v>17</v>
      </c>
      <c r="U39" s="775">
        <f t="shared" si="13"/>
        <v>100</v>
      </c>
      <c r="V39" s="774" t="s">
        <v>17</v>
      </c>
      <c r="W39" s="775">
        <f t="shared" si="14"/>
        <v>100</v>
      </c>
      <c r="X39" s="1813"/>
      <c r="Y39" s="3203"/>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182" t="str">
        <f>A41</f>
        <v>成交单价（元/平方米）</v>
      </c>
      <c r="Q41" s="3182"/>
      <c r="R41" s="3223">
        <f>E41</f>
        <v>0</v>
      </c>
      <c r="S41" s="3223"/>
      <c r="T41" s="3223">
        <f>G41</f>
        <v>0</v>
      </c>
      <c r="U41" s="3223"/>
      <c r="V41" s="3223">
        <f>I41</f>
        <v>0</v>
      </c>
      <c r="W41" s="3223"/>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4"/>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2552</v>
      </c>
      <c r="Q7" s="3195"/>
      <c r="R7" s="770" t="s">
        <v>17</v>
      </c>
      <c r="S7" s="771">
        <f t="shared" ref="S7:S14" si="0">F7</f>
        <v>0</v>
      </c>
      <c r="T7" s="770" t="s">
        <v>17</v>
      </c>
      <c r="U7" s="771">
        <f t="shared" ref="U7:U14" si="1">H7</f>
        <v>0</v>
      </c>
      <c r="V7" s="770" t="s">
        <v>17</v>
      </c>
      <c r="W7" s="771">
        <f t="shared" ref="W7:W14"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2558</v>
      </c>
      <c r="Q9" s="1795"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2563</v>
      </c>
      <c r="Q14" s="1810" t="str">
        <f t="shared" si="6"/>
        <v>交通便捷度</v>
      </c>
      <c r="R14" s="774" t="s">
        <v>17</v>
      </c>
      <c r="S14" s="775">
        <f t="shared" si="0"/>
        <v>100</v>
      </c>
      <c r="T14" s="774" t="s">
        <v>17</v>
      </c>
      <c r="U14" s="775">
        <f t="shared" si="1"/>
        <v>100</v>
      </c>
      <c r="V14" s="774" t="s">
        <v>17</v>
      </c>
      <c r="W14" s="775">
        <f t="shared" si="2"/>
        <v>100</v>
      </c>
      <c r="X14" s="1813"/>
      <c r="Y14" s="3201"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2"/>
      <c r="Q15" s="1810"/>
      <c r="R15" s="774"/>
      <c r="S15" s="775"/>
      <c r="T15" s="774"/>
      <c r="U15" s="775"/>
      <c r="V15" s="774"/>
      <c r="W15" s="775"/>
      <c r="X15" s="1813"/>
      <c r="Y15" s="3202"/>
      <c r="Z15" s="1814"/>
      <c r="AA15" s="1811">
        <v>1</v>
      </c>
      <c r="AB15" s="1811">
        <v>1</v>
      </c>
      <c r="AC15" s="1811">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2"/>
      <c r="Q17" s="1810"/>
      <c r="R17" s="774"/>
      <c r="S17" s="775"/>
      <c r="T17" s="774"/>
      <c r="U17" s="775"/>
      <c r="V17" s="774"/>
      <c r="W17" s="775"/>
      <c r="X17" s="1813"/>
      <c r="Y17" s="3202"/>
      <c r="Z17" s="1814"/>
      <c r="AA17" s="1811">
        <v>1</v>
      </c>
      <c r="AB17" s="1811">
        <v>1</v>
      </c>
      <c r="AC17" s="1811">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2"/>
      <c r="Q19" s="1810"/>
      <c r="R19" s="774"/>
      <c r="S19" s="775"/>
      <c r="T19" s="774"/>
      <c r="U19" s="775"/>
      <c r="V19" s="774"/>
      <c r="W19" s="775"/>
      <c r="X19" s="1813"/>
      <c r="Y19" s="3202"/>
      <c r="Z19" s="1814"/>
      <c r="AA19" s="1811">
        <v>1</v>
      </c>
      <c r="AB19" s="1811">
        <v>1</v>
      </c>
      <c r="AC19" s="1811">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2"/>
      <c r="Q21" s="1810"/>
      <c r="R21" s="774"/>
      <c r="S21" s="775"/>
      <c r="T21" s="774"/>
      <c r="U21" s="775"/>
      <c r="V21" s="774"/>
      <c r="W21" s="775"/>
      <c r="X21" s="1813"/>
      <c r="Y21" s="3202"/>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10">
        <f t="shared" ref="Q24:Q36"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8"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3"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4" t="s">
        <v>17</v>
      </c>
      <c r="S28" s="775">
        <f t="shared" si="12"/>
        <v>100</v>
      </c>
      <c r="T28" s="774" t="s">
        <v>17</v>
      </c>
      <c r="U28" s="775">
        <f t="shared" si="13"/>
        <v>100</v>
      </c>
      <c r="V28" s="774" t="s">
        <v>17</v>
      </c>
      <c r="W28" s="775">
        <f t="shared" si="14"/>
        <v>100</v>
      </c>
      <c r="X28" s="1813"/>
      <c r="Y28" s="3203"/>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4" t="s">
        <v>17</v>
      </c>
      <c r="S29" s="775" t="e">
        <f t="shared" si="12"/>
        <v>#N/A</v>
      </c>
      <c r="T29" s="774" t="s">
        <v>17</v>
      </c>
      <c r="U29" s="775" t="e">
        <f t="shared" si="13"/>
        <v>#N/A</v>
      </c>
      <c r="V29" s="774" t="s">
        <v>17</v>
      </c>
      <c r="W29" s="775" t="e">
        <f t="shared" si="14"/>
        <v>#N/A</v>
      </c>
      <c r="X29" s="1813"/>
      <c r="Y29" s="3203"/>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10" t="str">
        <f t="shared" si="11"/>
        <v>物业等级</v>
      </c>
      <c r="R30" s="774" t="s">
        <v>17</v>
      </c>
      <c r="S30" s="775">
        <f t="shared" si="12"/>
        <v>100</v>
      </c>
      <c r="T30" s="774" t="s">
        <v>17</v>
      </c>
      <c r="U30" s="775">
        <f t="shared" si="13"/>
        <v>100</v>
      </c>
      <c r="V30" s="774" t="s">
        <v>17</v>
      </c>
      <c r="W30" s="775">
        <f t="shared" si="14"/>
        <v>100</v>
      </c>
      <c r="X30" s="1813"/>
      <c r="Y30" s="3203"/>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2568</v>
      </c>
      <c r="Q32" s="1810" t="str">
        <f t="shared" si="11"/>
        <v>车位类型</v>
      </c>
      <c r="R32" s="774" t="s">
        <v>17</v>
      </c>
      <c r="S32" s="775">
        <f t="shared" si="12"/>
        <v>100</v>
      </c>
      <c r="T32" s="774" t="s">
        <v>17</v>
      </c>
      <c r="U32" s="775">
        <f t="shared" si="13"/>
        <v>100</v>
      </c>
      <c r="V32" s="774" t="s">
        <v>17</v>
      </c>
      <c r="W32" s="775">
        <f t="shared" si="14"/>
        <v>100</v>
      </c>
      <c r="X32" s="1813"/>
      <c r="Y32" s="3203"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4" t="s">
        <v>17</v>
      </c>
      <c r="S33" s="775">
        <f t="shared" si="12"/>
        <v>100</v>
      </c>
      <c r="T33" s="774" t="s">
        <v>17</v>
      </c>
      <c r="U33" s="775">
        <f t="shared" si="13"/>
        <v>100</v>
      </c>
      <c r="V33" s="774" t="s">
        <v>17</v>
      </c>
      <c r="W33" s="775">
        <f t="shared" si="14"/>
        <v>100</v>
      </c>
      <c r="X33" s="1813"/>
      <c r="Y33" s="320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4" t="s">
        <v>17</v>
      </c>
      <c r="S36" s="775">
        <f t="shared" si="12"/>
        <v>100</v>
      </c>
      <c r="T36" s="774" t="s">
        <v>17</v>
      </c>
      <c r="U36" s="775">
        <f t="shared" si="13"/>
        <v>100</v>
      </c>
      <c r="V36" s="774" t="s">
        <v>17</v>
      </c>
      <c r="W36" s="775">
        <f t="shared" si="14"/>
        <v>100</v>
      </c>
      <c r="X36" s="1813"/>
      <c r="Y36" s="3203"/>
      <c r="Z36" s="1814">
        <f t="shared" si="15"/>
        <v>111</v>
      </c>
      <c r="AA36" s="1811">
        <f t="shared" si="3"/>
        <v>1</v>
      </c>
      <c r="AB36" s="1811">
        <f t="shared" si="4"/>
        <v>1</v>
      </c>
      <c r="AC36" s="1811">
        <f t="shared" si="5"/>
        <v>1</v>
      </c>
    </row>
    <row r="37" spans="1:29" ht="15">
      <c r="A37" s="479" t="s">
        <v>2723</v>
      </c>
      <c r="B37" s="2695" t="s">
        <v>2724</v>
      </c>
      <c r="C37" s="1407" t="s">
        <v>1</v>
      </c>
      <c r="D37" s="1408"/>
      <c r="E37" s="1409"/>
      <c r="F37" s="1410"/>
      <c r="G37" s="1411"/>
      <c r="H37" s="1412"/>
      <c r="I37" s="1409"/>
      <c r="J37" s="1412"/>
      <c r="K37" s="619"/>
      <c r="L37" s="1143"/>
      <c r="M37" s="1144"/>
      <c r="N37" s="1131"/>
      <c r="O37" s="1144"/>
      <c r="P37" s="3182" t="str">
        <f>A37</f>
        <v>成交单价</v>
      </c>
      <c r="Q37" s="3182"/>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43276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4" t="s">
        <v>2552</v>
      </c>
      <c r="Q7" s="3195"/>
      <c r="R7" s="770" t="s">
        <v>17</v>
      </c>
      <c r="S7" s="771">
        <f t="shared" ref="S7:S14" si="0">F7</f>
        <v>0</v>
      </c>
      <c r="T7" s="770" t="s">
        <v>17</v>
      </c>
      <c r="U7" s="771">
        <f t="shared" ref="U7:U14" si="1">H7</f>
        <v>0</v>
      </c>
      <c r="V7" s="770" t="s">
        <v>17</v>
      </c>
      <c r="W7" s="771">
        <f t="shared" ref="W7:W14"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2558</v>
      </c>
      <c r="Q9" s="1795"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2563</v>
      </c>
      <c r="Q14" s="1810" t="str">
        <f t="shared" si="6"/>
        <v>交通便捷度</v>
      </c>
      <c r="R14" s="774" t="s">
        <v>17</v>
      </c>
      <c r="S14" s="775">
        <f t="shared" si="0"/>
        <v>100</v>
      </c>
      <c r="T14" s="774" t="s">
        <v>17</v>
      </c>
      <c r="U14" s="775">
        <f t="shared" si="1"/>
        <v>100</v>
      </c>
      <c r="V14" s="774" t="s">
        <v>17</v>
      </c>
      <c r="W14" s="775">
        <f t="shared" si="2"/>
        <v>100</v>
      </c>
      <c r="X14" s="1813"/>
      <c r="Y14" s="3201"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2"/>
      <c r="Q15" s="1810"/>
      <c r="R15" s="774"/>
      <c r="S15" s="775"/>
      <c r="T15" s="774"/>
      <c r="U15" s="775"/>
      <c r="V15" s="774"/>
      <c r="W15" s="775"/>
      <c r="X15" s="1813"/>
      <c r="Y15" s="3202"/>
      <c r="Z15" s="1814"/>
      <c r="AA15" s="1811">
        <v>1</v>
      </c>
      <c r="AB15" s="1811">
        <v>1</v>
      </c>
      <c r="AC15" s="1811">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2"/>
      <c r="Q17" s="1810"/>
      <c r="R17" s="774"/>
      <c r="S17" s="775"/>
      <c r="T17" s="774"/>
      <c r="U17" s="775"/>
      <c r="V17" s="774"/>
      <c r="W17" s="775"/>
      <c r="X17" s="1813"/>
      <c r="Y17" s="3202"/>
      <c r="Z17" s="1814"/>
      <c r="AA17" s="1811">
        <v>1</v>
      </c>
      <c r="AB17" s="1811">
        <v>1</v>
      </c>
      <c r="AC17" s="1811">
        <v>1</v>
      </c>
    </row>
    <row r="18" spans="1:29" ht="28.5">
      <c r="A18" s="428"/>
      <c r="B18" s="1384"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2"/>
      <c r="Q19" s="1810"/>
      <c r="R19" s="774"/>
      <c r="S19" s="775"/>
      <c r="T19" s="774"/>
      <c r="U19" s="775"/>
      <c r="V19" s="774"/>
      <c r="W19" s="775"/>
      <c r="X19" s="1813"/>
      <c r="Y19" s="3202"/>
      <c r="Z19" s="1814"/>
      <c r="AA19" s="1811">
        <v>1</v>
      </c>
      <c r="AB19" s="1811">
        <v>1</v>
      </c>
      <c r="AC19" s="1811">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2"/>
      <c r="Q21" s="1810"/>
      <c r="R21" s="774"/>
      <c r="S21" s="775"/>
      <c r="T21" s="774"/>
      <c r="U21" s="775"/>
      <c r="V21" s="774"/>
      <c r="W21" s="775"/>
      <c r="X21" s="1813"/>
      <c r="Y21" s="3202"/>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10">
        <f t="shared" ref="Q24:Q34"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8"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3"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4" t="s">
        <v>17</v>
      </c>
      <c r="S28" s="775">
        <f t="shared" si="12"/>
        <v>100</v>
      </c>
      <c r="T28" s="774" t="s">
        <v>17</v>
      </c>
      <c r="U28" s="775">
        <f t="shared" si="13"/>
        <v>100</v>
      </c>
      <c r="V28" s="774" t="s">
        <v>17</v>
      </c>
      <c r="W28" s="775">
        <f t="shared" si="14"/>
        <v>100</v>
      </c>
      <c r="X28" s="1813"/>
      <c r="Y28" s="3203"/>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10" t="str">
        <f t="shared" si="11"/>
        <v>有无电梯</v>
      </c>
      <c r="R29" s="774" t="s">
        <v>17</v>
      </c>
      <c r="S29" s="775">
        <f t="shared" si="12"/>
        <v>100</v>
      </c>
      <c r="T29" s="774" t="s">
        <v>17</v>
      </c>
      <c r="U29" s="775">
        <f t="shared" si="13"/>
        <v>100</v>
      </c>
      <c r="V29" s="774" t="s">
        <v>17</v>
      </c>
      <c r="W29" s="775">
        <f t="shared" si="14"/>
        <v>100</v>
      </c>
      <c r="X29" s="1813"/>
      <c r="Y29" s="3203"/>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4" t="s">
        <v>17</v>
      </c>
      <c r="S30" s="775" t="e">
        <f t="shared" si="12"/>
        <v>#N/A</v>
      </c>
      <c r="T30" s="774" t="s">
        <v>17</v>
      </c>
      <c r="U30" s="775" t="e">
        <f t="shared" si="13"/>
        <v>#N/A</v>
      </c>
      <c r="V30" s="774" t="s">
        <v>17</v>
      </c>
      <c r="W30" s="775"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5"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2568</v>
      </c>
      <c r="Q32" s="1810">
        <f t="shared" si="11"/>
        <v>111</v>
      </c>
      <c r="R32" s="774" t="s">
        <v>17</v>
      </c>
      <c r="S32" s="775">
        <f t="shared" si="12"/>
        <v>100</v>
      </c>
      <c r="T32" s="774" t="s">
        <v>17</v>
      </c>
      <c r="U32" s="775">
        <f t="shared" si="13"/>
        <v>100</v>
      </c>
      <c r="V32" s="774" t="s">
        <v>17</v>
      </c>
      <c r="W32" s="775">
        <f t="shared" si="14"/>
        <v>100</v>
      </c>
      <c r="X32" s="1813"/>
      <c r="Y32" s="3203" t="s">
        <v>2568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4" t="s">
        <v>17</v>
      </c>
      <c r="S33" s="775">
        <f t="shared" si="12"/>
        <v>100</v>
      </c>
      <c r="T33" s="774" t="s">
        <v>17</v>
      </c>
      <c r="U33" s="775">
        <f t="shared" si="13"/>
        <v>100</v>
      </c>
      <c r="V33" s="774" t="s">
        <v>17</v>
      </c>
      <c r="W33" s="775">
        <f t="shared" si="14"/>
        <v>100</v>
      </c>
      <c r="X33" s="1813"/>
      <c r="Y33" s="3203"/>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182" t="str">
        <f>A35</f>
        <v>成交单价（元/平方米）</v>
      </c>
      <c r="Q35" s="3182"/>
      <c r="R35" s="3223">
        <f>E35</f>
        <v>0</v>
      </c>
      <c r="S35" s="3223"/>
      <c r="T35" s="3223">
        <f>G35</f>
        <v>0</v>
      </c>
      <c r="U35" s="3223"/>
      <c r="V35" s="3223">
        <f>I35</f>
        <v>0</v>
      </c>
      <c r="W35" s="3223"/>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30"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30"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30" s="117" customFormat="1" ht="15.75" thickBot="1">
      <c r="A7" s="408" t="s">
        <v>2551</v>
      </c>
      <c r="B7" s="409"/>
      <c r="C7" s="410">
        <f>'数据-取费表'!B2</f>
        <v>43276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5" si="3">D8/F8</f>
        <v>#DIV/0!</v>
      </c>
      <c r="AB8" s="773" t="e">
        <f t="shared" ref="AB8:AB45" si="4">D8/H8</f>
        <v>#DIV/0!</v>
      </c>
      <c r="AC8" s="773" t="e">
        <f t="shared" ref="AC8:AC45" si="5">D8/J8</f>
        <v>#DIV/0!</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2562</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2563</v>
      </c>
      <c r="Q15" s="1810" t="str">
        <f t="shared" si="6"/>
        <v>居住社区成熟度</v>
      </c>
      <c r="R15" s="774" t="s">
        <v>17</v>
      </c>
      <c r="S15" s="775">
        <f t="shared" si="0"/>
        <v>100</v>
      </c>
      <c r="T15" s="774" t="s">
        <v>17</v>
      </c>
      <c r="U15" s="775">
        <f t="shared" si="1"/>
        <v>100</v>
      </c>
      <c r="V15" s="774" t="s">
        <v>17</v>
      </c>
      <c r="W15" s="775">
        <f t="shared" si="2"/>
        <v>100</v>
      </c>
      <c r="X15" s="1813"/>
      <c r="Y15" s="3201" t="s">
        <v>2563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71.25">
      <c r="A17" s="428"/>
      <c r="B17" s="451" t="s">
        <v>2656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10" t="str">
        <f>B17</f>
        <v>商业繁华度</v>
      </c>
      <c r="R17" s="774" t="s">
        <v>17</v>
      </c>
      <c r="S17" s="775">
        <f>F17</f>
        <v>100</v>
      </c>
      <c r="T17" s="774" t="s">
        <v>17</v>
      </c>
      <c r="U17" s="775">
        <f>H17</f>
        <v>100</v>
      </c>
      <c r="V17" s="774" t="s">
        <v>17</v>
      </c>
      <c r="W17" s="775">
        <f>J17</f>
        <v>100</v>
      </c>
      <c r="X17" s="1813"/>
      <c r="Y17" s="320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10" t="str">
        <f>B19</f>
        <v>办公集聚程度</v>
      </c>
      <c r="R19" s="774" t="s">
        <v>17</v>
      </c>
      <c r="S19" s="775">
        <f>F19</f>
        <v>100</v>
      </c>
      <c r="T19" s="774" t="s">
        <v>17</v>
      </c>
      <c r="U19" s="775">
        <f>H19</f>
        <v>100</v>
      </c>
      <c r="V19" s="774" t="s">
        <v>17</v>
      </c>
      <c r="W19" s="775">
        <f>J19</f>
        <v>100</v>
      </c>
      <c r="X19" s="1813"/>
      <c r="Y19" s="320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2"/>
      <c r="Q20" s="1810"/>
      <c r="R20" s="774"/>
      <c r="S20" s="775"/>
      <c r="T20" s="774"/>
      <c r="U20" s="775"/>
      <c r="V20" s="774"/>
      <c r="W20" s="775"/>
      <c r="X20" s="1813"/>
      <c r="Y20" s="3202"/>
      <c r="Z20" s="1814"/>
      <c r="AA20" s="1811">
        <v>1</v>
      </c>
      <c r="AB20" s="1811">
        <v>1</v>
      </c>
      <c r="AC20" s="1811">
        <v>1</v>
      </c>
    </row>
    <row r="21" spans="1:29" ht="85.5">
      <c r="A21" s="428"/>
      <c r="B21" s="451" t="s">
        <v>2712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10" t="str">
        <f>B21</f>
        <v>交通便捷度</v>
      </c>
      <c r="R21" s="774" t="s">
        <v>17</v>
      </c>
      <c r="S21" s="775">
        <f>F21</f>
        <v>100</v>
      </c>
      <c r="T21" s="774" t="s">
        <v>17</v>
      </c>
      <c r="U21" s="775">
        <f>H21</f>
        <v>100</v>
      </c>
      <c r="V21" s="774" t="s">
        <v>17</v>
      </c>
      <c r="W21" s="775">
        <f>J21</f>
        <v>100</v>
      </c>
      <c r="X21" s="1813"/>
      <c r="Y21" s="320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10" t="str">
        <f t="shared" ref="Q23:Q37" si="8">B23</f>
        <v>区域土地利用方向</v>
      </c>
      <c r="R23" s="774" t="s">
        <v>17</v>
      </c>
      <c r="S23" s="775">
        <f>F23</f>
        <v>100</v>
      </c>
      <c r="T23" s="774" t="s">
        <v>17</v>
      </c>
      <c r="U23" s="775">
        <f>H23</f>
        <v>100</v>
      </c>
      <c r="V23" s="774" t="s">
        <v>17</v>
      </c>
      <c r="W23" s="775">
        <f>J23</f>
        <v>100</v>
      </c>
      <c r="X23" s="1813"/>
      <c r="Y23" s="320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202"/>
      <c r="Q24" s="1810"/>
      <c r="R24" s="774"/>
      <c r="S24" s="775"/>
      <c r="T24" s="774"/>
      <c r="U24" s="775"/>
      <c r="V24" s="774"/>
      <c r="W24" s="775"/>
      <c r="X24" s="1813"/>
      <c r="Y24" s="3202"/>
      <c r="Z24" s="1814"/>
      <c r="AA24" s="1811"/>
      <c r="AB24" s="1811"/>
      <c r="AC24" s="1811"/>
    </row>
    <row r="25" spans="1:29" ht="57">
      <c r="A25" s="404"/>
      <c r="B25" s="1384" t="s">
        <v>2752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10" t="str">
        <f t="shared" si="8"/>
        <v>自然及人文环境状况</v>
      </c>
      <c r="R25" s="774" t="s">
        <v>17</v>
      </c>
      <c r="S25" s="775">
        <f>F25</f>
        <v>100</v>
      </c>
      <c r="T25" s="774" t="s">
        <v>17</v>
      </c>
      <c r="U25" s="775">
        <f>H25</f>
        <v>100</v>
      </c>
      <c r="V25" s="774" t="s">
        <v>17</v>
      </c>
      <c r="W25" s="775">
        <f>J25</f>
        <v>100</v>
      </c>
      <c r="X25" s="1813"/>
      <c r="Y25" s="320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2"/>
      <c r="Q26" s="1810"/>
      <c r="R26" s="774"/>
      <c r="S26" s="775"/>
      <c r="T26" s="774"/>
      <c r="U26" s="775"/>
      <c r="V26" s="774"/>
      <c r="W26" s="775"/>
      <c r="X26" s="1813"/>
      <c r="Y26" s="3202"/>
      <c r="Z26" s="1814"/>
      <c r="AA26" s="1811">
        <v>1</v>
      </c>
      <c r="AB26" s="1811">
        <v>1</v>
      </c>
      <c r="AC26" s="1811">
        <v>1</v>
      </c>
    </row>
    <row r="27" spans="1:29" s="117" customFormat="1" ht="42.75">
      <c r="A27" s="649"/>
      <c r="B27" s="1384" t="s">
        <v>2657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95" t="str">
        <f t="shared" si="8"/>
        <v>公共配套设施</v>
      </c>
      <c r="R27" s="770" t="s">
        <v>17</v>
      </c>
      <c r="S27" s="771">
        <f>F27</f>
        <v>100</v>
      </c>
      <c r="T27" s="770" t="s">
        <v>17</v>
      </c>
      <c r="U27" s="771">
        <f>H27</f>
        <v>100</v>
      </c>
      <c r="V27" s="770" t="s">
        <v>17</v>
      </c>
      <c r="W27" s="771">
        <f>J27</f>
        <v>100</v>
      </c>
      <c r="X27" s="772"/>
      <c r="Y27" s="320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2"/>
      <c r="Q28" s="1795"/>
      <c r="R28" s="770"/>
      <c r="S28" s="771"/>
      <c r="T28" s="770"/>
      <c r="U28" s="771"/>
      <c r="V28" s="770"/>
      <c r="W28" s="771"/>
      <c r="X28" s="772"/>
      <c r="Y28" s="3202"/>
      <c r="Z28" s="55"/>
      <c r="AA28" s="1811">
        <v>1</v>
      </c>
      <c r="AB28" s="1811">
        <v>1</v>
      </c>
      <c r="AC28" s="1811">
        <v>1</v>
      </c>
    </row>
    <row r="29" spans="1:29" s="117" customFormat="1" ht="28.5">
      <c r="A29" s="649"/>
      <c r="B29" s="1384" t="s">
        <v>2658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95"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2"/>
      <c r="Q30" s="1795"/>
      <c r="R30" s="770"/>
      <c r="S30" s="771"/>
      <c r="T30" s="770"/>
      <c r="U30" s="771"/>
      <c r="V30" s="770"/>
      <c r="W30" s="771"/>
      <c r="X30" s="772"/>
      <c r="Y30" s="3202"/>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2"/>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10" t="str">
        <f t="shared" si="8"/>
        <v>毗邻道路的类型与等级</v>
      </c>
      <c r="R32" s="774" t="s">
        <v>17</v>
      </c>
      <c r="S32" s="775">
        <f t="shared" si="10"/>
        <v>100</v>
      </c>
      <c r="T32" s="774" t="s">
        <v>17</v>
      </c>
      <c r="U32" s="775">
        <f t="shared" si="11"/>
        <v>100</v>
      </c>
      <c r="V32" s="774" t="s">
        <v>17</v>
      </c>
      <c r="W32" s="775">
        <f t="shared" si="12"/>
        <v>100</v>
      </c>
      <c r="X32" s="1813"/>
      <c r="Y32" s="320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2"/>
      <c r="Q33" s="1810"/>
      <c r="R33" s="774"/>
      <c r="S33" s="775"/>
      <c r="T33" s="774"/>
      <c r="U33" s="775"/>
      <c r="V33" s="774"/>
      <c r="W33" s="775"/>
      <c r="X33" s="1813"/>
      <c r="Y33" s="3202"/>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10" t="str">
        <f t="shared" si="8"/>
        <v>土地级别</v>
      </c>
      <c r="R34" s="774" t="s">
        <v>17</v>
      </c>
      <c r="S34" s="775">
        <f t="shared" si="10"/>
        <v>100</v>
      </c>
      <c r="T34" s="774" t="s">
        <v>17</v>
      </c>
      <c r="U34" s="775">
        <f t="shared" si="11"/>
        <v>100</v>
      </c>
      <c r="V34" s="774" t="s">
        <v>17</v>
      </c>
      <c r="W34" s="775">
        <f t="shared" si="12"/>
        <v>100</v>
      </c>
      <c r="X34" s="1813"/>
      <c r="Y34" s="32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10">
        <f t="shared" si="8"/>
        <v>111</v>
      </c>
      <c r="R35" s="774" t="s">
        <v>17</v>
      </c>
      <c r="S35" s="775">
        <f t="shared" si="10"/>
        <v>100</v>
      </c>
      <c r="T35" s="774" t="s">
        <v>17</v>
      </c>
      <c r="U35" s="775">
        <f t="shared" si="11"/>
        <v>100</v>
      </c>
      <c r="V35" s="774" t="s">
        <v>17</v>
      </c>
      <c r="W35" s="775">
        <f t="shared" si="12"/>
        <v>100</v>
      </c>
      <c r="X35" s="1813"/>
      <c r="Y35" s="32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8" t="s">
        <v>2568</v>
      </c>
      <c r="Q36" s="1810">
        <f t="shared" si="8"/>
        <v>111</v>
      </c>
      <c r="R36" s="774" t="s">
        <v>17</v>
      </c>
      <c r="S36" s="775">
        <f t="shared" si="10"/>
        <v>100</v>
      </c>
      <c r="T36" s="774" t="s">
        <v>17</v>
      </c>
      <c r="U36" s="775">
        <f t="shared" si="11"/>
        <v>100</v>
      </c>
      <c r="V36" s="774" t="s">
        <v>17</v>
      </c>
      <c r="W36" s="775">
        <f t="shared" si="12"/>
        <v>100</v>
      </c>
      <c r="X36" s="1813"/>
      <c r="Y36" s="3203"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10">
        <f t="shared" si="8"/>
        <v>111</v>
      </c>
      <c r="R37" s="777" t="s">
        <v>17</v>
      </c>
      <c r="S37" s="778">
        <f t="shared" si="10"/>
        <v>100</v>
      </c>
      <c r="T37" s="777" t="s">
        <v>17</v>
      </c>
      <c r="U37" s="778">
        <f t="shared" si="11"/>
        <v>100</v>
      </c>
      <c r="V37" s="777" t="s">
        <v>17</v>
      </c>
      <c r="W37" s="778">
        <f t="shared" si="12"/>
        <v>100</v>
      </c>
      <c r="X37" s="779"/>
      <c r="Y37" s="3203"/>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4" t="s">
        <v>17</v>
      </c>
      <c r="S38" s="775" t="e">
        <f t="shared" si="10"/>
        <v>#N/A</v>
      </c>
      <c r="T38" s="774" t="s">
        <v>17</v>
      </c>
      <c r="U38" s="775" t="e">
        <f t="shared" si="11"/>
        <v>#N/A</v>
      </c>
      <c r="V38" s="774" t="s">
        <v>17</v>
      </c>
      <c r="W38" s="775" t="e">
        <f t="shared" si="12"/>
        <v>#N/A</v>
      </c>
      <c r="X38" s="1813"/>
      <c r="Y38" s="3203"/>
      <c r="Z38" s="1814" t="str">
        <f t="shared" si="13"/>
        <v>宗地面积</v>
      </c>
      <c r="AA38" s="1811" t="e">
        <f t="shared" si="3"/>
        <v>#N/A</v>
      </c>
      <c r="AB38" s="1811" t="e">
        <f t="shared" si="4"/>
        <v>#N/A</v>
      </c>
      <c r="AC38" s="1811" t="e">
        <f t="shared" si="5"/>
        <v>#N/A</v>
      </c>
    </row>
    <row r="39" spans="1:29" ht="15">
      <c r="A39" s="472"/>
      <c r="B39" s="422" t="s">
        <v>2755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03"/>
      <c r="Q39" s="1810" t="str">
        <f t="shared" ref="Q39:Q45" si="14">B39</f>
        <v>宗地形状</v>
      </c>
      <c r="R39" s="774" t="s">
        <v>17</v>
      </c>
      <c r="S39" s="775">
        <f t="shared" si="10"/>
        <v>100</v>
      </c>
      <c r="T39" s="774" t="s">
        <v>17</v>
      </c>
      <c r="U39" s="775">
        <f t="shared" si="11"/>
        <v>100</v>
      </c>
      <c r="V39" s="774" t="s">
        <v>17</v>
      </c>
      <c r="W39" s="775">
        <f t="shared" si="12"/>
        <v>100</v>
      </c>
      <c r="X39" s="1813"/>
      <c r="Y39" s="3203"/>
      <c r="Z39" s="1814" t="str">
        <f t="shared" si="13"/>
        <v>宗地形状</v>
      </c>
      <c r="AA39" s="1811">
        <f t="shared" si="3"/>
        <v>1</v>
      </c>
      <c r="AB39" s="1811">
        <f t="shared" si="4"/>
        <v>1</v>
      </c>
      <c r="AC39" s="1811">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03"/>
      <c r="Q40" s="1810" t="str">
        <f t="shared" si="14"/>
        <v>临街宽度及深度</v>
      </c>
      <c r="R40" s="774" t="s">
        <v>17</v>
      </c>
      <c r="S40" s="775">
        <f t="shared" si="10"/>
        <v>100</v>
      </c>
      <c r="T40" s="774" t="s">
        <v>17</v>
      </c>
      <c r="U40" s="775">
        <f t="shared" si="11"/>
        <v>100</v>
      </c>
      <c r="V40" s="774" t="s">
        <v>17</v>
      </c>
      <c r="W40" s="775">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03"/>
      <c r="Q41" s="1810"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03" t="s">
        <v>2568</v>
      </c>
      <c r="Q42" s="1810" t="str">
        <f t="shared" si="14"/>
        <v>工程地质条件</v>
      </c>
      <c r="R42" s="774" t="s">
        <v>17</v>
      </c>
      <c r="S42" s="775">
        <f t="shared" si="10"/>
        <v>100</v>
      </c>
      <c r="T42" s="774" t="s">
        <v>17</v>
      </c>
      <c r="U42" s="775">
        <f t="shared" si="11"/>
        <v>100</v>
      </c>
      <c r="V42" s="774" t="s">
        <v>17</v>
      </c>
      <c r="W42" s="775">
        <f t="shared" si="12"/>
        <v>100</v>
      </c>
      <c r="X42" s="1813"/>
      <c r="Y42" s="3203"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10">
        <f t="shared" si="14"/>
        <v>111</v>
      </c>
      <c r="R43" s="774" t="s">
        <v>17</v>
      </c>
      <c r="S43" s="775">
        <f t="shared" si="10"/>
        <v>100</v>
      </c>
      <c r="T43" s="774" t="s">
        <v>17</v>
      </c>
      <c r="U43" s="775">
        <f t="shared" si="11"/>
        <v>100</v>
      </c>
      <c r="V43" s="774" t="s">
        <v>17</v>
      </c>
      <c r="W43" s="775">
        <f t="shared" si="12"/>
        <v>100</v>
      </c>
      <c r="X43" s="1813"/>
      <c r="Y43" s="320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10">
        <f t="shared" si="14"/>
        <v>111</v>
      </c>
      <c r="R44" s="774" t="s">
        <v>17</v>
      </c>
      <c r="S44" s="775">
        <f t="shared" si="10"/>
        <v>100</v>
      </c>
      <c r="T44" s="774" t="s">
        <v>17</v>
      </c>
      <c r="U44" s="775">
        <f t="shared" si="11"/>
        <v>100</v>
      </c>
      <c r="V44" s="774" t="s">
        <v>17</v>
      </c>
      <c r="W44" s="775">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10">
        <f t="shared" si="14"/>
        <v>111</v>
      </c>
      <c r="R45" s="777" t="s">
        <v>17</v>
      </c>
      <c r="S45" s="778">
        <f t="shared" si="10"/>
        <v>100</v>
      </c>
      <c r="T45" s="777" t="s">
        <v>17</v>
      </c>
      <c r="U45" s="778">
        <f t="shared" si="11"/>
        <v>100</v>
      </c>
      <c r="V45" s="777" t="s">
        <v>17</v>
      </c>
      <c r="W45" s="778">
        <f t="shared" si="12"/>
        <v>100</v>
      </c>
      <c r="X45" s="779"/>
      <c r="Y45" s="3203"/>
      <c r="Z45" s="780">
        <f t="shared" si="13"/>
        <v>111</v>
      </c>
      <c r="AA45" s="1811">
        <f t="shared" si="3"/>
        <v>1</v>
      </c>
      <c r="AB45" s="1811">
        <f t="shared" si="4"/>
        <v>1</v>
      </c>
      <c r="AC45" s="1811">
        <f t="shared" si="5"/>
        <v>1</v>
      </c>
    </row>
    <row r="46" spans="1:29" ht="15">
      <c r="A46" s="479" t="s">
        <v>2723</v>
      </c>
      <c r="B46" s="2704" t="s">
        <v>2759</v>
      </c>
      <c r="C46" s="682" t="s">
        <v>1</v>
      </c>
      <c r="D46" s="481"/>
      <c r="E46" s="482"/>
      <c r="F46" s="483"/>
      <c r="G46" s="484"/>
      <c r="H46" s="485"/>
      <c r="I46" s="482"/>
      <c r="J46" s="485"/>
      <c r="K46" s="783"/>
      <c r="L46" s="1143"/>
      <c r="M46" s="1144"/>
      <c r="N46" s="1131"/>
      <c r="O46" s="1144"/>
      <c r="P46" s="3182" t="str">
        <f>A46</f>
        <v>成交单价</v>
      </c>
      <c r="Q46" s="3182"/>
      <c r="R46" s="3200">
        <f>E46</f>
        <v>0</v>
      </c>
      <c r="S46" s="3200"/>
      <c r="T46" s="3200">
        <f>G46</f>
        <v>0</v>
      </c>
      <c r="U46" s="3200"/>
      <c r="V46" s="3200">
        <f>I46</f>
        <v>0</v>
      </c>
      <c r="W46" s="3200"/>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22" t="e">
        <f>ROUND(PRODUCT(R46,AA7:AA45),0)</f>
        <v>#DIV/0!</v>
      </c>
      <c r="S47" s="3222"/>
      <c r="T47" s="3222" t="e">
        <f>ROUND(PRODUCT(T46,AB7:AB45),0)</f>
        <v>#DIV/0!</v>
      </c>
      <c r="U47" s="3222"/>
      <c r="V47" s="3222" t="e">
        <f>ROUND(PRODUCT(V46,AC7:AC45),0)</f>
        <v>#DIV/0!</v>
      </c>
      <c r="W47" s="322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219" t="str">
        <f>A48</f>
        <v>估价对象XX用房的比较价值（楼面单价，元/平方米）</v>
      </c>
      <c r="Q48" s="3220"/>
      <c r="R48" s="3221" t="e">
        <f>ROUND(AVERAGE(R47:V47),0)</f>
        <v>#DIV/0!</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5" t="s">
        <v>2763</v>
      </c>
      <c r="D55" s="2706" t="s">
        <v>2764</v>
      </c>
      <c r="E55" s="686" t="s">
        <v>2765</v>
      </c>
      <c r="F55" s="1107" t="s">
        <v>2766</v>
      </c>
      <c r="G55" s="3179" t="s">
        <v>2767</v>
      </c>
      <c r="H55" s="3180"/>
      <c r="I55" s="144" t="s">
        <v>2768</v>
      </c>
      <c r="J55" s="2707">
        <f>项目基本情况!F35</f>
        <v>0</v>
      </c>
      <c r="K55" s="2708" t="s">
        <v>2769</v>
      </c>
      <c r="L55" s="1106"/>
      <c r="M55" s="1144"/>
      <c r="N55" s="1144"/>
      <c r="O55" s="1144"/>
    </row>
    <row r="56" spans="1:15" s="692" customFormat="1">
      <c r="A56" s="688" t="s">
        <v>2770</v>
      </c>
      <c r="B56" s="689" t="e">
        <f>C48</f>
        <v>#DIV/0!</v>
      </c>
      <c r="C56" s="690">
        <v>1</v>
      </c>
      <c r="D56" s="1163">
        <v>1</v>
      </c>
      <c r="E56" s="690">
        <f>'数据-汇总表'!E8+'数据-汇总表'!E9</f>
        <v>16443.89</v>
      </c>
      <c r="F56" s="1103" t="e">
        <f t="shared" ref="F56:F65" si="15">ROUND(B56*E56/10000,0)</f>
        <v>#DIV/0!</v>
      </c>
      <c r="G56" s="3181"/>
      <c r="H56" s="3182"/>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183" t="s">
        <v>2772</v>
      </c>
      <c r="H57" s="1104" t="str">
        <f>项目基本情况!B37</f>
        <v>五级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183"/>
      <c r="H58" s="1104" t="str">
        <f>项目基本情况!B37</f>
        <v>五级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183"/>
      <c r="H59" s="1104" t="str">
        <f>项目基本情况!B37</f>
        <v>五级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183"/>
      <c r="H60" s="1104" t="str">
        <f>项目基本情况!B37</f>
        <v>五级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09" t="s">
        <v>2777</v>
      </c>
      <c r="H61" s="1104" t="str">
        <f>项目基本情况!C37</f>
        <v>五级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6269.49</v>
      </c>
      <c r="F62" s="1103" t="e">
        <f t="shared" si="15"/>
        <v>#DIV/0!</v>
      </c>
      <c r="G62" s="1109" t="s">
        <v>2779</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2780</v>
      </c>
      <c r="B63" s="262" t="e">
        <f t="shared" si="17"/>
        <v>#DIV/0!</v>
      </c>
      <c r="C63" s="200">
        <f t="shared" si="16"/>
        <v>0.2</v>
      </c>
      <c r="D63" s="1164">
        <v>0.25</v>
      </c>
      <c r="E63" s="261">
        <f>'数据-汇总表'!E13</f>
        <v>8588.09</v>
      </c>
      <c r="F63" s="1103" t="e">
        <f t="shared" si="15"/>
        <v>#DIV/0!</v>
      </c>
      <c r="G63" s="1109" t="s">
        <v>2781</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09" t="s">
        <v>2772</v>
      </c>
      <c r="H64" s="1104" t="str">
        <f>项目基本情况!B37</f>
        <v>五级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0" t="s">
        <v>2777</v>
      </c>
      <c r="H65" s="1114" t="str">
        <f>项目基本情况!C37</f>
        <v>五级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31301.469999999998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1" t="s">
        <v>2785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2"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A82" sqref="A8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2806</v>
      </c>
      <c r="B1" s="241"/>
      <c r="C1" s="245" t="s">
        <v>2807</v>
      </c>
      <c r="D1" s="388">
        <f>SUM(D29:D30,D33:D39)</f>
        <v>31301.47</v>
      </c>
      <c r="E1" s="2717"/>
      <c r="F1" s="2717"/>
      <c r="G1" s="2717"/>
      <c r="H1" s="2717"/>
      <c r="I1" s="2717"/>
      <c r="J1" s="2717"/>
      <c r="K1" s="1370"/>
      <c r="L1" s="2718" t="s">
        <v>2808</v>
      </c>
      <c r="M1" s="1080">
        <f>SUMPRODUCT((区片价!B5:B9=I2)*(区片价!C3:F3=E2)*(区片价!C5:F9))</f>
        <v>0</v>
      </c>
      <c r="N1" s="1083">
        <f>SUMPRODUCT((因素修正幅度!B5:B9=I2)*(因素修正幅度!C3:F3=E2)*(因素修正幅度!C5:F9))</f>
        <v>0</v>
      </c>
      <c r="O1" s="2719"/>
      <c r="P1" s="2719"/>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25.5">
      <c r="A2" s="245" t="s">
        <v>2814</v>
      </c>
      <c r="B2" s="248">
        <f ca="1">C26</f>
        <v>5745</v>
      </c>
      <c r="C2" s="2721" t="s">
        <v>2815</v>
      </c>
      <c r="D2" s="2722" t="s">
        <v>2816</v>
      </c>
      <c r="E2" s="2723" t="s">
        <v>6</v>
      </c>
      <c r="F2" s="2722" t="s">
        <v>2817</v>
      </c>
      <c r="G2" s="2724" t="str">
        <f>IF(E2="商业",项目基本情况!B37,IF(E2="办公",项目基本情况!C37,IF(E2="住宅",项目基本情况!D37,项目基本情况!E37)))</f>
        <v>五级</v>
      </c>
      <c r="H2" s="2722" t="s">
        <v>2818</v>
      </c>
      <c r="I2" s="2724" t="str">
        <f>IF(E2="商业",项目基本情况!B38,IF(E2="办公",项目基本情况!C38,IF(E2="住宅",项目基本情况!D38,项目基本情况!E38)))</f>
        <v>Ⅴ-永丰产业基地</v>
      </c>
      <c r="J2" s="2725"/>
      <c r="K2" s="1370"/>
      <c r="L2" s="2726"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5262</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1835</v>
      </c>
      <c r="C3" s="2721" t="s">
        <v>2821</v>
      </c>
      <c r="D3" s="2722" t="s">
        <v>2822</v>
      </c>
      <c r="E3" s="2727" t="s">
        <v>3055</v>
      </c>
      <c r="F3" s="2728" t="s">
        <v>2823</v>
      </c>
      <c r="G3" s="913">
        <f>IF(F3="宗地容积率",'数据-汇总表'!I4,IF(F3="估价对象容积率",'数据-汇总表'!I6,'数据-汇总表'!I7))</f>
        <v>1.39</v>
      </c>
      <c r="H3" s="198" t="s">
        <v>2824</v>
      </c>
      <c r="I3" s="944"/>
      <c r="J3" s="2725" t="s">
        <v>2825</v>
      </c>
      <c r="K3" s="1370"/>
      <c r="L3" s="2726"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1"/>
      <c r="B4" s="3282"/>
      <c r="C4" s="3282"/>
      <c r="D4" s="3283"/>
      <c r="E4" s="3283"/>
      <c r="F4" s="3283"/>
      <c r="G4" s="3283"/>
      <c r="H4" s="3283"/>
      <c r="I4" s="3283"/>
      <c r="J4" s="3284"/>
      <c r="K4" s="1370"/>
      <c r="L4" s="2726"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2828</v>
      </c>
      <c r="C5" s="914">
        <f>ROUND(IF(E2="商业",IF(F16="增加",C6*C7+C16,C6*C7-C16),IF(E2="住宅",IF(F16="增加",C6*C12+C16,C6*C12-C16),IF(F16="增加",C6+C16,C6-C16))),0)</f>
        <v>2287</v>
      </c>
      <c r="D5" s="1787">
        <f>ROUND(IF(E2="商业",IF(F16="增加",C6+C16,C6-C16)),0)</f>
        <v>0</v>
      </c>
      <c r="E5" s="2731"/>
      <c r="F5" s="2731"/>
      <c r="G5" s="2732"/>
      <c r="H5" s="2732"/>
      <c r="I5" s="2732"/>
      <c r="J5" s="2733"/>
      <c r="K5" s="2734"/>
      <c r="L5" s="2726" t="s">
        <v>2829</v>
      </c>
      <c r="M5" s="1081">
        <f>SUMPRODUCT((区片价!B76:B109=I2)*(区片价!C3:F3=E2)*(区片价!C76:F109))</f>
        <v>2320</v>
      </c>
      <c r="N5" s="1083">
        <f>SUMPRODUCT((因素修正幅度!B76:B109=I2)*(因素修正幅度!C3:F3=E2)*(因素修正幅度!C76:F109))</f>
        <v>0.05</v>
      </c>
      <c r="O5" s="1370"/>
      <c r="P5" s="1370"/>
      <c r="Q5" s="1370"/>
      <c r="R5" s="1602">
        <v>4</v>
      </c>
      <c r="S5" s="1602">
        <f>ROUND(IF(G3&gt;1,IF(R5&lt;7,SUMPRODUCT((B93:B98=R5)*(C92:N92=G2)*(C93:N98)),SUMIF(C92:N92,G2,C100:N100)),IF(R5&lt;7,SUMPRODUCT((B102:B107=R5)*(C92:N92=G2)*(C102:N107)),SUMIF(C92:N92,G2,C109:N109))),4)</f>
        <v>0.86560000000000004</v>
      </c>
      <c r="T5" s="1602">
        <f t="shared" ca="1" si="0"/>
        <v>2445</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2830</v>
      </c>
      <c r="B6" s="2740" t="s">
        <v>2831</v>
      </c>
      <c r="C6" s="915">
        <f>SUMIF(L1:L12,G2,M1:M12)</f>
        <v>2320</v>
      </c>
      <c r="D6" s="2741" t="s">
        <v>2832</v>
      </c>
      <c r="E6" s="2742"/>
      <c r="F6" s="2742"/>
      <c r="G6" s="2743"/>
      <c r="H6" s="2743"/>
      <c r="I6" s="2743"/>
      <c r="J6" s="2744"/>
      <c r="K6" s="1842"/>
      <c r="L6" s="2726" t="s">
        <v>2833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2082</v>
      </c>
      <c r="U6" s="1603"/>
      <c r="V6" s="1602">
        <f t="shared" ca="1" si="1"/>
        <v>0</v>
      </c>
      <c r="W6" s="1606"/>
      <c r="X6" s="1606"/>
      <c r="Y6" s="1606"/>
      <c r="Z6" s="1606"/>
      <c r="AA6" s="1606"/>
      <c r="AB6" s="1606"/>
      <c r="AC6" s="2735"/>
      <c r="AD6" s="2736"/>
      <c r="AE6" s="2736"/>
      <c r="AF6" s="2736"/>
      <c r="AG6" s="2736"/>
      <c r="AH6" s="2736"/>
      <c r="AI6" s="2736"/>
      <c r="AJ6" s="2737"/>
    </row>
    <row r="7" spans="1:36" ht="24">
      <c r="A7" s="3285" t="str">
        <f>IF(E2="商业",IF(C8="不临58条商业街","",2),"")</f>
        <v/>
      </c>
      <c r="B7" s="2745" t="s">
        <v>2834</v>
      </c>
      <c r="C7" s="916" t="e">
        <f>IF(C8="不临58条商业街",1,ROUND(1+(1.6*E8+1.2*E9+0.8*E10+0.4*E11)*C9,4))</f>
        <v>#DIV/0!</v>
      </c>
      <c r="D7" s="2746" t="s">
        <v>2835</v>
      </c>
      <c r="E7" s="945"/>
      <c r="F7" s="2747"/>
      <c r="G7" s="2748"/>
      <c r="H7" s="2748"/>
      <c r="I7" s="2748"/>
      <c r="J7" s="2749"/>
      <c r="K7" s="1842"/>
      <c r="L7" s="2726"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1831</v>
      </c>
      <c r="U7" s="1603"/>
      <c r="V7" s="1602">
        <f t="shared" ca="1" si="1"/>
        <v>0</v>
      </c>
      <c r="W7" s="1816" t="s">
        <v>2837</v>
      </c>
      <c r="X7" s="1604" t="str">
        <f>G2</f>
        <v>五级</v>
      </c>
      <c r="Y7" s="1604" t="s">
        <v>2838</v>
      </c>
      <c r="Z7" s="1605">
        <f>G3</f>
        <v>1.39</v>
      </c>
      <c r="AA7" s="1606"/>
      <c r="AB7" s="1606"/>
      <c r="AC7" s="1607"/>
      <c r="AD7" s="1608"/>
      <c r="AE7" s="1608"/>
      <c r="AF7" s="1608"/>
      <c r="AG7" s="1608"/>
      <c r="AH7" s="1608"/>
      <c r="AI7" s="1608"/>
      <c r="AJ7" s="1609"/>
    </row>
    <row r="8" spans="1:36" ht="15">
      <c r="A8" s="3286"/>
      <c r="B8" s="198" t="s">
        <v>2839</v>
      </c>
      <c r="C8" s="2750"/>
      <c r="D8" s="917" t="s">
        <v>139</v>
      </c>
      <c r="E8" s="918" t="e">
        <f>ROUND(C11/E7,4)</f>
        <v>#DIV/0!</v>
      </c>
      <c r="F8" s="2751" t="s">
        <v>2840</v>
      </c>
      <c r="G8" s="2752"/>
      <c r="H8" s="2752"/>
      <c r="I8" s="2752"/>
      <c r="J8" s="2753"/>
      <c r="K8" s="1370"/>
      <c r="L8" s="2726" t="s">
        <v>2841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8" t="s">
        <v>2842</v>
      </c>
      <c r="X8" s="3279"/>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86"/>
      <c r="B9" s="198" t="s">
        <v>2855</v>
      </c>
      <c r="C9" s="919">
        <f>SUMIF(修正!C59:C119,C8,修正!E59:E119)</f>
        <v>0</v>
      </c>
      <c r="D9" s="200" t="s">
        <v>140</v>
      </c>
      <c r="E9" s="200" t="e">
        <f>ROUND(C11/E7,4)</f>
        <v>#DIV/0!</v>
      </c>
      <c r="F9" s="2751" t="s">
        <v>2856</v>
      </c>
      <c r="G9" s="2752"/>
      <c r="H9" s="2752"/>
      <c r="I9" s="2752"/>
      <c r="J9" s="2753"/>
      <c r="K9" s="1370"/>
      <c r="L9" s="2726"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80"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2860</v>
      </c>
      <c r="C10" s="200">
        <f>SUMIF(修正!C59:C119,C8,修正!F59:F119)</f>
        <v>0</v>
      </c>
      <c r="D10" s="200" t="s">
        <v>141</v>
      </c>
      <c r="E10" s="200" t="e">
        <f>ROUND(C11/E7,4)</f>
        <v>#DIV/0!</v>
      </c>
      <c r="F10" s="2751" t="s">
        <v>2861</v>
      </c>
      <c r="G10" s="2752"/>
      <c r="H10" s="2752"/>
      <c r="I10" s="2752"/>
      <c r="J10" s="2753"/>
      <c r="K10" s="1370"/>
      <c r="L10" s="2726"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54" t="s">
        <v>2863</v>
      </c>
      <c r="C11" s="920">
        <f>C10/4</f>
        <v>0</v>
      </c>
      <c r="D11" s="920" t="s">
        <v>142</v>
      </c>
      <c r="E11" s="920" t="e">
        <f>ROUND(C11/E7,4)</f>
        <v>#DIV/0!</v>
      </c>
      <c r="F11" s="2755" t="s">
        <v>2864</v>
      </c>
      <c r="G11" s="2756"/>
      <c r="H11" s="2756"/>
      <c r="I11" s="2756"/>
      <c r="J11" s="2757"/>
      <c r="K11" s="1370"/>
      <c r="L11" s="2726"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0" t="s">
        <v>2866</v>
      </c>
      <c r="X11" s="1614" t="s">
        <v>2867</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85" t="s">
        <v>2868</v>
      </c>
      <c r="B12" s="2758" t="s">
        <v>2869</v>
      </c>
      <c r="C12" s="916">
        <f>ROUND(C15*D15*E15*F15*G15*H15*I15*J15,4)</f>
        <v>1</v>
      </c>
      <c r="D12" s="2759" t="s">
        <v>2870</v>
      </c>
      <c r="E12" s="2760"/>
      <c r="F12" s="2760"/>
      <c r="G12" s="2761"/>
      <c r="H12" s="2761"/>
      <c r="I12" s="2761"/>
      <c r="J12" s="2762"/>
      <c r="K12" s="1370"/>
      <c r="L12" s="2763"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0"/>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64" t="s">
        <v>2873</v>
      </c>
      <c r="C13" s="2765" t="s">
        <v>2874</v>
      </c>
      <c r="D13" s="1808" t="s">
        <v>2875</v>
      </c>
      <c r="E13" s="1808" t="s">
        <v>2876</v>
      </c>
      <c r="F13" s="30" t="s">
        <v>2877</v>
      </c>
      <c r="G13" s="2766" t="s">
        <v>2878</v>
      </c>
      <c r="H13" s="2766" t="s">
        <v>2878</v>
      </c>
      <c r="I13" s="2766" t="s">
        <v>2878</v>
      </c>
      <c r="J13" s="2767" t="s">
        <v>2878</v>
      </c>
      <c r="K13" s="1370"/>
      <c r="L13" s="1370"/>
      <c r="M13" s="1370"/>
      <c r="N13" s="1370"/>
      <c r="O13" s="1370"/>
      <c r="P13" s="1370"/>
      <c r="Q13" s="1370"/>
      <c r="R13" s="1602">
        <v>12</v>
      </c>
      <c r="S13" s="1603"/>
      <c r="T13" s="1602">
        <f t="shared" ca="1" si="0"/>
        <v>0</v>
      </c>
      <c r="U13" s="1603"/>
      <c r="V13" s="1602">
        <f t="shared" ca="1" si="1"/>
        <v>0</v>
      </c>
      <c r="W13" s="3280"/>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87"/>
      <c r="B14" s="2768"/>
      <c r="C14" s="2769"/>
      <c r="D14" s="2770"/>
      <c r="E14" s="2770"/>
      <c r="F14" s="2771"/>
      <c r="G14" s="2772" t="s">
        <v>2879</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8"/>
      <c r="B15" s="2776" t="s">
        <v>2880</v>
      </c>
      <c r="C15" s="229">
        <f>IF(C14="有",1.1,1)</f>
        <v>1</v>
      </c>
      <c r="D15" s="229">
        <f>IF(D14="有",1.1,1)</f>
        <v>1</v>
      </c>
      <c r="E15" s="229">
        <f>IF(E14="有",1.1,1)</f>
        <v>1</v>
      </c>
      <c r="F15" s="229">
        <f>IF(F14="500米范围内",1.2,IF(F14="500-1000米",1.1,1))</f>
        <v>1</v>
      </c>
      <c r="G15" s="946">
        <v>1</v>
      </c>
      <c r="H15" s="946">
        <v>1</v>
      </c>
      <c r="I15" s="946">
        <v>1</v>
      </c>
      <c r="J15" s="947">
        <v>1</v>
      </c>
      <c r="K15" s="1370"/>
      <c r="L15" s="2777" t="s">
        <v>2816</v>
      </c>
      <c r="M15" s="917" t="s">
        <v>2881</v>
      </c>
      <c r="N15" s="917" t="s">
        <v>2882</v>
      </c>
      <c r="O15" s="917" t="s">
        <v>2883</v>
      </c>
      <c r="P15" s="2778"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5" t="s">
        <v>2885</v>
      </c>
      <c r="B16" s="2745" t="s">
        <v>2886</v>
      </c>
      <c r="C16" s="1801">
        <f>ROUND(SUM(G17:J17)/C17,0)</f>
        <v>33</v>
      </c>
      <c r="D16" s="2779" t="s">
        <v>2887</v>
      </c>
      <c r="E16" s="2780" t="s">
        <v>3321</v>
      </c>
      <c r="F16" s="2781" t="s">
        <v>3326</v>
      </c>
      <c r="G16" s="2782" t="s">
        <v>3325</v>
      </c>
      <c r="H16" s="2782"/>
      <c r="I16" s="2782"/>
      <c r="J16" s="2783"/>
      <c r="K16" s="1370"/>
      <c r="L16" s="2784"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6"/>
      <c r="B17" s="2785" t="s">
        <v>2889</v>
      </c>
      <c r="C17" s="921">
        <f>SUMPRODUCT((修正!A2:A5=E2)*(修正!B1:M1=G2)*(修正!B2:M5))</f>
        <v>1.5</v>
      </c>
      <c r="D17" s="2786" t="s">
        <v>2890</v>
      </c>
      <c r="E17" s="920" t="str">
        <f>IF(OR(G2="八级",G2="九级",G2="十级",G2="十一级",G2="十二级"),"五通一平","七通一平")</f>
        <v>七通一平</v>
      </c>
      <c r="F17" s="921" t="s">
        <v>2891</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7"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2893</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2894</v>
      </c>
      <c r="C19" s="924">
        <f>ROUND(IF(H19="按公示增长率计算",SUMPRODUCT((地价!A3:A22=YEAR(G19)&amp;"-"&amp;ROUNDUP(MONTH(G19)/3,0))*(地价!X2:AB2=E2)*(地价!X3:AB22)),IF(H19="地价指数",M20/M19,(1+I19)^O19)),4)</f>
        <v>1.2557</v>
      </c>
      <c r="D19" s="2797" t="s">
        <v>2895</v>
      </c>
      <c r="E19" s="925">
        <v>41640</v>
      </c>
      <c r="F19" s="2797" t="s">
        <v>2896</v>
      </c>
      <c r="G19" s="926">
        <f>'数据-取费表'!B2</f>
        <v>43276</v>
      </c>
      <c r="H19" s="2798" t="s">
        <v>3322</v>
      </c>
      <c r="I19" s="927" t="str">
        <f>IF(H19="季度增幅（自定义）",SUMIF(N21:N24,E2,O21:O24),"")</f>
        <v/>
      </c>
      <c r="J19" s="2795"/>
      <c r="K19" s="1377"/>
      <c r="L19" s="2799" t="s">
        <v>2897</v>
      </c>
      <c r="M19" s="1734">
        <f>ROUND(SUMIF(地价!B2:F2,E2,地价!B22:F22),0)</f>
        <v>230</v>
      </c>
      <c r="N19" s="2800" t="s">
        <v>2898</v>
      </c>
      <c r="O19" s="928">
        <f>ROUNDDOWN(DATEDIF(E19,G19,"M")/3,0)</f>
        <v>17</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2899</v>
      </c>
      <c r="C20" s="929">
        <f ca="1">ROUND(POWER(1+G20,J20-I20)*(POWER(1+G20,I20)-1)/(POWER(1+G20,J20)-1),4)</f>
        <v>0.9758</v>
      </c>
      <c r="D20" s="2806" t="s">
        <v>2900</v>
      </c>
      <c r="E20" s="1768">
        <f ca="1">存贷款利率!D4/100</f>
        <v>4.3499999999999997E-2</v>
      </c>
      <c r="F20" s="2806" t="s">
        <v>2892</v>
      </c>
      <c r="G20" s="934">
        <f ca="1">SUMIF(M15:P15,E2,M17:P17)</f>
        <v>4.8000000000000001E-2</v>
      </c>
      <c r="H20" s="2806" t="s">
        <v>2901</v>
      </c>
      <c r="I20" s="935">
        <f>SUMIF('数据-取费表'!C6:C15,E2,'数据-取费表'!F6:F15)/COUNTIF('数据-取费表'!C6:C15,E2)</f>
        <v>45.609999999999992</v>
      </c>
      <c r="J20" s="936">
        <f>IF(E2="住宅",70,IF(E2="商业",40,50))</f>
        <v>50</v>
      </c>
      <c r="K20" s="1377"/>
      <c r="L20" s="2807" t="s">
        <v>2902</v>
      </c>
      <c r="M20" s="1735">
        <f>ROUND(SUMPRODUCT((地价!A4:A22=YEAR(G19)&amp;"-"&amp;ROUNDUP(MONTH(G19)/3,0))*(地价!B2:F2=E2)*(地价!B4:F22)),0)</f>
        <v>289</v>
      </c>
      <c r="N20" s="2808" t="s">
        <v>2903</v>
      </c>
      <c r="O20" s="2809" t="s">
        <v>2904</v>
      </c>
      <c r="P20" s="2810" t="s">
        <v>2905</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3323</v>
      </c>
      <c r="C21" s="937">
        <f>IF(B21="容积率修正",IF(G3&lt;=10,D22,J22),C23)</f>
        <v>1.0304</v>
      </c>
      <c r="D21" s="2813"/>
      <c r="E21" s="2813"/>
      <c r="F21" s="2813"/>
      <c r="G21" s="2813"/>
      <c r="H21" s="2813"/>
      <c r="I21" s="2813"/>
      <c r="J21" s="2814"/>
      <c r="K21" s="1377"/>
      <c r="N21" s="2815"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2907</v>
      </c>
      <c r="B22" s="2816" t="s">
        <v>2908</v>
      </c>
      <c r="C22" s="1810" t="s">
        <v>2909</v>
      </c>
      <c r="D22" s="1810">
        <f>IF(E22=G22,F22,IF(G3&lt;=10,ROUND(F22+(H22-F22)*(G3-E22)/(G22-E22),4),"——"))</f>
        <v>1.0304</v>
      </c>
      <c r="E22" s="913">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1.0589999999999999</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4" t="s">
        <v>2911</v>
      </c>
      <c r="B23" s="2817" t="s">
        <v>2912</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2914</v>
      </c>
      <c r="C24" s="924">
        <f>SUMIF(A45:A88,E2,B45:B88)</f>
        <v>1.0079</v>
      </c>
      <c r="D24" s="2793"/>
      <c r="E24" s="2823"/>
      <c r="F24" s="2823"/>
      <c r="G24" s="2823"/>
      <c r="H24" s="2823"/>
      <c r="I24" s="2823"/>
      <c r="J24" s="2824"/>
      <c r="K24" s="1377"/>
      <c r="N24" s="2825"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2916</v>
      </c>
      <c r="C25" s="930"/>
      <c r="D25" s="2748"/>
      <c r="E25" s="2748"/>
      <c r="F25" s="2827"/>
      <c r="G25" s="2748"/>
      <c r="H25" s="2748"/>
      <c r="I25" s="2748"/>
      <c r="J25" s="2749"/>
      <c r="K25" s="1370"/>
      <c r="N25" s="2828"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9"/>
      <c r="B26" s="2816" t="s">
        <v>2918</v>
      </c>
      <c r="C26" s="206">
        <f ca="1">E29+SUM(E33:E39)</f>
        <v>5745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2919</v>
      </c>
      <c r="C27" s="931" t="e">
        <f ca="1">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2920</v>
      </c>
      <c r="C28" s="2840" t="s">
        <v>2921</v>
      </c>
      <c r="D28" s="2840" t="s">
        <v>2922</v>
      </c>
      <c r="E28" s="2841" t="s">
        <v>2923</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2924</v>
      </c>
      <c r="C29" s="206">
        <f ca="1">ROUND(C5*C18*C19*C20*C21*C24,0)</f>
        <v>2910</v>
      </c>
      <c r="D29" s="2845">
        <f>'数据-汇总表'!F19</f>
        <v>16443.89</v>
      </c>
      <c r="E29" s="942">
        <f ca="1">ROUND(C29*D29/10000,0)</f>
        <v>4785</v>
      </c>
      <c r="F29" s="2846" t="s">
        <v>2925</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2926</v>
      </c>
      <c r="C30" s="229">
        <f ca="1">ROUND(IF(E2="工业",C29*M39,C29*M38),0)</f>
        <v>437</v>
      </c>
      <c r="D30" s="2851"/>
      <c r="E30" s="942">
        <f ca="1">ROUND(C30*D30/10000,0)</f>
        <v>0</v>
      </c>
      <c r="F30" s="2852" t="s">
        <v>2927</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2921</v>
      </c>
      <c r="D32" s="498" t="s">
        <v>2922</v>
      </c>
      <c r="E32" s="498" t="s">
        <v>2923</v>
      </c>
      <c r="F32" s="388" t="s">
        <v>2931</v>
      </c>
      <c r="G32" s="2860" t="s">
        <v>2921</v>
      </c>
      <c r="H32" s="2860" t="s">
        <v>2922</v>
      </c>
      <c r="I32" s="2860"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95" t="s">
        <v>2932</v>
      </c>
      <c r="B33" s="2861" t="s">
        <v>2933</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6"/>
      <c r="B34" s="2765" t="s">
        <v>2934</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6"/>
      <c r="B35" s="2765" t="s">
        <v>2935</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297"/>
      <c r="B36" s="2765" t="s">
        <v>2936</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2937</v>
      </c>
      <c r="C37" s="200">
        <f ca="1">ROUND(C5*C19*C20*C24*F37,0)</f>
        <v>706</v>
      </c>
      <c r="D37" s="2845"/>
      <c r="E37" s="200">
        <f t="shared" ca="1" si="7"/>
        <v>0</v>
      </c>
      <c r="F37" s="206">
        <f>SUMIF(修正!A45:A56,G2,修正!F45:F56)</f>
        <v>0.25</v>
      </c>
      <c r="G37" s="200">
        <f t="shared" ca="1" si="6"/>
        <v>177</v>
      </c>
      <c r="H37" s="200">
        <f t="shared" si="8"/>
        <v>0</v>
      </c>
      <c r="I37" s="200">
        <f t="shared" ca="1" si="9"/>
        <v>0</v>
      </c>
      <c r="J37" s="2862"/>
      <c r="K37" s="1370"/>
      <c r="L37" s="2864" t="s">
        <v>2938</v>
      </c>
      <c r="M37" s="2865"/>
      <c r="N37" s="1370"/>
      <c r="O37" s="1370"/>
      <c r="P37" s="1370"/>
      <c r="Q37" s="1370"/>
      <c r="R37" s="1370"/>
      <c r="S37" s="1370"/>
      <c r="T37" s="1370"/>
      <c r="U37" s="1370"/>
      <c r="V37" s="1370"/>
      <c r="W37" s="1370"/>
      <c r="X37" s="1370"/>
      <c r="Y37" s="1370"/>
      <c r="Z37" s="1371"/>
    </row>
    <row r="38" spans="1:37">
      <c r="A38" s="2863"/>
      <c r="B38" s="2765" t="s">
        <v>2939</v>
      </c>
      <c r="C38" s="200">
        <f ca="1">ROUND(C5*C19*C20*C24*F38,0)</f>
        <v>706</v>
      </c>
      <c r="D38" s="2845">
        <f>'数据-汇总表'!G20</f>
        <v>8588.09</v>
      </c>
      <c r="E38" s="200">
        <f t="shared" ca="1" si="7"/>
        <v>606</v>
      </c>
      <c r="F38" s="206">
        <f>SUMIF(修正!A45:A56,G2,修正!G45:G56)</f>
        <v>0.25</v>
      </c>
      <c r="G38" s="200">
        <f t="shared" ca="1" si="6"/>
        <v>177</v>
      </c>
      <c r="H38" s="200">
        <f t="shared" si="8"/>
        <v>8588.09</v>
      </c>
      <c r="I38" s="200">
        <f t="shared" ca="1" si="9"/>
        <v>152</v>
      </c>
      <c r="J38" s="2862"/>
      <c r="K38" s="1370"/>
      <c r="L38" s="1887" t="s">
        <v>2940</v>
      </c>
      <c r="M38" s="2866">
        <v>0.25</v>
      </c>
      <c r="N38" s="1370"/>
      <c r="O38" s="1370"/>
      <c r="P38" s="1370"/>
      <c r="Q38" s="1370"/>
      <c r="R38" s="1370"/>
      <c r="S38" s="1370"/>
      <c r="T38" s="1370"/>
      <c r="U38" s="1370"/>
      <c r="V38" s="1370"/>
      <c r="W38" s="1370"/>
      <c r="X38" s="1370"/>
      <c r="Y38" s="1370"/>
      <c r="Z38" s="1371"/>
    </row>
    <row r="39" spans="1:37" ht="13.5" thickBot="1">
      <c r="A39" s="2849"/>
      <c r="B39" s="2867" t="s">
        <v>2941</v>
      </c>
      <c r="C39" s="229">
        <f ca="1">ROUND(C5*C19*C20*C24*F39,0)</f>
        <v>565</v>
      </c>
      <c r="D39" s="2851">
        <f>'数据-汇总表'!G21</f>
        <v>6269.49</v>
      </c>
      <c r="E39" s="229">
        <f t="shared" ca="1" si="7"/>
        <v>354</v>
      </c>
      <c r="F39" s="932">
        <f>SUMIF(修正!A45:A56,G2,修正!H45:H56)</f>
        <v>0.2</v>
      </c>
      <c r="G39" s="229" t="e">
        <f t="shared" si="6"/>
        <v>#DIV/0!</v>
      </c>
      <c r="H39" s="229">
        <f t="shared" si="8"/>
        <v>6269.49</v>
      </c>
      <c r="I39" s="229" t="e">
        <f t="shared" si="9"/>
        <v>#DIV/0!</v>
      </c>
      <c r="J39" s="2868"/>
      <c r="K39" s="1370"/>
      <c r="L39" s="2869" t="s">
        <v>2884</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2942</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2943</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2944</v>
      </c>
      <c r="B47" s="1809" t="s">
        <v>2945</v>
      </c>
      <c r="C47" s="1809" t="s">
        <v>2946</v>
      </c>
      <c r="D47" s="1809" t="s">
        <v>2947</v>
      </c>
      <c r="E47" s="816" t="s">
        <v>2948</v>
      </c>
      <c r="F47" s="2879" t="s">
        <v>2949</v>
      </c>
      <c r="G47" s="1809" t="s">
        <v>754</v>
      </c>
      <c r="H47" s="2880" t="s">
        <v>2950</v>
      </c>
      <c r="I47" s="1809"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78" t="s">
        <v>2952</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2953</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2954</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2955</v>
      </c>
      <c r="B51" s="2883" t="s">
        <v>2956</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2957</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2958</v>
      </c>
      <c r="B53" s="2884" t="s">
        <v>2959</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2960</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2961</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2962</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2963</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2944</v>
      </c>
      <c r="B58" s="1809"/>
      <c r="C58" s="1809" t="s">
        <v>2946</v>
      </c>
      <c r="D58" s="1809" t="s">
        <v>2947</v>
      </c>
      <c r="E58" s="816" t="s">
        <v>2948</v>
      </c>
      <c r="F58" s="2879" t="s">
        <v>2964</v>
      </c>
      <c r="G58" s="1809" t="s">
        <v>754</v>
      </c>
      <c r="H58" s="2880" t="s">
        <v>2950</v>
      </c>
      <c r="I58" s="1809"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78" t="s">
        <v>2965</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2953</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2954</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2955</v>
      </c>
      <c r="B62" s="2883" t="s">
        <v>2956</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2957</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2958</v>
      </c>
      <c r="B64" s="2884" t="s">
        <v>2959</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2960</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2961</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2962</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2966</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2944</v>
      </c>
      <c r="B69" s="1809"/>
      <c r="C69" s="1809" t="s">
        <v>2946</v>
      </c>
      <c r="D69" s="1809" t="s">
        <v>2947</v>
      </c>
      <c r="E69" s="816" t="s">
        <v>2948</v>
      </c>
      <c r="F69" s="2879" t="s">
        <v>2964</v>
      </c>
      <c r="G69" s="1809" t="s">
        <v>754</v>
      </c>
      <c r="H69" s="2880" t="s">
        <v>2950</v>
      </c>
      <c r="I69" s="1809"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78" t="s">
        <v>2967</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2953</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2954</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2968</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2960</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2961</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2958</v>
      </c>
      <c r="B76" s="2884" t="s">
        <v>2959</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2962</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2969</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2970</v>
      </c>
      <c r="B79" s="2875">
        <f>1+E81</f>
        <v>1.0079</v>
      </c>
      <c r="C79" s="811"/>
      <c r="D79" s="811"/>
      <c r="E79" s="812"/>
      <c r="F79" s="2877"/>
      <c r="G79" s="6"/>
      <c r="H79" s="6"/>
      <c r="I79" s="6"/>
      <c r="J79" s="7"/>
      <c r="K79" s="7"/>
      <c r="L79" s="7"/>
      <c r="M79" s="7"/>
      <c r="N79" s="7"/>
      <c r="Z79" s="2720"/>
      <c r="AA79" s="2796"/>
      <c r="AG79" s="1372"/>
      <c r="AK79" s="2796"/>
    </row>
    <row r="80" spans="1:37" ht="24.75">
      <c r="A80" s="2878" t="s">
        <v>2944</v>
      </c>
      <c r="B80" s="1809"/>
      <c r="C80" s="1809" t="s">
        <v>2946</v>
      </c>
      <c r="D80" s="1809" t="s">
        <v>2947</v>
      </c>
      <c r="E80" s="816" t="s">
        <v>2948</v>
      </c>
      <c r="F80" s="2879" t="s">
        <v>2964</v>
      </c>
      <c r="G80" s="1809" t="s">
        <v>754</v>
      </c>
      <c r="H80" s="2880" t="s">
        <v>2950</v>
      </c>
      <c r="I80" s="1809" t="s">
        <v>2951</v>
      </c>
      <c r="J80" s="603" t="s">
        <v>2600</v>
      </c>
      <c r="K80" s="603" t="s">
        <v>2601</v>
      </c>
      <c r="L80" s="603" t="s">
        <v>2602</v>
      </c>
      <c r="M80" s="603" t="s">
        <v>2603</v>
      </c>
      <c r="N80" s="603" t="s">
        <v>2604</v>
      </c>
      <c r="Z80" s="2720"/>
      <c r="AA80" s="2796"/>
      <c r="AG80" s="1372"/>
      <c r="AK80" s="2796"/>
    </row>
    <row r="81" spans="1:37" ht="38.25">
      <c r="A81" s="2878" t="s">
        <v>2971</v>
      </c>
      <c r="B81" s="2882" t="str">
        <f>估价对象房地状况!G15</f>
        <v>估价对象位于XX开发区，园区建设成熟度XX，产业集聚程度XX</v>
      </c>
      <c r="C81" s="2770" t="s">
        <v>3087</v>
      </c>
      <c r="D81" s="1286">
        <f t="shared" ref="D81:D88" si="25">SUMIF($J$80:$N$80,C81,J81:N81)</f>
        <v>6.4999999999999997E-3</v>
      </c>
      <c r="E81" s="818">
        <f>ROUND(SUM(D81:D88),4)</f>
        <v>7.9000000000000008E-3</v>
      </c>
      <c r="F81" s="2502">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6"/>
      <c r="AG81" s="1372"/>
      <c r="AK81" s="2796"/>
    </row>
    <row r="82" spans="1:37" ht="51">
      <c r="A82" s="2878" t="s">
        <v>2953</v>
      </c>
      <c r="B82" s="2882" t="str">
        <f>估价对象房地状况!G16</f>
        <v>估价对象周边道路状况、公共交通通达情况、停车便捷程度，综合评价交通便捷度较好</v>
      </c>
      <c r="C82" s="2770" t="s">
        <v>3086</v>
      </c>
      <c r="D82" s="1286">
        <f t="shared" si="25"/>
        <v>0</v>
      </c>
      <c r="E82" s="823"/>
      <c r="F82" s="2502"/>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6"/>
      <c r="AG82" s="1372"/>
      <c r="AK82" s="2796"/>
    </row>
    <row r="83" spans="1:37" ht="24">
      <c r="A83" s="2878" t="s">
        <v>2954</v>
      </c>
      <c r="B83" s="2882">
        <f>估价对象房地状况!G17</f>
        <v>0</v>
      </c>
      <c r="C83" s="2770" t="s">
        <v>3087</v>
      </c>
      <c r="D83" s="1286">
        <f t="shared" si="25"/>
        <v>1.1999999999999999E-3</v>
      </c>
      <c r="E83" s="823"/>
      <c r="F83" s="2502"/>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6"/>
      <c r="AG83" s="1372"/>
      <c r="AK83" s="2796"/>
    </row>
    <row r="84" spans="1:37" ht="18" customHeight="1">
      <c r="A84" s="2878" t="s">
        <v>2968</v>
      </c>
      <c r="B84" s="2882">
        <f>估价对象房地状况!G22</f>
        <v>0</v>
      </c>
      <c r="C84" s="2770" t="s">
        <v>3324</v>
      </c>
      <c r="D84" s="1286">
        <f t="shared" si="25"/>
        <v>-1E-3</v>
      </c>
      <c r="E84" s="823"/>
      <c r="F84" s="2502"/>
      <c r="G84" s="1284">
        <v>1E-3</v>
      </c>
      <c r="H84" s="1288">
        <f t="shared" si="26"/>
        <v>1E-3</v>
      </c>
      <c r="I84" s="817">
        <v>0.04</v>
      </c>
      <c r="J84" s="1285">
        <f t="shared" si="27"/>
        <v>2E-3</v>
      </c>
      <c r="K84" s="1285">
        <f t="shared" si="28"/>
        <v>1E-3</v>
      </c>
      <c r="L84" s="1285">
        <v>0</v>
      </c>
      <c r="M84" s="1285">
        <f t="shared" si="29"/>
        <v>-1E-3</v>
      </c>
      <c r="N84" s="1285">
        <f t="shared" si="29"/>
        <v>-2E-3</v>
      </c>
      <c r="Z84" s="2720"/>
      <c r="AA84" s="2796"/>
      <c r="AG84" s="1372"/>
      <c r="AK84" s="2796"/>
    </row>
    <row r="85" spans="1:37" ht="25.5">
      <c r="A85" s="2878" t="s">
        <v>2960</v>
      </c>
      <c r="B85" s="1725" t="str">
        <f>估价对象房地状况!G19</f>
        <v>估价对象所在区域公共配套设施齐备情况</v>
      </c>
      <c r="C85" s="2770" t="s">
        <v>3086</v>
      </c>
      <c r="D85" s="1286">
        <f t="shared" si="25"/>
        <v>0</v>
      </c>
      <c r="E85" s="823"/>
      <c r="F85" s="2502"/>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6"/>
      <c r="AG85" s="1372"/>
      <c r="AK85" s="2796"/>
    </row>
    <row r="86" spans="1:37" ht="25.5">
      <c r="A86" s="2878" t="s">
        <v>2961</v>
      </c>
      <c r="B86" s="1725" t="str">
        <f>估价对象房地状况!G20</f>
        <v>估价对象所在区域基础设施水平</v>
      </c>
      <c r="C86" s="2770" t="s">
        <v>3086</v>
      </c>
      <c r="D86" s="1286">
        <f t="shared" si="25"/>
        <v>0</v>
      </c>
      <c r="E86" s="823"/>
      <c r="F86" s="2502"/>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6"/>
      <c r="AG86" s="1372"/>
      <c r="AK86" s="2796"/>
    </row>
    <row r="87" spans="1:37" ht="24">
      <c r="A87" s="2878" t="s">
        <v>2958</v>
      </c>
      <c r="B87" s="2884" t="s">
        <v>2972</v>
      </c>
      <c r="C87" s="2770" t="s">
        <v>3087</v>
      </c>
      <c r="D87" s="1286">
        <f t="shared" si="25"/>
        <v>1.1999999999999999E-3</v>
      </c>
      <c r="E87" s="823"/>
      <c r="F87" s="2502"/>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6"/>
      <c r="AG87" s="1372"/>
      <c r="AK87" s="2796"/>
    </row>
    <row r="88" spans="1:37" ht="39" thickBot="1">
      <c r="A88" s="2886" t="s">
        <v>2973</v>
      </c>
      <c r="B88" s="2891" t="str">
        <f>估价对象房地状况!G18</f>
        <v>该园区内是否有污染型企业，绿化情况，卫生条件，整体环境状况判断</v>
      </c>
      <c r="C88" s="2770" t="s">
        <v>3086</v>
      </c>
      <c r="D88" s="1286">
        <f t="shared" si="25"/>
        <v>0</v>
      </c>
      <c r="E88" s="824"/>
      <c r="F88" s="2502"/>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6"/>
      <c r="AG88" s="1372"/>
      <c r="AK88" s="2796"/>
    </row>
    <row r="90" spans="1:37">
      <c r="A90" s="3289" t="s">
        <v>2974</v>
      </c>
      <c r="B90" s="3289"/>
      <c r="C90" s="3289"/>
      <c r="D90" s="3289"/>
      <c r="E90" s="3289"/>
      <c r="F90" s="3289"/>
      <c r="G90" s="3289"/>
      <c r="H90" s="3289"/>
      <c r="I90" s="3289"/>
      <c r="J90" s="3289"/>
      <c r="K90" s="2892"/>
      <c r="L90" s="2892"/>
      <c r="M90" s="2892"/>
      <c r="N90" s="2892"/>
    </row>
    <row r="91" spans="1:37">
      <c r="A91" s="3291" t="s">
        <v>2975</v>
      </c>
      <c r="B91" s="3291" t="s">
        <v>2976</v>
      </c>
      <c r="C91" s="2846" t="s">
        <v>2977</v>
      </c>
      <c r="D91" s="2847"/>
      <c r="E91" s="2847"/>
      <c r="F91" s="2847"/>
      <c r="G91" s="2847"/>
      <c r="H91" s="2847"/>
      <c r="I91" s="2847"/>
      <c r="J91" s="2893"/>
      <c r="K91" s="2894"/>
      <c r="L91" s="2894"/>
      <c r="M91" s="2894"/>
      <c r="N91" s="2894"/>
    </row>
    <row r="92" spans="1:37">
      <c r="A92" s="3291"/>
      <c r="B92" s="3291"/>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92" t="s">
        <v>2978</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3"/>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2" t="s">
        <v>2979</v>
      </c>
      <c r="B101" s="2899" t="s">
        <v>2980</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93"/>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93"/>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93"/>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93"/>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93"/>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93"/>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93"/>
      <c r="B108" s="3149" t="s">
        <v>2981</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4"/>
      <c r="B109" s="3150"/>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90" t="s">
        <v>2982</v>
      </c>
      <c r="B110" s="3290"/>
      <c r="C110" s="3290"/>
      <c r="D110" s="3290"/>
      <c r="E110" s="3290"/>
      <c r="F110" s="3290"/>
      <c r="G110" s="3290"/>
      <c r="H110" s="3290"/>
      <c r="I110" s="3290"/>
      <c r="J110" s="3290"/>
      <c r="K110" s="2901"/>
      <c r="L110" s="2901"/>
      <c r="M110" s="2901"/>
      <c r="N110" s="2901"/>
    </row>
    <row r="112" spans="1:14" ht="13.5" thickBot="1"/>
    <row r="113" spans="1:13" ht="25.5" thickBot="1">
      <c r="A113" s="900" t="s">
        <v>2983</v>
      </c>
      <c r="B113" s="1287">
        <f>G3</f>
        <v>1.39</v>
      </c>
      <c r="C113" s="901" t="s">
        <v>2984</v>
      </c>
      <c r="D113" s="902">
        <f>SUMPRODUCT((A115:A118=F113)*(B114:M114=H113)*B115:M118)</f>
        <v>0.68759999999999999</v>
      </c>
      <c r="E113" s="2724" t="s">
        <v>2816</v>
      </c>
      <c r="F113" s="2903" t="str">
        <f>E2</f>
        <v>工业</v>
      </c>
      <c r="G113" s="2724" t="s">
        <v>2817</v>
      </c>
      <c r="H113" s="2903" t="str">
        <f>G2</f>
        <v>五级</v>
      </c>
      <c r="I113" s="2724"/>
      <c r="J113" s="2904"/>
      <c r="K113" s="2904"/>
      <c r="L113" s="2904"/>
      <c r="M113" s="2904"/>
    </row>
    <row r="114" spans="1:13">
      <c r="A114" s="905"/>
      <c r="B114" s="2905" t="s">
        <v>2985</v>
      </c>
      <c r="C114" s="2905" t="s">
        <v>2986</v>
      </c>
      <c r="D114" s="2905" t="s">
        <v>2987</v>
      </c>
      <c r="E114" s="2906" t="s">
        <v>2988</v>
      </c>
      <c r="F114" s="2906" t="s">
        <v>2989</v>
      </c>
      <c r="G114" s="2906" t="s">
        <v>2990</v>
      </c>
      <c r="H114" s="2907" t="s">
        <v>2991</v>
      </c>
      <c r="I114" s="2907" t="s">
        <v>2992</v>
      </c>
      <c r="J114" s="2908" t="s">
        <v>2993</v>
      </c>
      <c r="K114" s="2908" t="s">
        <v>2994</v>
      </c>
      <c r="L114" s="2908" t="s">
        <v>2995</v>
      </c>
      <c r="M114" s="2909" t="s">
        <v>2996</v>
      </c>
    </row>
    <row r="115" spans="1:13">
      <c r="A115" s="906" t="s">
        <v>2881</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2882</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2883</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2884</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3005</v>
      </c>
    </row>
    <row r="2" spans="1:5" ht="15.75">
      <c r="A2" s="2910" t="s">
        <v>2997</v>
      </c>
      <c r="B2" s="2911">
        <f ca="1">SUMIF(B6:B13,"&lt;&gt;#ref!",B6:B13)</f>
        <v>5745</v>
      </c>
      <c r="C2" s="2910" t="s">
        <v>2998</v>
      </c>
      <c r="D2" s="2910" t="s">
        <v>2999</v>
      </c>
      <c r="E2" s="2911">
        <f ca="1">SUMIF(E6:E13,"&lt;&gt;#ref!",E6:E13)</f>
        <v>31301.47</v>
      </c>
    </row>
    <row r="3" spans="1:5" ht="15.75">
      <c r="A3" s="2910" t="s">
        <v>3000</v>
      </c>
      <c r="B3" s="2911">
        <f ca="1">ROUND(B2*10000/E2,0)</f>
        <v>1835</v>
      </c>
      <c r="C3" s="2910" t="s">
        <v>3006</v>
      </c>
      <c r="D3" s="2912"/>
      <c r="E3" s="2912"/>
    </row>
    <row r="4" spans="1:5" ht="15.75">
      <c r="A4" s="2913"/>
      <c r="B4" s="2912"/>
      <c r="C4" s="2912"/>
      <c r="D4" s="2912"/>
      <c r="E4" s="2912"/>
    </row>
    <row r="5" spans="1:5" ht="28.5">
      <c r="A5" s="2914" t="s">
        <v>3001</v>
      </c>
      <c r="B5" s="2910" t="s">
        <v>3002</v>
      </c>
      <c r="C5" s="2911"/>
      <c r="D5" s="2912"/>
      <c r="E5" s="2910" t="s">
        <v>3003</v>
      </c>
    </row>
    <row r="6" spans="1:5" ht="15.75">
      <c r="A6" s="2915" t="s">
        <v>3004</v>
      </c>
      <c r="B6" s="2911">
        <f ca="1">SUMIF(INDIRECT("'"&amp;A6&amp;"'"&amp;"!A:A"),"总价",INDIRECT("'"&amp;A6&amp;"'"&amp;"!B:B"))</f>
        <v>5745</v>
      </c>
      <c r="C6" s="2910" t="s">
        <v>2998</v>
      </c>
      <c r="D6" s="2912"/>
      <c r="E6" s="2575">
        <f ca="1">SUMIF(INDIRECT("'"&amp;A6&amp;"'"&amp;"!C:C"),"建筑面积",INDIRECT("'"&amp;A6&amp;"'"&amp;"!D:D"))</f>
        <v>31301.47</v>
      </c>
    </row>
    <row r="7" spans="1:5" ht="15.75">
      <c r="A7" s="2915"/>
      <c r="B7" s="2911" t="e">
        <f ca="1">SUMIF(INDIRECT("'"&amp;A7&amp;"'"&amp;"!A:A"),"总价",INDIRECT("'"&amp;A7&amp;"'"&amp;"!B:B"))</f>
        <v>#REF!</v>
      </c>
      <c r="C7" s="2910" t="s">
        <v>2998</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2998</v>
      </c>
      <c r="D8" s="2912"/>
      <c r="E8" s="2575" t="e">
        <f t="shared" ca="1" si="0"/>
        <v>#REF!</v>
      </c>
    </row>
    <row r="9" spans="1:5" ht="15.75">
      <c r="A9" s="2915"/>
      <c r="B9" s="2911" t="e">
        <f t="shared" ca="1" si="1"/>
        <v>#REF!</v>
      </c>
      <c r="C9" s="2910" t="s">
        <v>2998</v>
      </c>
      <c r="D9" s="2912"/>
      <c r="E9" s="2575" t="e">
        <f t="shared" ca="1" si="0"/>
        <v>#REF!</v>
      </c>
    </row>
    <row r="10" spans="1:5" ht="15.75">
      <c r="A10" s="2915"/>
      <c r="B10" s="2911" t="e">
        <f t="shared" ca="1" si="1"/>
        <v>#REF!</v>
      </c>
      <c r="C10" s="2910" t="s">
        <v>2998</v>
      </c>
      <c r="D10" s="2912"/>
      <c r="E10" s="2575" t="e">
        <f t="shared" ca="1" si="0"/>
        <v>#REF!</v>
      </c>
    </row>
    <row r="11" spans="1:5" ht="15.75">
      <c r="A11" s="2915"/>
      <c r="B11" s="2911" t="e">
        <f t="shared" ca="1" si="1"/>
        <v>#REF!</v>
      </c>
      <c r="C11" s="2910" t="s">
        <v>2998</v>
      </c>
      <c r="D11" s="2912"/>
      <c r="E11" s="2575" t="e">
        <f t="shared" ca="1" si="0"/>
        <v>#REF!</v>
      </c>
    </row>
    <row r="12" spans="1:5" ht="15.75">
      <c r="A12" s="2915"/>
      <c r="B12" s="2911" t="e">
        <f t="shared" ca="1" si="1"/>
        <v>#REF!</v>
      </c>
      <c r="C12" s="2910" t="s">
        <v>2998</v>
      </c>
      <c r="D12" s="2912"/>
      <c r="E12" s="2575" t="e">
        <f t="shared" ca="1" si="0"/>
        <v>#REF!</v>
      </c>
    </row>
    <row r="13" spans="1:5" ht="15.75">
      <c r="A13" s="2915"/>
      <c r="B13" s="2911" t="e">
        <f t="shared" ca="1" si="1"/>
        <v>#REF!</v>
      </c>
      <c r="C13" s="2910" t="s">
        <v>2998</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1"/>
      <c r="B4" s="2994" t="s">
        <v>1630</v>
      </c>
      <c r="C4" s="2994"/>
      <c r="D4" s="2994"/>
      <c r="E4" s="1961"/>
    </row>
    <row r="5" spans="1:5" ht="16.5" thickTop="1">
      <c r="A5" s="1959"/>
      <c r="B5" s="2992" t="s">
        <v>1622</v>
      </c>
      <c r="C5" s="1962" t="s">
        <v>1623</v>
      </c>
      <c r="D5" s="1040">
        <f ca="1">结果表!H101</f>
        <v>17480</v>
      </c>
      <c r="E5" s="1959"/>
    </row>
    <row r="6" spans="1:5" ht="15.75">
      <c r="A6" s="1959"/>
      <c r="B6" s="2992"/>
      <c r="C6" s="1962" t="s">
        <v>1624</v>
      </c>
      <c r="D6" s="1040" t="str">
        <f ca="1">NUMBERSTRING(INT(D5*10000),2)&amp;"元整"</f>
        <v>壹亿柒仟肆佰捌拾万元整</v>
      </c>
      <c r="E6" s="1959"/>
    </row>
    <row r="7" spans="1:5" ht="15.75">
      <c r="A7" s="1959"/>
      <c r="B7" s="2997"/>
      <c r="C7" s="1963" t="s">
        <v>1625</v>
      </c>
      <c r="D7" s="1041">
        <f ca="1">结果表!H102</f>
        <v>5366</v>
      </c>
      <c r="E7" s="1959"/>
    </row>
    <row r="8" spans="1:5" ht="15.75">
      <c r="A8" s="1959"/>
      <c r="B8" s="2998" t="str">
        <f>结果表!E103</f>
        <v>2.估价师知悉的法定优先受偿款</v>
      </c>
      <c r="C8" s="1964" t="s">
        <v>1626</v>
      </c>
      <c r="D8" s="1041">
        <f>结果表!H103</f>
        <v>0</v>
      </c>
      <c r="E8" s="1959"/>
    </row>
    <row r="9" spans="1:5" ht="15.75">
      <c r="A9" s="1959"/>
      <c r="B9" s="300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1" t="str">
        <f>结果表!E107</f>
        <v>3.房地产抵押价值</v>
      </c>
      <c r="C13" s="1967" t="s">
        <v>1623</v>
      </c>
      <c r="D13" s="1043">
        <f ca="1">结果表!H107</f>
        <v>17480</v>
      </c>
      <c r="E13" s="1959"/>
    </row>
    <row r="14" spans="1:5" ht="15.75">
      <c r="A14" s="1959"/>
      <c r="B14" s="2992"/>
      <c r="C14" s="1962" t="s">
        <v>1624</v>
      </c>
      <c r="D14" s="1040" t="str">
        <f ca="1">NUMBERSTRING(INT(D13*10000),2)&amp;"元整"</f>
        <v>壹亿柒仟肆佰捌拾万元整</v>
      </c>
      <c r="E14" s="1959"/>
    </row>
    <row r="15" spans="1:5" ht="15">
      <c r="A15" s="1959"/>
      <c r="B15" s="2997"/>
      <c r="C15" s="1963" t="s">
        <v>1634</v>
      </c>
      <c r="D15" s="1052">
        <f ca="1">结果表!H108</f>
        <v>5366</v>
      </c>
      <c r="E15" s="1959"/>
    </row>
    <row r="16" spans="1:5" ht="15">
      <c r="A16" s="1959"/>
      <c r="B16" s="2998" t="str">
        <f>结果表!E109</f>
        <v>——</v>
      </c>
      <c r="C16" s="1967" t="s">
        <v>1635</v>
      </c>
      <c r="D16" s="1968" t="str">
        <f>结果表!H109</f>
        <v>——</v>
      </c>
      <c r="E16" s="1959"/>
    </row>
    <row r="17" spans="1:5" ht="15.75">
      <c r="A17" s="1959"/>
      <c r="B17" s="2999"/>
      <c r="C17" s="1962" t="s">
        <v>1636</v>
      </c>
      <c r="D17" s="1040" t="e">
        <f>NUMBERSTRING(INT(D16*10000),2)&amp;"元整"</f>
        <v>#VALUE!</v>
      </c>
      <c r="E17" s="1959"/>
    </row>
    <row r="18" spans="1:5" ht="15">
      <c r="A18" s="1959"/>
      <c r="B18" s="3000"/>
      <c r="C18" s="1963" t="s">
        <v>1625</v>
      </c>
      <c r="D18" s="1052" t="str">
        <f>结果表!H110</f>
        <v>——</v>
      </c>
      <c r="E18" s="1959"/>
    </row>
    <row r="19" spans="1:5" ht="15.75">
      <c r="A19" s="1959"/>
      <c r="B19" s="2991" t="str">
        <f>结果表!E111</f>
        <v>——</v>
      </c>
      <c r="C19" s="1967" t="s">
        <v>1623</v>
      </c>
      <c r="D19" s="1041" t="str">
        <f>结果表!H111</f>
        <v>——</v>
      </c>
      <c r="E19" s="1959"/>
    </row>
    <row r="20" spans="1:5" ht="15.75">
      <c r="A20" s="1959"/>
      <c r="B20" s="2992"/>
      <c r="C20" s="1962" t="s">
        <v>1636</v>
      </c>
      <c r="D20" s="1040" t="e">
        <f>NUMBERSTRING(INT(D19*10000),2)&amp;"元整"</f>
        <v>#VALUE!</v>
      </c>
      <c r="E20" s="1959"/>
    </row>
    <row r="21" spans="1:5" ht="15.75" thickBot="1">
      <c r="A21" s="1959"/>
      <c r="B21" s="299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115" zoomScaleNormal="115" workbookViewId="0">
      <selection activeCell="A33" sqref="A33:A3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1150</v>
      </c>
      <c r="C1" s="3304"/>
      <c r="D1" s="3304"/>
      <c r="E1" s="3304"/>
      <c r="F1" s="3304"/>
      <c r="G1" s="3303" t="s">
        <v>1151</v>
      </c>
      <c r="H1" s="3303"/>
      <c r="I1" s="3303"/>
      <c r="J1" s="3303"/>
      <c r="K1" s="3303"/>
      <c r="L1" s="3303"/>
      <c r="N1" s="3303" t="s">
        <v>1152</v>
      </c>
      <c r="O1" s="3303"/>
      <c r="P1" s="3303"/>
      <c r="Q1" s="3303"/>
      <c r="R1" s="1446"/>
      <c r="S1" s="3303" t="s">
        <v>1153</v>
      </c>
      <c r="T1" s="3303"/>
      <c r="U1" s="3303"/>
      <c r="V1" s="3303"/>
      <c r="X1" s="3302" t="s">
        <v>1154</v>
      </c>
      <c r="Y1" s="3303"/>
      <c r="Z1" s="3303"/>
      <c r="AA1" s="3303"/>
      <c r="AB1" s="3303"/>
      <c r="AD1" s="3302" t="s">
        <v>1155</v>
      </c>
      <c r="AE1" s="3303"/>
      <c r="AF1" s="3303"/>
      <c r="AG1" s="3303"/>
      <c r="AH1" s="330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3040</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9">
        <v>2018</v>
      </c>
      <c r="H5" s="1730">
        <v>2</v>
      </c>
      <c r="I5" s="2924">
        <v>0</v>
      </c>
      <c r="J5" s="2924">
        <v>0</v>
      </c>
      <c r="K5" s="2924">
        <v>0</v>
      </c>
      <c r="L5" s="2924">
        <v>0</v>
      </c>
      <c r="N5" s="1467">
        <f t="shared" ref="N5" si="7">I5/100</f>
        <v>0</v>
      </c>
      <c r="O5" s="1467">
        <f t="shared" ref="O5" si="8">J5/100</f>
        <v>0</v>
      </c>
      <c r="P5" s="1467">
        <f t="shared" ref="P5" si="9">K5/100</f>
        <v>0</v>
      </c>
      <c r="Q5" s="1467">
        <f t="shared" ref="Q5" si="10">L5/100</f>
        <v>0</v>
      </c>
      <c r="R5" s="1732"/>
      <c r="S5" s="1733"/>
      <c r="T5" s="1732"/>
      <c r="U5" s="1732"/>
      <c r="V5" s="1732"/>
      <c r="W5" s="2928" t="s">
        <v>3041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0">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3036</v>
      </c>
      <c r="B7" s="1469">
        <v>439</v>
      </c>
      <c r="C7" s="1469">
        <v>327</v>
      </c>
      <c r="D7" s="1469">
        <f>C7</f>
        <v>327</v>
      </c>
      <c r="E7" s="1469">
        <v>627</v>
      </c>
      <c r="F7" s="1470">
        <v>283</v>
      </c>
      <c r="G7" s="2926">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2"/>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1"/>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2"/>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0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00"/>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00"/>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01"/>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99">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00"/>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00"/>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01"/>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99">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00"/>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00"/>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01"/>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0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0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0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0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99">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00"/>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00"/>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01"/>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99">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00">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00">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01">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99">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00">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00">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01">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99">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00">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00">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01">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99">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00">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00">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01">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99">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00">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00">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01">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99">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00">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00">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01">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99">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00">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00">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01">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99">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00">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00">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01">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9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00">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00">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0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9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00">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00">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01">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310" t="s">
        <v>3008</v>
      </c>
      <c r="D1" s="3311"/>
      <c r="E1" s="3311"/>
      <c r="F1" s="3311"/>
      <c r="G1" s="3311"/>
      <c r="H1" s="3311"/>
      <c r="I1" s="3311"/>
      <c r="J1" s="3311"/>
      <c r="K1" s="3311"/>
      <c r="L1" s="3311"/>
      <c r="M1" s="3311"/>
      <c r="N1" s="3311"/>
      <c r="O1" s="3311"/>
      <c r="P1" s="3311"/>
      <c r="Q1" s="3311"/>
      <c r="R1" s="3311"/>
      <c r="S1" s="3312"/>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3017</v>
      </c>
      <c r="B17" s="2917"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19" t="s">
        <v>3021</v>
      </c>
      <c r="E20" s="1793"/>
      <c r="F20" s="1204" t="e">
        <f ca="1">SUMIF(INDIRECT("'"&amp;H20&amp;"'"&amp;"!A:A"),"承租人权益价值",INDIRECT("'"&amp;H20&amp;"'"&amp;"!c:c"))</f>
        <v>#REF!</v>
      </c>
      <c r="G20" s="1204" t="s">
        <v>3022</v>
      </c>
      <c r="H20" s="2920"/>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71" t="s">
        <v>33</v>
      </c>
      <c r="D22" s="3172"/>
      <c r="E22" s="3172"/>
      <c r="F22" s="3172"/>
      <c r="G22" s="3172"/>
      <c r="H22" s="3172"/>
      <c r="I22" s="3172"/>
      <c r="J22" s="3172"/>
      <c r="K22" s="3172"/>
      <c r="L22" s="3172"/>
      <c r="M22" s="3172"/>
      <c r="N22" s="3172"/>
      <c r="O22" s="3172"/>
      <c r="P22" s="3172"/>
      <c r="Q22" s="330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33308</v>
      </c>
      <c r="C2" s="2" t="s">
        <v>133</v>
      </c>
      <c r="D2" s="243"/>
      <c r="E2" s="243"/>
      <c r="F2" s="243"/>
      <c r="G2" s="243"/>
    </row>
    <row r="3" spans="1:7" s="244" customFormat="1" ht="18" customHeight="1" thickBot="1">
      <c r="A3" s="247" t="s">
        <v>85</v>
      </c>
      <c r="B3" s="248">
        <f ca="1">ROUND(B2*10000/'数据-汇总表'!E3,0)</f>
        <v>10226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32573.120000000003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554</v>
      </c>
      <c r="D19" s="1036">
        <f>'数据-汇总表'!E3</f>
        <v>32573.120000000003</v>
      </c>
      <c r="E19" s="255">
        <f>'数据-取费表'!B31</f>
        <v>170</v>
      </c>
      <c r="F19" s="275"/>
      <c r="G19" s="1" t="s">
        <v>1074</v>
      </c>
    </row>
    <row r="20" spans="1:7" s="258" customFormat="1" ht="13.5" customHeight="1">
      <c r="A20" s="948" t="s">
        <v>1057</v>
      </c>
      <c r="B20" s="254" t="s">
        <v>104</v>
      </c>
      <c r="C20" s="276">
        <f>ROUND((C5+C19)*F20,0)</f>
        <v>423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1224</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1180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32</v>
      </c>
      <c r="D24" s="282"/>
      <c r="E24" s="282"/>
      <c r="F24" s="283"/>
      <c r="G24" s="284" t="s">
        <v>109</v>
      </c>
    </row>
    <row r="25" spans="1:7" s="258" customFormat="1" ht="24">
      <c r="A25" s="951" t="s">
        <v>793</v>
      </c>
      <c r="B25" s="259" t="s">
        <v>1058</v>
      </c>
      <c r="C25" s="1355">
        <f ca="1">ROUND(IF('数据-取费表'!B22&lt;=1,C20*F22*'数据-取费表'!B23/2,C20*(POWER((1+F22),'数据-取费表'!B23/2)-1)),0)</f>
        <v>12</v>
      </c>
      <c r="D25" s="282"/>
      <c r="E25" s="285"/>
      <c r="F25" s="283"/>
      <c r="G25" s="286" t="s">
        <v>110</v>
      </c>
    </row>
    <row r="26" spans="1:7" s="258" customFormat="1">
      <c r="A26" s="951" t="s">
        <v>795</v>
      </c>
      <c r="B26" s="259" t="s">
        <v>1060</v>
      </c>
      <c r="C26" s="282">
        <f ca="1">ROUND(IF('数据-取费表'!B22&lt;=1,F21*F22*'数据-取费表'!B23/2,F21*(POWER((1+F22),'数据-取费表'!B23/2)-1)),4)</f>
        <v>5.9999999999999995E-4</v>
      </c>
      <c r="D26" s="282"/>
      <c r="E26" s="285"/>
      <c r="F26" s="283"/>
      <c r="G26" s="287"/>
    </row>
    <row r="27" spans="1:7" s="258" customFormat="1" ht="24.75">
      <c r="A27" s="948" t="s">
        <v>787</v>
      </c>
      <c r="B27" s="288" t="s">
        <v>112</v>
      </c>
      <c r="C27" s="289">
        <f>C28</f>
        <v>1943</v>
      </c>
      <c r="D27" s="279">
        <f>C29</f>
        <v>1.8E-3</v>
      </c>
      <c r="E27" s="280" t="s">
        <v>126</v>
      </c>
      <c r="F27" s="290">
        <f>'数据-取费表'!Q16</f>
        <v>0.15</v>
      </c>
      <c r="G27" s="291" t="s">
        <v>1069</v>
      </c>
    </row>
    <row r="28" spans="1:7" s="258" customFormat="1" ht="13.5" customHeight="1">
      <c r="A28" s="951" t="s">
        <v>794</v>
      </c>
      <c r="B28" s="292" t="s">
        <v>1062</v>
      </c>
      <c r="C28" s="293">
        <f>ROUND((C5+C19+C20)*F27*'数据-取费表'!B21/'数据-取费表'!B20,0)</f>
        <v>1943</v>
      </c>
      <c r="D28" s="279"/>
      <c r="E28" s="280"/>
      <c r="F28" s="290"/>
      <c r="G28" s="291"/>
    </row>
    <row r="29" spans="1:7" s="258" customFormat="1" ht="13.5" customHeight="1">
      <c r="A29" s="951" t="s">
        <v>792</v>
      </c>
      <c r="B29" s="292" t="s">
        <v>1063</v>
      </c>
      <c r="C29" s="282">
        <f>ROUND(C21*F27*'数据-取费表'!B21/'数据-取费表'!B20,4)</f>
        <v>1.8E-3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26782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5012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4484</v>
      </c>
      <c r="D34" s="261"/>
      <c r="E34" s="264"/>
      <c r="F34" s="301">
        <f>IF('数据-取费表'!B24=0,1,'数据-取费表'!N16)</f>
        <v>0.5</v>
      </c>
      <c r="G34" s="263" t="s">
        <v>116</v>
      </c>
    </row>
    <row r="35" spans="1:7" ht="13.5" customHeight="1">
      <c r="A35" s="951" t="s">
        <v>796</v>
      </c>
      <c r="B35" s="259" t="s">
        <v>60</v>
      </c>
      <c r="C35" s="264">
        <f>ROUND(C34*F35,0)</f>
        <v>135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326</v>
      </c>
      <c r="D37" s="261">
        <f>'数据-汇总表'!E3</f>
        <v>32573.120000000003</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100</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145</v>
      </c>
      <c r="D41" s="279">
        <f ca="1">C44</f>
        <v>5.9999999999999995E-4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142</v>
      </c>
      <c r="D42" s="282"/>
      <c r="E42" s="282"/>
      <c r="F42" s="283"/>
      <c r="G42" s="3176" t="s">
        <v>121</v>
      </c>
    </row>
    <row r="43" spans="1:7" ht="13.5" customHeight="1">
      <c r="A43" s="951" t="s">
        <v>792</v>
      </c>
      <c r="B43" s="259" t="s">
        <v>1064</v>
      </c>
      <c r="C43" s="282">
        <f ca="1">ROUND(IF('数据-取费表'!B22&lt;=1,C39*F22*'数据-取费表'!B21/2,C39*(POWER((1+F22),'数据-取费表'!B21/2)-1)),0)</f>
        <v>3</v>
      </c>
      <c r="D43" s="282"/>
      <c r="E43" s="282"/>
      <c r="F43" s="283"/>
      <c r="G43" s="3177"/>
    </row>
    <row r="44" spans="1:7" ht="13.5" customHeight="1">
      <c r="A44" s="951" t="s">
        <v>793</v>
      </c>
      <c r="B44" s="259" t="s">
        <v>1066</v>
      </c>
      <c r="C44" s="282">
        <f ca="1">ROUND(IF('数据-取费表'!B22&lt;=1,C40*F22*'数据-取费表'!B21/2,C40*(POWER((1+F22),'数据-取费表'!B21/2)-1)),4)</f>
        <v>5.9999999999999995E-4</v>
      </c>
      <c r="D44" s="282"/>
      <c r="E44" s="282"/>
      <c r="F44" s="283"/>
      <c r="G44" s="3178"/>
    </row>
    <row r="45" spans="1:7" s="258" customFormat="1" ht="13.5" customHeight="1">
      <c r="A45" s="948" t="s">
        <v>786</v>
      </c>
      <c r="B45" s="288" t="s">
        <v>112</v>
      </c>
      <c r="C45" s="289">
        <f>C46</f>
        <v>767</v>
      </c>
      <c r="D45" s="279">
        <f>C47</f>
        <v>3.0000000000000001E-3</v>
      </c>
      <c r="E45" s="280" t="s">
        <v>129</v>
      </c>
      <c r="F45" s="290"/>
      <c r="G45" s="291" t="s">
        <v>1072</v>
      </c>
    </row>
    <row r="46" spans="1:7" s="258" customFormat="1" ht="13.5" customHeight="1">
      <c r="A46" s="951" t="s">
        <v>794</v>
      </c>
      <c r="B46" s="292" t="s">
        <v>1065</v>
      </c>
      <c r="C46" s="293">
        <f>ROUND((C33+C39)*F27,0)</f>
        <v>767</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6526</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6526</v>
      </c>
      <c r="D51" s="276"/>
      <c r="E51" s="276"/>
      <c r="F51" s="308"/>
      <c r="G51" s="278" t="s">
        <v>64</v>
      </c>
    </row>
    <row r="52" spans="1:7" s="252" customFormat="1" ht="16.5" thickBot="1">
      <c r="A52" s="309" t="s">
        <v>65</v>
      </c>
      <c r="B52" s="310"/>
      <c r="C52" s="311">
        <f ca="1">C31+C51</f>
        <v>33308</v>
      </c>
      <c r="D52" s="310"/>
      <c r="E52" s="310"/>
      <c r="F52" s="310"/>
      <c r="G52" s="312"/>
    </row>
    <row r="55" spans="1:7" ht="15">
      <c r="B55" s="314" t="s">
        <v>66</v>
      </c>
      <c r="C55" s="315"/>
    </row>
    <row r="56" spans="1:7">
      <c r="B56" s="317" t="s">
        <v>67</v>
      </c>
      <c r="C56" s="318">
        <f ca="1">ROUND(C51/C52,3)</f>
        <v>0.19600000000000001</v>
      </c>
    </row>
    <row r="57" spans="1:7">
      <c r="B57" s="317" t="s">
        <v>68</v>
      </c>
      <c r="C57" s="319">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871</v>
      </c>
      <c r="B1" s="331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43276</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topLeftCell="A16" workbookViewId="0">
      <selection activeCell="F20" sqref="F20"/>
    </sheetView>
  </sheetViews>
  <sheetFormatPr defaultRowHeight="12.75"/>
  <cols>
    <col min="1" max="1" width="56.125" style="2961" customWidth="1"/>
    <col min="2" max="2" width="6.25" style="2961" customWidth="1"/>
    <col min="3" max="3" width="7.875" style="2961" customWidth="1"/>
    <col min="4" max="5" width="13.875" style="2961" customWidth="1"/>
    <col min="6" max="6" width="8.75" style="2961" customWidth="1"/>
    <col min="7" max="7" width="7.875" style="2961" customWidth="1"/>
    <col min="8" max="8" width="9" style="2961" customWidth="1"/>
    <col min="9" max="10" width="10.625" style="2961" customWidth="1"/>
    <col min="11" max="11" width="14.375" style="2961" customWidth="1"/>
    <col min="12" max="12" width="6.25" style="2961" customWidth="1"/>
    <col min="13" max="13" width="34.375" style="2961" customWidth="1"/>
    <col min="14" max="256" width="9" style="2961"/>
    <col min="257" max="257" width="56.125" style="2961" customWidth="1"/>
    <col min="258" max="258" width="6.25" style="2961" customWidth="1"/>
    <col min="259" max="259" width="7.875" style="2961" customWidth="1"/>
    <col min="260" max="261" width="13.875" style="2961" customWidth="1"/>
    <col min="262" max="262" width="8.75" style="2961" customWidth="1"/>
    <col min="263" max="263" width="7.875" style="2961" customWidth="1"/>
    <col min="264" max="264" width="9" style="2961" customWidth="1"/>
    <col min="265" max="266" width="10.625" style="2961" customWidth="1"/>
    <col min="267" max="267" width="14.375" style="2961" customWidth="1"/>
    <col min="268" max="268" width="6.25" style="2961" customWidth="1"/>
    <col min="269" max="269" width="34.375" style="2961" customWidth="1"/>
    <col min="270" max="512" width="9" style="2961"/>
    <col min="513" max="513" width="56.125" style="2961" customWidth="1"/>
    <col min="514" max="514" width="6.25" style="2961" customWidth="1"/>
    <col min="515" max="515" width="7.875" style="2961" customWidth="1"/>
    <col min="516" max="517" width="13.875" style="2961" customWidth="1"/>
    <col min="518" max="518" width="8.75" style="2961" customWidth="1"/>
    <col min="519" max="519" width="7.875" style="2961" customWidth="1"/>
    <col min="520" max="520" width="9" style="2961" customWidth="1"/>
    <col min="521" max="522" width="10.625" style="2961" customWidth="1"/>
    <col min="523" max="523" width="14.375" style="2961" customWidth="1"/>
    <col min="524" max="524" width="6.25" style="2961" customWidth="1"/>
    <col min="525" max="525" width="34.375" style="2961" customWidth="1"/>
    <col min="526" max="768" width="9" style="2961"/>
    <col min="769" max="769" width="56.125" style="2961" customWidth="1"/>
    <col min="770" max="770" width="6.25" style="2961" customWidth="1"/>
    <col min="771" max="771" width="7.875" style="2961" customWidth="1"/>
    <col min="772" max="773" width="13.875" style="2961" customWidth="1"/>
    <col min="774" max="774" width="8.75" style="2961" customWidth="1"/>
    <col min="775" max="775" width="7.875" style="2961" customWidth="1"/>
    <col min="776" max="776" width="9" style="2961" customWidth="1"/>
    <col min="777" max="778" width="10.625" style="2961" customWidth="1"/>
    <col min="779" max="779" width="14.375" style="2961" customWidth="1"/>
    <col min="780" max="780" width="6.25" style="2961" customWidth="1"/>
    <col min="781" max="781" width="34.375" style="2961" customWidth="1"/>
    <col min="782" max="1024" width="9" style="2961"/>
    <col min="1025" max="1025" width="56.125" style="2961" customWidth="1"/>
    <col min="1026" max="1026" width="6.25" style="2961" customWidth="1"/>
    <col min="1027" max="1027" width="7.875" style="2961" customWidth="1"/>
    <col min="1028" max="1029" width="13.875" style="2961" customWidth="1"/>
    <col min="1030" max="1030" width="8.75" style="2961" customWidth="1"/>
    <col min="1031" max="1031" width="7.875" style="2961" customWidth="1"/>
    <col min="1032" max="1032" width="9" style="2961" customWidth="1"/>
    <col min="1033" max="1034" width="10.625" style="2961" customWidth="1"/>
    <col min="1035" max="1035" width="14.375" style="2961" customWidth="1"/>
    <col min="1036" max="1036" width="6.25" style="2961" customWidth="1"/>
    <col min="1037" max="1037" width="34.375" style="2961" customWidth="1"/>
    <col min="1038" max="1280" width="9" style="2961"/>
    <col min="1281" max="1281" width="56.125" style="2961" customWidth="1"/>
    <col min="1282" max="1282" width="6.25" style="2961" customWidth="1"/>
    <col min="1283" max="1283" width="7.875" style="2961" customWidth="1"/>
    <col min="1284" max="1285" width="13.875" style="2961" customWidth="1"/>
    <col min="1286" max="1286" width="8.75" style="2961" customWidth="1"/>
    <col min="1287" max="1287" width="7.875" style="2961" customWidth="1"/>
    <col min="1288" max="1288" width="9" style="2961" customWidth="1"/>
    <col min="1289" max="1290" width="10.625" style="2961" customWidth="1"/>
    <col min="1291" max="1291" width="14.375" style="2961" customWidth="1"/>
    <col min="1292" max="1292" width="6.25" style="2961" customWidth="1"/>
    <col min="1293" max="1293" width="34.375" style="2961" customWidth="1"/>
    <col min="1294" max="1536" width="9" style="2961"/>
    <col min="1537" max="1537" width="56.125" style="2961" customWidth="1"/>
    <col min="1538" max="1538" width="6.25" style="2961" customWidth="1"/>
    <col min="1539" max="1539" width="7.875" style="2961" customWidth="1"/>
    <col min="1540" max="1541" width="13.875" style="2961" customWidth="1"/>
    <col min="1542" max="1542" width="8.75" style="2961" customWidth="1"/>
    <col min="1543" max="1543" width="7.875" style="2961" customWidth="1"/>
    <col min="1544" max="1544" width="9" style="2961" customWidth="1"/>
    <col min="1545" max="1546" width="10.625" style="2961" customWidth="1"/>
    <col min="1547" max="1547" width="14.375" style="2961" customWidth="1"/>
    <col min="1548" max="1548" width="6.25" style="2961" customWidth="1"/>
    <col min="1549" max="1549" width="34.375" style="2961" customWidth="1"/>
    <col min="1550" max="1792" width="9" style="2961"/>
    <col min="1793" max="1793" width="56.125" style="2961" customWidth="1"/>
    <col min="1794" max="1794" width="6.25" style="2961" customWidth="1"/>
    <col min="1795" max="1795" width="7.875" style="2961" customWidth="1"/>
    <col min="1796" max="1797" width="13.875" style="2961" customWidth="1"/>
    <col min="1798" max="1798" width="8.75" style="2961" customWidth="1"/>
    <col min="1799" max="1799" width="7.875" style="2961" customWidth="1"/>
    <col min="1800" max="1800" width="9" style="2961" customWidth="1"/>
    <col min="1801" max="1802" width="10.625" style="2961" customWidth="1"/>
    <col min="1803" max="1803" width="14.375" style="2961" customWidth="1"/>
    <col min="1804" max="1804" width="6.25" style="2961" customWidth="1"/>
    <col min="1805" max="1805" width="34.375" style="2961" customWidth="1"/>
    <col min="1806" max="2048" width="9" style="2961"/>
    <col min="2049" max="2049" width="56.125" style="2961" customWidth="1"/>
    <col min="2050" max="2050" width="6.25" style="2961" customWidth="1"/>
    <col min="2051" max="2051" width="7.875" style="2961" customWidth="1"/>
    <col min="2052" max="2053" width="13.875" style="2961" customWidth="1"/>
    <col min="2054" max="2054" width="8.75" style="2961" customWidth="1"/>
    <col min="2055" max="2055" width="7.875" style="2961" customWidth="1"/>
    <col min="2056" max="2056" width="9" style="2961" customWidth="1"/>
    <col min="2057" max="2058" width="10.625" style="2961" customWidth="1"/>
    <col min="2059" max="2059" width="14.375" style="2961" customWidth="1"/>
    <col min="2060" max="2060" width="6.25" style="2961" customWidth="1"/>
    <col min="2061" max="2061" width="34.375" style="2961" customWidth="1"/>
    <col min="2062" max="2304" width="9" style="2961"/>
    <col min="2305" max="2305" width="56.125" style="2961" customWidth="1"/>
    <col min="2306" max="2306" width="6.25" style="2961" customWidth="1"/>
    <col min="2307" max="2307" width="7.875" style="2961" customWidth="1"/>
    <col min="2308" max="2309" width="13.875" style="2961" customWidth="1"/>
    <col min="2310" max="2310" width="8.75" style="2961" customWidth="1"/>
    <col min="2311" max="2311" width="7.875" style="2961" customWidth="1"/>
    <col min="2312" max="2312" width="9" style="2961" customWidth="1"/>
    <col min="2313" max="2314" width="10.625" style="2961" customWidth="1"/>
    <col min="2315" max="2315" width="14.375" style="2961" customWidth="1"/>
    <col min="2316" max="2316" width="6.25" style="2961" customWidth="1"/>
    <col min="2317" max="2317" width="34.375" style="2961" customWidth="1"/>
    <col min="2318" max="2560" width="9" style="2961"/>
    <col min="2561" max="2561" width="56.125" style="2961" customWidth="1"/>
    <col min="2562" max="2562" width="6.25" style="2961" customWidth="1"/>
    <col min="2563" max="2563" width="7.875" style="2961" customWidth="1"/>
    <col min="2564" max="2565" width="13.875" style="2961" customWidth="1"/>
    <col min="2566" max="2566" width="8.75" style="2961" customWidth="1"/>
    <col min="2567" max="2567" width="7.875" style="2961" customWidth="1"/>
    <col min="2568" max="2568" width="9" style="2961" customWidth="1"/>
    <col min="2569" max="2570" width="10.625" style="2961" customWidth="1"/>
    <col min="2571" max="2571" width="14.375" style="2961" customWidth="1"/>
    <col min="2572" max="2572" width="6.25" style="2961" customWidth="1"/>
    <col min="2573" max="2573" width="34.375" style="2961" customWidth="1"/>
    <col min="2574" max="2816" width="9" style="2961"/>
    <col min="2817" max="2817" width="56.125" style="2961" customWidth="1"/>
    <col min="2818" max="2818" width="6.25" style="2961" customWidth="1"/>
    <col min="2819" max="2819" width="7.875" style="2961" customWidth="1"/>
    <col min="2820" max="2821" width="13.875" style="2961" customWidth="1"/>
    <col min="2822" max="2822" width="8.75" style="2961" customWidth="1"/>
    <col min="2823" max="2823" width="7.875" style="2961" customWidth="1"/>
    <col min="2824" max="2824" width="9" style="2961" customWidth="1"/>
    <col min="2825" max="2826" width="10.625" style="2961" customWidth="1"/>
    <col min="2827" max="2827" width="14.375" style="2961" customWidth="1"/>
    <col min="2828" max="2828" width="6.25" style="2961" customWidth="1"/>
    <col min="2829" max="2829" width="34.375" style="2961" customWidth="1"/>
    <col min="2830" max="3072" width="9" style="2961"/>
    <col min="3073" max="3073" width="56.125" style="2961" customWidth="1"/>
    <col min="3074" max="3074" width="6.25" style="2961" customWidth="1"/>
    <col min="3075" max="3075" width="7.875" style="2961" customWidth="1"/>
    <col min="3076" max="3077" width="13.875" style="2961" customWidth="1"/>
    <col min="3078" max="3078" width="8.75" style="2961" customWidth="1"/>
    <col min="3079" max="3079" width="7.875" style="2961" customWidth="1"/>
    <col min="3080" max="3080" width="9" style="2961" customWidth="1"/>
    <col min="3081" max="3082" width="10.625" style="2961" customWidth="1"/>
    <col min="3083" max="3083" width="14.375" style="2961" customWidth="1"/>
    <col min="3084" max="3084" width="6.25" style="2961" customWidth="1"/>
    <col min="3085" max="3085" width="34.375" style="2961" customWidth="1"/>
    <col min="3086" max="3328" width="9" style="2961"/>
    <col min="3329" max="3329" width="56.125" style="2961" customWidth="1"/>
    <col min="3330" max="3330" width="6.25" style="2961" customWidth="1"/>
    <col min="3331" max="3331" width="7.875" style="2961" customWidth="1"/>
    <col min="3332" max="3333" width="13.875" style="2961" customWidth="1"/>
    <col min="3334" max="3334" width="8.75" style="2961" customWidth="1"/>
    <col min="3335" max="3335" width="7.875" style="2961" customWidth="1"/>
    <col min="3336" max="3336" width="9" style="2961" customWidth="1"/>
    <col min="3337" max="3338" width="10.625" style="2961" customWidth="1"/>
    <col min="3339" max="3339" width="14.375" style="2961" customWidth="1"/>
    <col min="3340" max="3340" width="6.25" style="2961" customWidth="1"/>
    <col min="3341" max="3341" width="34.375" style="2961" customWidth="1"/>
    <col min="3342" max="3584" width="9" style="2961"/>
    <col min="3585" max="3585" width="56.125" style="2961" customWidth="1"/>
    <col min="3586" max="3586" width="6.25" style="2961" customWidth="1"/>
    <col min="3587" max="3587" width="7.875" style="2961" customWidth="1"/>
    <col min="3588" max="3589" width="13.875" style="2961" customWidth="1"/>
    <col min="3590" max="3590" width="8.75" style="2961" customWidth="1"/>
    <col min="3591" max="3591" width="7.875" style="2961" customWidth="1"/>
    <col min="3592" max="3592" width="9" style="2961" customWidth="1"/>
    <col min="3593" max="3594" width="10.625" style="2961" customWidth="1"/>
    <col min="3595" max="3595" width="14.375" style="2961" customWidth="1"/>
    <col min="3596" max="3596" width="6.25" style="2961" customWidth="1"/>
    <col min="3597" max="3597" width="34.375" style="2961" customWidth="1"/>
    <col min="3598" max="3840" width="9" style="2961"/>
    <col min="3841" max="3841" width="56.125" style="2961" customWidth="1"/>
    <col min="3842" max="3842" width="6.25" style="2961" customWidth="1"/>
    <col min="3843" max="3843" width="7.875" style="2961" customWidth="1"/>
    <col min="3844" max="3845" width="13.875" style="2961" customWidth="1"/>
    <col min="3846" max="3846" width="8.75" style="2961" customWidth="1"/>
    <col min="3847" max="3847" width="7.875" style="2961" customWidth="1"/>
    <col min="3848" max="3848" width="9" style="2961" customWidth="1"/>
    <col min="3849" max="3850" width="10.625" style="2961" customWidth="1"/>
    <col min="3851" max="3851" width="14.375" style="2961" customWidth="1"/>
    <col min="3852" max="3852" width="6.25" style="2961" customWidth="1"/>
    <col min="3853" max="3853" width="34.375" style="2961" customWidth="1"/>
    <col min="3854" max="4096" width="9" style="2961"/>
    <col min="4097" max="4097" width="56.125" style="2961" customWidth="1"/>
    <col min="4098" max="4098" width="6.25" style="2961" customWidth="1"/>
    <col min="4099" max="4099" width="7.875" style="2961" customWidth="1"/>
    <col min="4100" max="4101" width="13.875" style="2961" customWidth="1"/>
    <col min="4102" max="4102" width="8.75" style="2961" customWidth="1"/>
    <col min="4103" max="4103" width="7.875" style="2961" customWidth="1"/>
    <col min="4104" max="4104" width="9" style="2961" customWidth="1"/>
    <col min="4105" max="4106" width="10.625" style="2961" customWidth="1"/>
    <col min="4107" max="4107" width="14.375" style="2961" customWidth="1"/>
    <col min="4108" max="4108" width="6.25" style="2961" customWidth="1"/>
    <col min="4109" max="4109" width="34.375" style="2961" customWidth="1"/>
    <col min="4110" max="4352" width="9" style="2961"/>
    <col min="4353" max="4353" width="56.125" style="2961" customWidth="1"/>
    <col min="4354" max="4354" width="6.25" style="2961" customWidth="1"/>
    <col min="4355" max="4355" width="7.875" style="2961" customWidth="1"/>
    <col min="4356" max="4357" width="13.875" style="2961" customWidth="1"/>
    <col min="4358" max="4358" width="8.75" style="2961" customWidth="1"/>
    <col min="4359" max="4359" width="7.875" style="2961" customWidth="1"/>
    <col min="4360" max="4360" width="9" style="2961" customWidth="1"/>
    <col min="4361" max="4362" width="10.625" style="2961" customWidth="1"/>
    <col min="4363" max="4363" width="14.375" style="2961" customWidth="1"/>
    <col min="4364" max="4364" width="6.25" style="2961" customWidth="1"/>
    <col min="4365" max="4365" width="34.375" style="2961" customWidth="1"/>
    <col min="4366" max="4608" width="9" style="2961"/>
    <col min="4609" max="4609" width="56.125" style="2961" customWidth="1"/>
    <col min="4610" max="4610" width="6.25" style="2961" customWidth="1"/>
    <col min="4611" max="4611" width="7.875" style="2961" customWidth="1"/>
    <col min="4612" max="4613" width="13.875" style="2961" customWidth="1"/>
    <col min="4614" max="4614" width="8.75" style="2961" customWidth="1"/>
    <col min="4615" max="4615" width="7.875" style="2961" customWidth="1"/>
    <col min="4616" max="4616" width="9" style="2961" customWidth="1"/>
    <col min="4617" max="4618" width="10.625" style="2961" customWidth="1"/>
    <col min="4619" max="4619" width="14.375" style="2961" customWidth="1"/>
    <col min="4620" max="4620" width="6.25" style="2961" customWidth="1"/>
    <col min="4621" max="4621" width="34.375" style="2961" customWidth="1"/>
    <col min="4622" max="4864" width="9" style="2961"/>
    <col min="4865" max="4865" width="56.125" style="2961" customWidth="1"/>
    <col min="4866" max="4866" width="6.25" style="2961" customWidth="1"/>
    <col min="4867" max="4867" width="7.875" style="2961" customWidth="1"/>
    <col min="4868" max="4869" width="13.875" style="2961" customWidth="1"/>
    <col min="4870" max="4870" width="8.75" style="2961" customWidth="1"/>
    <col min="4871" max="4871" width="7.875" style="2961" customWidth="1"/>
    <col min="4872" max="4872" width="9" style="2961" customWidth="1"/>
    <col min="4873" max="4874" width="10.625" style="2961" customWidth="1"/>
    <col min="4875" max="4875" width="14.375" style="2961" customWidth="1"/>
    <col min="4876" max="4876" width="6.25" style="2961" customWidth="1"/>
    <col min="4877" max="4877" width="34.375" style="2961" customWidth="1"/>
    <col min="4878" max="5120" width="9" style="2961"/>
    <col min="5121" max="5121" width="56.125" style="2961" customWidth="1"/>
    <col min="5122" max="5122" width="6.25" style="2961" customWidth="1"/>
    <col min="5123" max="5123" width="7.875" style="2961" customWidth="1"/>
    <col min="5124" max="5125" width="13.875" style="2961" customWidth="1"/>
    <col min="5126" max="5126" width="8.75" style="2961" customWidth="1"/>
    <col min="5127" max="5127" width="7.875" style="2961" customWidth="1"/>
    <col min="5128" max="5128" width="9" style="2961" customWidth="1"/>
    <col min="5129" max="5130" width="10.625" style="2961" customWidth="1"/>
    <col min="5131" max="5131" width="14.375" style="2961" customWidth="1"/>
    <col min="5132" max="5132" width="6.25" style="2961" customWidth="1"/>
    <col min="5133" max="5133" width="34.375" style="2961" customWidth="1"/>
    <col min="5134" max="5376" width="9" style="2961"/>
    <col min="5377" max="5377" width="56.125" style="2961" customWidth="1"/>
    <col min="5378" max="5378" width="6.25" style="2961" customWidth="1"/>
    <col min="5379" max="5379" width="7.875" style="2961" customWidth="1"/>
    <col min="5380" max="5381" width="13.875" style="2961" customWidth="1"/>
    <col min="5382" max="5382" width="8.75" style="2961" customWidth="1"/>
    <col min="5383" max="5383" width="7.875" style="2961" customWidth="1"/>
    <col min="5384" max="5384" width="9" style="2961" customWidth="1"/>
    <col min="5385" max="5386" width="10.625" style="2961" customWidth="1"/>
    <col min="5387" max="5387" width="14.375" style="2961" customWidth="1"/>
    <col min="5388" max="5388" width="6.25" style="2961" customWidth="1"/>
    <col min="5389" max="5389" width="34.375" style="2961" customWidth="1"/>
    <col min="5390" max="5632" width="9" style="2961"/>
    <col min="5633" max="5633" width="56.125" style="2961" customWidth="1"/>
    <col min="5634" max="5634" width="6.25" style="2961" customWidth="1"/>
    <col min="5635" max="5635" width="7.875" style="2961" customWidth="1"/>
    <col min="5636" max="5637" width="13.875" style="2961" customWidth="1"/>
    <col min="5638" max="5638" width="8.75" style="2961" customWidth="1"/>
    <col min="5639" max="5639" width="7.875" style="2961" customWidth="1"/>
    <col min="5640" max="5640" width="9" style="2961" customWidth="1"/>
    <col min="5641" max="5642" width="10.625" style="2961" customWidth="1"/>
    <col min="5643" max="5643" width="14.375" style="2961" customWidth="1"/>
    <col min="5644" max="5644" width="6.25" style="2961" customWidth="1"/>
    <col min="5645" max="5645" width="34.375" style="2961" customWidth="1"/>
    <col min="5646" max="5888" width="9" style="2961"/>
    <col min="5889" max="5889" width="56.125" style="2961" customWidth="1"/>
    <col min="5890" max="5890" width="6.25" style="2961" customWidth="1"/>
    <col min="5891" max="5891" width="7.875" style="2961" customWidth="1"/>
    <col min="5892" max="5893" width="13.875" style="2961" customWidth="1"/>
    <col min="5894" max="5894" width="8.75" style="2961" customWidth="1"/>
    <col min="5895" max="5895" width="7.875" style="2961" customWidth="1"/>
    <col min="5896" max="5896" width="9" style="2961" customWidth="1"/>
    <col min="5897" max="5898" width="10.625" style="2961" customWidth="1"/>
    <col min="5899" max="5899" width="14.375" style="2961" customWidth="1"/>
    <col min="5900" max="5900" width="6.25" style="2961" customWidth="1"/>
    <col min="5901" max="5901" width="34.375" style="2961" customWidth="1"/>
    <col min="5902" max="6144" width="9" style="2961"/>
    <col min="6145" max="6145" width="56.125" style="2961" customWidth="1"/>
    <col min="6146" max="6146" width="6.25" style="2961" customWidth="1"/>
    <col min="6147" max="6147" width="7.875" style="2961" customWidth="1"/>
    <col min="6148" max="6149" width="13.875" style="2961" customWidth="1"/>
    <col min="6150" max="6150" width="8.75" style="2961" customWidth="1"/>
    <col min="6151" max="6151" width="7.875" style="2961" customWidth="1"/>
    <col min="6152" max="6152" width="9" style="2961" customWidth="1"/>
    <col min="6153" max="6154" width="10.625" style="2961" customWidth="1"/>
    <col min="6155" max="6155" width="14.375" style="2961" customWidth="1"/>
    <col min="6156" max="6156" width="6.25" style="2961" customWidth="1"/>
    <col min="6157" max="6157" width="34.375" style="2961" customWidth="1"/>
    <col min="6158" max="6400" width="9" style="2961"/>
    <col min="6401" max="6401" width="56.125" style="2961" customWidth="1"/>
    <col min="6402" max="6402" width="6.25" style="2961" customWidth="1"/>
    <col min="6403" max="6403" width="7.875" style="2961" customWidth="1"/>
    <col min="6404" max="6405" width="13.875" style="2961" customWidth="1"/>
    <col min="6406" max="6406" width="8.75" style="2961" customWidth="1"/>
    <col min="6407" max="6407" width="7.875" style="2961" customWidth="1"/>
    <col min="6408" max="6408" width="9" style="2961" customWidth="1"/>
    <col min="6409" max="6410" width="10.625" style="2961" customWidth="1"/>
    <col min="6411" max="6411" width="14.375" style="2961" customWidth="1"/>
    <col min="6412" max="6412" width="6.25" style="2961" customWidth="1"/>
    <col min="6413" max="6413" width="34.375" style="2961" customWidth="1"/>
    <col min="6414" max="6656" width="9" style="2961"/>
    <col min="6657" max="6657" width="56.125" style="2961" customWidth="1"/>
    <col min="6658" max="6658" width="6.25" style="2961" customWidth="1"/>
    <col min="6659" max="6659" width="7.875" style="2961" customWidth="1"/>
    <col min="6660" max="6661" width="13.875" style="2961" customWidth="1"/>
    <col min="6662" max="6662" width="8.75" style="2961" customWidth="1"/>
    <col min="6663" max="6663" width="7.875" style="2961" customWidth="1"/>
    <col min="6664" max="6664" width="9" style="2961" customWidth="1"/>
    <col min="6665" max="6666" width="10.625" style="2961" customWidth="1"/>
    <col min="6667" max="6667" width="14.375" style="2961" customWidth="1"/>
    <col min="6668" max="6668" width="6.25" style="2961" customWidth="1"/>
    <col min="6669" max="6669" width="34.375" style="2961" customWidth="1"/>
    <col min="6670" max="6912" width="9" style="2961"/>
    <col min="6913" max="6913" width="56.125" style="2961" customWidth="1"/>
    <col min="6914" max="6914" width="6.25" style="2961" customWidth="1"/>
    <col min="6915" max="6915" width="7.875" style="2961" customWidth="1"/>
    <col min="6916" max="6917" width="13.875" style="2961" customWidth="1"/>
    <col min="6918" max="6918" width="8.75" style="2961" customWidth="1"/>
    <col min="6919" max="6919" width="7.875" style="2961" customWidth="1"/>
    <col min="6920" max="6920" width="9" style="2961" customWidth="1"/>
    <col min="6921" max="6922" width="10.625" style="2961" customWidth="1"/>
    <col min="6923" max="6923" width="14.375" style="2961" customWidth="1"/>
    <col min="6924" max="6924" width="6.25" style="2961" customWidth="1"/>
    <col min="6925" max="6925" width="34.375" style="2961" customWidth="1"/>
    <col min="6926" max="7168" width="9" style="2961"/>
    <col min="7169" max="7169" width="56.125" style="2961" customWidth="1"/>
    <col min="7170" max="7170" width="6.25" style="2961" customWidth="1"/>
    <col min="7171" max="7171" width="7.875" style="2961" customWidth="1"/>
    <col min="7172" max="7173" width="13.875" style="2961" customWidth="1"/>
    <col min="7174" max="7174" width="8.75" style="2961" customWidth="1"/>
    <col min="7175" max="7175" width="7.875" style="2961" customWidth="1"/>
    <col min="7176" max="7176" width="9" style="2961" customWidth="1"/>
    <col min="7177" max="7178" width="10.625" style="2961" customWidth="1"/>
    <col min="7179" max="7179" width="14.375" style="2961" customWidth="1"/>
    <col min="7180" max="7180" width="6.25" style="2961" customWidth="1"/>
    <col min="7181" max="7181" width="34.375" style="2961" customWidth="1"/>
    <col min="7182" max="7424" width="9" style="2961"/>
    <col min="7425" max="7425" width="56.125" style="2961" customWidth="1"/>
    <col min="7426" max="7426" width="6.25" style="2961" customWidth="1"/>
    <col min="7427" max="7427" width="7.875" style="2961" customWidth="1"/>
    <col min="7428" max="7429" width="13.875" style="2961" customWidth="1"/>
    <col min="7430" max="7430" width="8.75" style="2961" customWidth="1"/>
    <col min="7431" max="7431" width="7.875" style="2961" customWidth="1"/>
    <col min="7432" max="7432" width="9" style="2961" customWidth="1"/>
    <col min="7433" max="7434" width="10.625" style="2961" customWidth="1"/>
    <col min="7435" max="7435" width="14.375" style="2961" customWidth="1"/>
    <col min="7436" max="7436" width="6.25" style="2961" customWidth="1"/>
    <col min="7437" max="7437" width="34.375" style="2961" customWidth="1"/>
    <col min="7438" max="7680" width="9" style="2961"/>
    <col min="7681" max="7681" width="56.125" style="2961" customWidth="1"/>
    <col min="7682" max="7682" width="6.25" style="2961" customWidth="1"/>
    <col min="7683" max="7683" width="7.875" style="2961" customWidth="1"/>
    <col min="7684" max="7685" width="13.875" style="2961" customWidth="1"/>
    <col min="7686" max="7686" width="8.75" style="2961" customWidth="1"/>
    <col min="7687" max="7687" width="7.875" style="2961" customWidth="1"/>
    <col min="7688" max="7688" width="9" style="2961" customWidth="1"/>
    <col min="7689" max="7690" width="10.625" style="2961" customWidth="1"/>
    <col min="7691" max="7691" width="14.375" style="2961" customWidth="1"/>
    <col min="7692" max="7692" width="6.25" style="2961" customWidth="1"/>
    <col min="7693" max="7693" width="34.375" style="2961" customWidth="1"/>
    <col min="7694" max="7936" width="9" style="2961"/>
    <col min="7937" max="7937" width="56.125" style="2961" customWidth="1"/>
    <col min="7938" max="7938" width="6.25" style="2961" customWidth="1"/>
    <col min="7939" max="7939" width="7.875" style="2961" customWidth="1"/>
    <col min="7940" max="7941" width="13.875" style="2961" customWidth="1"/>
    <col min="7942" max="7942" width="8.75" style="2961" customWidth="1"/>
    <col min="7943" max="7943" width="7.875" style="2961" customWidth="1"/>
    <col min="7944" max="7944" width="9" style="2961" customWidth="1"/>
    <col min="7945" max="7946" width="10.625" style="2961" customWidth="1"/>
    <col min="7947" max="7947" width="14.375" style="2961" customWidth="1"/>
    <col min="7948" max="7948" width="6.25" style="2961" customWidth="1"/>
    <col min="7949" max="7949" width="34.375" style="2961" customWidth="1"/>
    <col min="7950" max="8192" width="9" style="2961"/>
    <col min="8193" max="8193" width="56.125" style="2961" customWidth="1"/>
    <col min="8194" max="8194" width="6.25" style="2961" customWidth="1"/>
    <col min="8195" max="8195" width="7.875" style="2961" customWidth="1"/>
    <col min="8196" max="8197" width="13.875" style="2961" customWidth="1"/>
    <col min="8198" max="8198" width="8.75" style="2961" customWidth="1"/>
    <col min="8199" max="8199" width="7.875" style="2961" customWidth="1"/>
    <col min="8200" max="8200" width="9" style="2961" customWidth="1"/>
    <col min="8201" max="8202" width="10.625" style="2961" customWidth="1"/>
    <col min="8203" max="8203" width="14.375" style="2961" customWidth="1"/>
    <col min="8204" max="8204" width="6.25" style="2961" customWidth="1"/>
    <col min="8205" max="8205" width="34.375" style="2961" customWidth="1"/>
    <col min="8206" max="8448" width="9" style="2961"/>
    <col min="8449" max="8449" width="56.125" style="2961" customWidth="1"/>
    <col min="8450" max="8450" width="6.25" style="2961" customWidth="1"/>
    <col min="8451" max="8451" width="7.875" style="2961" customWidth="1"/>
    <col min="8452" max="8453" width="13.875" style="2961" customWidth="1"/>
    <col min="8454" max="8454" width="8.75" style="2961" customWidth="1"/>
    <col min="8455" max="8455" width="7.875" style="2961" customWidth="1"/>
    <col min="8456" max="8456" width="9" style="2961" customWidth="1"/>
    <col min="8457" max="8458" width="10.625" style="2961" customWidth="1"/>
    <col min="8459" max="8459" width="14.375" style="2961" customWidth="1"/>
    <col min="8460" max="8460" width="6.25" style="2961" customWidth="1"/>
    <col min="8461" max="8461" width="34.375" style="2961" customWidth="1"/>
    <col min="8462" max="8704" width="9" style="2961"/>
    <col min="8705" max="8705" width="56.125" style="2961" customWidth="1"/>
    <col min="8706" max="8706" width="6.25" style="2961" customWidth="1"/>
    <col min="8707" max="8707" width="7.875" style="2961" customWidth="1"/>
    <col min="8708" max="8709" width="13.875" style="2961" customWidth="1"/>
    <col min="8710" max="8710" width="8.75" style="2961" customWidth="1"/>
    <col min="8711" max="8711" width="7.875" style="2961" customWidth="1"/>
    <col min="8712" max="8712" width="9" style="2961" customWidth="1"/>
    <col min="8713" max="8714" width="10.625" style="2961" customWidth="1"/>
    <col min="8715" max="8715" width="14.375" style="2961" customWidth="1"/>
    <col min="8716" max="8716" width="6.25" style="2961" customWidth="1"/>
    <col min="8717" max="8717" width="34.375" style="2961" customWidth="1"/>
    <col min="8718" max="8960" width="9" style="2961"/>
    <col min="8961" max="8961" width="56.125" style="2961" customWidth="1"/>
    <col min="8962" max="8962" width="6.25" style="2961" customWidth="1"/>
    <col min="8963" max="8963" width="7.875" style="2961" customWidth="1"/>
    <col min="8964" max="8965" width="13.875" style="2961" customWidth="1"/>
    <col min="8966" max="8966" width="8.75" style="2961" customWidth="1"/>
    <col min="8967" max="8967" width="7.875" style="2961" customWidth="1"/>
    <col min="8968" max="8968" width="9" style="2961" customWidth="1"/>
    <col min="8969" max="8970" width="10.625" style="2961" customWidth="1"/>
    <col min="8971" max="8971" width="14.375" style="2961" customWidth="1"/>
    <col min="8972" max="8972" width="6.25" style="2961" customWidth="1"/>
    <col min="8973" max="8973" width="34.375" style="2961" customWidth="1"/>
    <col min="8974" max="9216" width="9" style="2961"/>
    <col min="9217" max="9217" width="56.125" style="2961" customWidth="1"/>
    <col min="9218" max="9218" width="6.25" style="2961" customWidth="1"/>
    <col min="9219" max="9219" width="7.875" style="2961" customWidth="1"/>
    <col min="9220" max="9221" width="13.875" style="2961" customWidth="1"/>
    <col min="9222" max="9222" width="8.75" style="2961" customWidth="1"/>
    <col min="9223" max="9223" width="7.875" style="2961" customWidth="1"/>
    <col min="9224" max="9224" width="9" style="2961" customWidth="1"/>
    <col min="9225" max="9226" width="10.625" style="2961" customWidth="1"/>
    <col min="9227" max="9227" width="14.375" style="2961" customWidth="1"/>
    <col min="9228" max="9228" width="6.25" style="2961" customWidth="1"/>
    <col min="9229" max="9229" width="34.375" style="2961" customWidth="1"/>
    <col min="9230" max="9472" width="9" style="2961"/>
    <col min="9473" max="9473" width="56.125" style="2961" customWidth="1"/>
    <col min="9474" max="9474" width="6.25" style="2961" customWidth="1"/>
    <col min="9475" max="9475" width="7.875" style="2961" customWidth="1"/>
    <col min="9476" max="9477" width="13.875" style="2961" customWidth="1"/>
    <col min="9478" max="9478" width="8.75" style="2961" customWidth="1"/>
    <col min="9479" max="9479" width="7.875" style="2961" customWidth="1"/>
    <col min="9480" max="9480" width="9" style="2961" customWidth="1"/>
    <col min="9481" max="9482" width="10.625" style="2961" customWidth="1"/>
    <col min="9483" max="9483" width="14.375" style="2961" customWidth="1"/>
    <col min="9484" max="9484" width="6.25" style="2961" customWidth="1"/>
    <col min="9485" max="9485" width="34.375" style="2961" customWidth="1"/>
    <col min="9486" max="9728" width="9" style="2961"/>
    <col min="9729" max="9729" width="56.125" style="2961" customWidth="1"/>
    <col min="9730" max="9730" width="6.25" style="2961" customWidth="1"/>
    <col min="9731" max="9731" width="7.875" style="2961" customWidth="1"/>
    <col min="9732" max="9733" width="13.875" style="2961" customWidth="1"/>
    <col min="9734" max="9734" width="8.75" style="2961" customWidth="1"/>
    <col min="9735" max="9735" width="7.875" style="2961" customWidth="1"/>
    <col min="9736" max="9736" width="9" style="2961" customWidth="1"/>
    <col min="9737" max="9738" width="10.625" style="2961" customWidth="1"/>
    <col min="9739" max="9739" width="14.375" style="2961" customWidth="1"/>
    <col min="9740" max="9740" width="6.25" style="2961" customWidth="1"/>
    <col min="9741" max="9741" width="34.375" style="2961" customWidth="1"/>
    <col min="9742" max="9984" width="9" style="2961"/>
    <col min="9985" max="9985" width="56.125" style="2961" customWidth="1"/>
    <col min="9986" max="9986" width="6.25" style="2961" customWidth="1"/>
    <col min="9987" max="9987" width="7.875" style="2961" customWidth="1"/>
    <col min="9988" max="9989" width="13.875" style="2961" customWidth="1"/>
    <col min="9990" max="9990" width="8.75" style="2961" customWidth="1"/>
    <col min="9991" max="9991" width="7.875" style="2961" customWidth="1"/>
    <col min="9992" max="9992" width="9" style="2961" customWidth="1"/>
    <col min="9993" max="9994" width="10.625" style="2961" customWidth="1"/>
    <col min="9995" max="9995" width="14.375" style="2961" customWidth="1"/>
    <col min="9996" max="9996" width="6.25" style="2961" customWidth="1"/>
    <col min="9997" max="9997" width="34.375" style="2961" customWidth="1"/>
    <col min="9998" max="10240" width="9" style="2961"/>
    <col min="10241" max="10241" width="56.125" style="2961" customWidth="1"/>
    <col min="10242" max="10242" width="6.25" style="2961" customWidth="1"/>
    <col min="10243" max="10243" width="7.875" style="2961" customWidth="1"/>
    <col min="10244" max="10245" width="13.875" style="2961" customWidth="1"/>
    <col min="10246" max="10246" width="8.75" style="2961" customWidth="1"/>
    <col min="10247" max="10247" width="7.875" style="2961" customWidth="1"/>
    <col min="10248" max="10248" width="9" style="2961" customWidth="1"/>
    <col min="10249" max="10250" width="10.625" style="2961" customWidth="1"/>
    <col min="10251" max="10251" width="14.375" style="2961" customWidth="1"/>
    <col min="10252" max="10252" width="6.25" style="2961" customWidth="1"/>
    <col min="10253" max="10253" width="34.375" style="2961" customWidth="1"/>
    <col min="10254" max="10496" width="9" style="2961"/>
    <col min="10497" max="10497" width="56.125" style="2961" customWidth="1"/>
    <col min="10498" max="10498" width="6.25" style="2961" customWidth="1"/>
    <col min="10499" max="10499" width="7.875" style="2961" customWidth="1"/>
    <col min="10500" max="10501" width="13.875" style="2961" customWidth="1"/>
    <col min="10502" max="10502" width="8.75" style="2961" customWidth="1"/>
    <col min="10503" max="10503" width="7.875" style="2961" customWidth="1"/>
    <col min="10504" max="10504" width="9" style="2961" customWidth="1"/>
    <col min="10505" max="10506" width="10.625" style="2961" customWidth="1"/>
    <col min="10507" max="10507" width="14.375" style="2961" customWidth="1"/>
    <col min="10508" max="10508" width="6.25" style="2961" customWidth="1"/>
    <col min="10509" max="10509" width="34.375" style="2961" customWidth="1"/>
    <col min="10510" max="10752" width="9" style="2961"/>
    <col min="10753" max="10753" width="56.125" style="2961" customWidth="1"/>
    <col min="10754" max="10754" width="6.25" style="2961" customWidth="1"/>
    <col min="10755" max="10755" width="7.875" style="2961" customWidth="1"/>
    <col min="10756" max="10757" width="13.875" style="2961" customWidth="1"/>
    <col min="10758" max="10758" width="8.75" style="2961" customWidth="1"/>
    <col min="10759" max="10759" width="7.875" style="2961" customWidth="1"/>
    <col min="10760" max="10760" width="9" style="2961" customWidth="1"/>
    <col min="10761" max="10762" width="10.625" style="2961" customWidth="1"/>
    <col min="10763" max="10763" width="14.375" style="2961" customWidth="1"/>
    <col min="10764" max="10764" width="6.25" style="2961" customWidth="1"/>
    <col min="10765" max="10765" width="34.375" style="2961" customWidth="1"/>
    <col min="10766" max="11008" width="9" style="2961"/>
    <col min="11009" max="11009" width="56.125" style="2961" customWidth="1"/>
    <col min="11010" max="11010" width="6.25" style="2961" customWidth="1"/>
    <col min="11011" max="11011" width="7.875" style="2961" customWidth="1"/>
    <col min="11012" max="11013" width="13.875" style="2961" customWidth="1"/>
    <col min="11014" max="11014" width="8.75" style="2961" customWidth="1"/>
    <col min="11015" max="11015" width="7.875" style="2961" customWidth="1"/>
    <col min="11016" max="11016" width="9" style="2961" customWidth="1"/>
    <col min="11017" max="11018" width="10.625" style="2961" customWidth="1"/>
    <col min="11019" max="11019" width="14.375" style="2961" customWidth="1"/>
    <col min="11020" max="11020" width="6.25" style="2961" customWidth="1"/>
    <col min="11021" max="11021" width="34.375" style="2961" customWidth="1"/>
    <col min="11022" max="11264" width="9" style="2961"/>
    <col min="11265" max="11265" width="56.125" style="2961" customWidth="1"/>
    <col min="11266" max="11266" width="6.25" style="2961" customWidth="1"/>
    <col min="11267" max="11267" width="7.875" style="2961" customWidth="1"/>
    <col min="11268" max="11269" width="13.875" style="2961" customWidth="1"/>
    <col min="11270" max="11270" width="8.75" style="2961" customWidth="1"/>
    <col min="11271" max="11271" width="7.875" style="2961" customWidth="1"/>
    <col min="11272" max="11272" width="9" style="2961" customWidth="1"/>
    <col min="11273" max="11274" width="10.625" style="2961" customWidth="1"/>
    <col min="11275" max="11275" width="14.375" style="2961" customWidth="1"/>
    <col min="11276" max="11276" width="6.25" style="2961" customWidth="1"/>
    <col min="11277" max="11277" width="34.375" style="2961" customWidth="1"/>
    <col min="11278" max="11520" width="9" style="2961"/>
    <col min="11521" max="11521" width="56.125" style="2961" customWidth="1"/>
    <col min="11522" max="11522" width="6.25" style="2961" customWidth="1"/>
    <col min="11523" max="11523" width="7.875" style="2961" customWidth="1"/>
    <col min="11524" max="11525" width="13.875" style="2961" customWidth="1"/>
    <col min="11526" max="11526" width="8.75" style="2961" customWidth="1"/>
    <col min="11527" max="11527" width="7.875" style="2961" customWidth="1"/>
    <col min="11528" max="11528" width="9" style="2961" customWidth="1"/>
    <col min="11529" max="11530" width="10.625" style="2961" customWidth="1"/>
    <col min="11531" max="11531" width="14.375" style="2961" customWidth="1"/>
    <col min="11532" max="11532" width="6.25" style="2961" customWidth="1"/>
    <col min="11533" max="11533" width="34.375" style="2961" customWidth="1"/>
    <col min="11534" max="11776" width="9" style="2961"/>
    <col min="11777" max="11777" width="56.125" style="2961" customWidth="1"/>
    <col min="11778" max="11778" width="6.25" style="2961" customWidth="1"/>
    <col min="11779" max="11779" width="7.875" style="2961" customWidth="1"/>
    <col min="11780" max="11781" width="13.875" style="2961" customWidth="1"/>
    <col min="11782" max="11782" width="8.75" style="2961" customWidth="1"/>
    <col min="11783" max="11783" width="7.875" style="2961" customWidth="1"/>
    <col min="11784" max="11784" width="9" style="2961" customWidth="1"/>
    <col min="11785" max="11786" width="10.625" style="2961" customWidth="1"/>
    <col min="11787" max="11787" width="14.375" style="2961" customWidth="1"/>
    <col min="11788" max="11788" width="6.25" style="2961" customWidth="1"/>
    <col min="11789" max="11789" width="34.375" style="2961" customWidth="1"/>
    <col min="11790" max="12032" width="9" style="2961"/>
    <col min="12033" max="12033" width="56.125" style="2961" customWidth="1"/>
    <col min="12034" max="12034" width="6.25" style="2961" customWidth="1"/>
    <col min="12035" max="12035" width="7.875" style="2961" customWidth="1"/>
    <col min="12036" max="12037" width="13.875" style="2961" customWidth="1"/>
    <col min="12038" max="12038" width="8.75" style="2961" customWidth="1"/>
    <col min="12039" max="12039" width="7.875" style="2961" customWidth="1"/>
    <col min="12040" max="12040" width="9" style="2961" customWidth="1"/>
    <col min="12041" max="12042" width="10.625" style="2961" customWidth="1"/>
    <col min="12043" max="12043" width="14.375" style="2961" customWidth="1"/>
    <col min="12044" max="12044" width="6.25" style="2961" customWidth="1"/>
    <col min="12045" max="12045" width="34.375" style="2961" customWidth="1"/>
    <col min="12046" max="12288" width="9" style="2961"/>
    <col min="12289" max="12289" width="56.125" style="2961" customWidth="1"/>
    <col min="12290" max="12290" width="6.25" style="2961" customWidth="1"/>
    <col min="12291" max="12291" width="7.875" style="2961" customWidth="1"/>
    <col min="12292" max="12293" width="13.875" style="2961" customWidth="1"/>
    <col min="12294" max="12294" width="8.75" style="2961" customWidth="1"/>
    <col min="12295" max="12295" width="7.875" style="2961" customWidth="1"/>
    <col min="12296" max="12296" width="9" style="2961" customWidth="1"/>
    <col min="12297" max="12298" width="10.625" style="2961" customWidth="1"/>
    <col min="12299" max="12299" width="14.375" style="2961" customWidth="1"/>
    <col min="12300" max="12300" width="6.25" style="2961" customWidth="1"/>
    <col min="12301" max="12301" width="34.375" style="2961" customWidth="1"/>
    <col min="12302" max="12544" width="9" style="2961"/>
    <col min="12545" max="12545" width="56.125" style="2961" customWidth="1"/>
    <col min="12546" max="12546" width="6.25" style="2961" customWidth="1"/>
    <col min="12547" max="12547" width="7.875" style="2961" customWidth="1"/>
    <col min="12548" max="12549" width="13.875" style="2961" customWidth="1"/>
    <col min="12550" max="12550" width="8.75" style="2961" customWidth="1"/>
    <col min="12551" max="12551" width="7.875" style="2961" customWidth="1"/>
    <col min="12552" max="12552" width="9" style="2961" customWidth="1"/>
    <col min="12553" max="12554" width="10.625" style="2961" customWidth="1"/>
    <col min="12555" max="12555" width="14.375" style="2961" customWidth="1"/>
    <col min="12556" max="12556" width="6.25" style="2961" customWidth="1"/>
    <col min="12557" max="12557" width="34.375" style="2961" customWidth="1"/>
    <col min="12558" max="12800" width="9" style="2961"/>
    <col min="12801" max="12801" width="56.125" style="2961" customWidth="1"/>
    <col min="12802" max="12802" width="6.25" style="2961" customWidth="1"/>
    <col min="12803" max="12803" width="7.875" style="2961" customWidth="1"/>
    <col min="12804" max="12805" width="13.875" style="2961" customWidth="1"/>
    <col min="12806" max="12806" width="8.75" style="2961" customWidth="1"/>
    <col min="12807" max="12807" width="7.875" style="2961" customWidth="1"/>
    <col min="12808" max="12808" width="9" style="2961" customWidth="1"/>
    <col min="12809" max="12810" width="10.625" style="2961" customWidth="1"/>
    <col min="12811" max="12811" width="14.375" style="2961" customWidth="1"/>
    <col min="12812" max="12812" width="6.25" style="2961" customWidth="1"/>
    <col min="12813" max="12813" width="34.375" style="2961" customWidth="1"/>
    <col min="12814" max="13056" width="9" style="2961"/>
    <col min="13057" max="13057" width="56.125" style="2961" customWidth="1"/>
    <col min="13058" max="13058" width="6.25" style="2961" customWidth="1"/>
    <col min="13059" max="13059" width="7.875" style="2961" customWidth="1"/>
    <col min="13060" max="13061" width="13.875" style="2961" customWidth="1"/>
    <col min="13062" max="13062" width="8.75" style="2961" customWidth="1"/>
    <col min="13063" max="13063" width="7.875" style="2961" customWidth="1"/>
    <col min="13064" max="13064" width="9" style="2961" customWidth="1"/>
    <col min="13065" max="13066" width="10.625" style="2961" customWidth="1"/>
    <col min="13067" max="13067" width="14.375" style="2961" customWidth="1"/>
    <col min="13068" max="13068" width="6.25" style="2961" customWidth="1"/>
    <col min="13069" max="13069" width="34.375" style="2961" customWidth="1"/>
    <col min="13070" max="13312" width="9" style="2961"/>
    <col min="13313" max="13313" width="56.125" style="2961" customWidth="1"/>
    <col min="13314" max="13314" width="6.25" style="2961" customWidth="1"/>
    <col min="13315" max="13315" width="7.875" style="2961" customWidth="1"/>
    <col min="13316" max="13317" width="13.875" style="2961" customWidth="1"/>
    <col min="13318" max="13318" width="8.75" style="2961" customWidth="1"/>
    <col min="13319" max="13319" width="7.875" style="2961" customWidth="1"/>
    <col min="13320" max="13320" width="9" style="2961" customWidth="1"/>
    <col min="13321" max="13322" width="10.625" style="2961" customWidth="1"/>
    <col min="13323" max="13323" width="14.375" style="2961" customWidth="1"/>
    <col min="13324" max="13324" width="6.25" style="2961" customWidth="1"/>
    <col min="13325" max="13325" width="34.375" style="2961" customWidth="1"/>
    <col min="13326" max="13568" width="9" style="2961"/>
    <col min="13569" max="13569" width="56.125" style="2961" customWidth="1"/>
    <col min="13570" max="13570" width="6.25" style="2961" customWidth="1"/>
    <col min="13571" max="13571" width="7.875" style="2961" customWidth="1"/>
    <col min="13572" max="13573" width="13.875" style="2961" customWidth="1"/>
    <col min="13574" max="13574" width="8.75" style="2961" customWidth="1"/>
    <col min="13575" max="13575" width="7.875" style="2961" customWidth="1"/>
    <col min="13576" max="13576" width="9" style="2961" customWidth="1"/>
    <col min="13577" max="13578" width="10.625" style="2961" customWidth="1"/>
    <col min="13579" max="13579" width="14.375" style="2961" customWidth="1"/>
    <col min="13580" max="13580" width="6.25" style="2961" customWidth="1"/>
    <col min="13581" max="13581" width="34.375" style="2961" customWidth="1"/>
    <col min="13582" max="13824" width="9" style="2961"/>
    <col min="13825" max="13825" width="56.125" style="2961" customWidth="1"/>
    <col min="13826" max="13826" width="6.25" style="2961" customWidth="1"/>
    <col min="13827" max="13827" width="7.875" style="2961" customWidth="1"/>
    <col min="13828" max="13829" width="13.875" style="2961" customWidth="1"/>
    <col min="13830" max="13830" width="8.75" style="2961" customWidth="1"/>
    <col min="13831" max="13831" width="7.875" style="2961" customWidth="1"/>
    <col min="13832" max="13832" width="9" style="2961" customWidth="1"/>
    <col min="13833" max="13834" width="10.625" style="2961" customWidth="1"/>
    <col min="13835" max="13835" width="14.375" style="2961" customWidth="1"/>
    <col min="13836" max="13836" width="6.25" style="2961" customWidth="1"/>
    <col min="13837" max="13837" width="34.375" style="2961" customWidth="1"/>
    <col min="13838" max="14080" width="9" style="2961"/>
    <col min="14081" max="14081" width="56.125" style="2961" customWidth="1"/>
    <col min="14082" max="14082" width="6.25" style="2961" customWidth="1"/>
    <col min="14083" max="14083" width="7.875" style="2961" customWidth="1"/>
    <col min="14084" max="14085" width="13.875" style="2961" customWidth="1"/>
    <col min="14086" max="14086" width="8.75" style="2961" customWidth="1"/>
    <col min="14087" max="14087" width="7.875" style="2961" customWidth="1"/>
    <col min="14088" max="14088" width="9" style="2961" customWidth="1"/>
    <col min="14089" max="14090" width="10.625" style="2961" customWidth="1"/>
    <col min="14091" max="14091" width="14.375" style="2961" customWidth="1"/>
    <col min="14092" max="14092" width="6.25" style="2961" customWidth="1"/>
    <col min="14093" max="14093" width="34.375" style="2961" customWidth="1"/>
    <col min="14094" max="14336" width="9" style="2961"/>
    <col min="14337" max="14337" width="56.125" style="2961" customWidth="1"/>
    <col min="14338" max="14338" width="6.25" style="2961" customWidth="1"/>
    <col min="14339" max="14339" width="7.875" style="2961" customWidth="1"/>
    <col min="14340" max="14341" width="13.875" style="2961" customWidth="1"/>
    <col min="14342" max="14342" width="8.75" style="2961" customWidth="1"/>
    <col min="14343" max="14343" width="7.875" style="2961" customWidth="1"/>
    <col min="14344" max="14344" width="9" style="2961" customWidth="1"/>
    <col min="14345" max="14346" width="10.625" style="2961" customWidth="1"/>
    <col min="14347" max="14347" width="14.375" style="2961" customWidth="1"/>
    <col min="14348" max="14348" width="6.25" style="2961" customWidth="1"/>
    <col min="14349" max="14349" width="34.375" style="2961" customWidth="1"/>
    <col min="14350" max="14592" width="9" style="2961"/>
    <col min="14593" max="14593" width="56.125" style="2961" customWidth="1"/>
    <col min="14594" max="14594" width="6.25" style="2961" customWidth="1"/>
    <col min="14595" max="14595" width="7.875" style="2961" customWidth="1"/>
    <col min="14596" max="14597" width="13.875" style="2961" customWidth="1"/>
    <col min="14598" max="14598" width="8.75" style="2961" customWidth="1"/>
    <col min="14599" max="14599" width="7.875" style="2961" customWidth="1"/>
    <col min="14600" max="14600" width="9" style="2961" customWidth="1"/>
    <col min="14601" max="14602" width="10.625" style="2961" customWidth="1"/>
    <col min="14603" max="14603" width="14.375" style="2961" customWidth="1"/>
    <col min="14604" max="14604" width="6.25" style="2961" customWidth="1"/>
    <col min="14605" max="14605" width="34.375" style="2961" customWidth="1"/>
    <col min="14606" max="14848" width="9" style="2961"/>
    <col min="14849" max="14849" width="56.125" style="2961" customWidth="1"/>
    <col min="14850" max="14850" width="6.25" style="2961" customWidth="1"/>
    <col min="14851" max="14851" width="7.875" style="2961" customWidth="1"/>
    <col min="14852" max="14853" width="13.875" style="2961" customWidth="1"/>
    <col min="14854" max="14854" width="8.75" style="2961" customWidth="1"/>
    <col min="14855" max="14855" width="7.875" style="2961" customWidth="1"/>
    <col min="14856" max="14856" width="9" style="2961" customWidth="1"/>
    <col min="14857" max="14858" width="10.625" style="2961" customWidth="1"/>
    <col min="14859" max="14859" width="14.375" style="2961" customWidth="1"/>
    <col min="14860" max="14860" width="6.25" style="2961" customWidth="1"/>
    <col min="14861" max="14861" width="34.375" style="2961" customWidth="1"/>
    <col min="14862" max="15104" width="9" style="2961"/>
    <col min="15105" max="15105" width="56.125" style="2961" customWidth="1"/>
    <col min="15106" max="15106" width="6.25" style="2961" customWidth="1"/>
    <col min="15107" max="15107" width="7.875" style="2961" customWidth="1"/>
    <col min="15108" max="15109" width="13.875" style="2961" customWidth="1"/>
    <col min="15110" max="15110" width="8.75" style="2961" customWidth="1"/>
    <col min="15111" max="15111" width="7.875" style="2961" customWidth="1"/>
    <col min="15112" max="15112" width="9" style="2961" customWidth="1"/>
    <col min="15113" max="15114" width="10.625" style="2961" customWidth="1"/>
    <col min="15115" max="15115" width="14.375" style="2961" customWidth="1"/>
    <col min="15116" max="15116" width="6.25" style="2961" customWidth="1"/>
    <col min="15117" max="15117" width="34.375" style="2961" customWidth="1"/>
    <col min="15118" max="15360" width="9" style="2961"/>
    <col min="15361" max="15361" width="56.125" style="2961" customWidth="1"/>
    <col min="15362" max="15362" width="6.25" style="2961" customWidth="1"/>
    <col min="15363" max="15363" width="7.875" style="2961" customWidth="1"/>
    <col min="15364" max="15365" width="13.875" style="2961" customWidth="1"/>
    <col min="15366" max="15366" width="8.75" style="2961" customWidth="1"/>
    <col min="15367" max="15367" width="7.875" style="2961" customWidth="1"/>
    <col min="15368" max="15368" width="9" style="2961" customWidth="1"/>
    <col min="15369" max="15370" width="10.625" style="2961" customWidth="1"/>
    <col min="15371" max="15371" width="14.375" style="2961" customWidth="1"/>
    <col min="15372" max="15372" width="6.25" style="2961" customWidth="1"/>
    <col min="15373" max="15373" width="34.375" style="2961" customWidth="1"/>
    <col min="15374" max="15616" width="9" style="2961"/>
    <col min="15617" max="15617" width="56.125" style="2961" customWidth="1"/>
    <col min="15618" max="15618" width="6.25" style="2961" customWidth="1"/>
    <col min="15619" max="15619" width="7.875" style="2961" customWidth="1"/>
    <col min="15620" max="15621" width="13.875" style="2961" customWidth="1"/>
    <col min="15622" max="15622" width="8.75" style="2961" customWidth="1"/>
    <col min="15623" max="15623" width="7.875" style="2961" customWidth="1"/>
    <col min="15624" max="15624" width="9" style="2961" customWidth="1"/>
    <col min="15625" max="15626" width="10.625" style="2961" customWidth="1"/>
    <col min="15627" max="15627" width="14.375" style="2961" customWidth="1"/>
    <col min="15628" max="15628" width="6.25" style="2961" customWidth="1"/>
    <col min="15629" max="15629" width="34.375" style="2961" customWidth="1"/>
    <col min="15630" max="15872" width="9" style="2961"/>
    <col min="15873" max="15873" width="56.125" style="2961" customWidth="1"/>
    <col min="15874" max="15874" width="6.25" style="2961" customWidth="1"/>
    <col min="15875" max="15875" width="7.875" style="2961" customWidth="1"/>
    <col min="15876" max="15877" width="13.875" style="2961" customWidth="1"/>
    <col min="15878" max="15878" width="8.75" style="2961" customWidth="1"/>
    <col min="15879" max="15879" width="7.875" style="2961" customWidth="1"/>
    <col min="15880" max="15880" width="9" style="2961" customWidth="1"/>
    <col min="15881" max="15882" width="10.625" style="2961" customWidth="1"/>
    <col min="15883" max="15883" width="14.375" style="2961" customWidth="1"/>
    <col min="15884" max="15884" width="6.25" style="2961" customWidth="1"/>
    <col min="15885" max="15885" width="34.375" style="2961" customWidth="1"/>
    <col min="15886" max="16128" width="9" style="2961"/>
    <col min="16129" max="16129" width="56.125" style="2961" customWidth="1"/>
    <col min="16130" max="16130" width="6.25" style="2961" customWidth="1"/>
    <col min="16131" max="16131" width="7.875" style="2961" customWidth="1"/>
    <col min="16132" max="16133" width="13.875" style="2961" customWidth="1"/>
    <col min="16134" max="16134" width="8.75" style="2961" customWidth="1"/>
    <col min="16135" max="16135" width="7.875" style="2961" customWidth="1"/>
    <col min="16136" max="16136" width="9" style="2961" customWidth="1"/>
    <col min="16137" max="16138" width="10.625" style="2961" customWidth="1"/>
    <col min="16139" max="16139" width="14.375" style="2961" customWidth="1"/>
    <col min="16140" max="16140" width="6.25" style="2961" customWidth="1"/>
    <col min="16141" max="16141" width="34.375" style="2961" customWidth="1"/>
    <col min="16142" max="16384" width="9" style="2961"/>
  </cols>
  <sheetData>
    <row r="1" spans="1:13">
      <c r="A1" s="2961" t="s">
        <v>3137</v>
      </c>
      <c r="B1" s="2961" t="s">
        <v>3138</v>
      </c>
      <c r="C1" s="2961" t="s">
        <v>3139</v>
      </c>
      <c r="D1" s="2961" t="s">
        <v>3140</v>
      </c>
      <c r="E1" s="2961" t="s">
        <v>3141</v>
      </c>
      <c r="F1" s="2961" t="s">
        <v>3142</v>
      </c>
      <c r="G1" s="2961" t="s">
        <v>3143</v>
      </c>
      <c r="H1" s="2961" t="s">
        <v>3144</v>
      </c>
      <c r="I1" s="2961" t="s">
        <v>3145</v>
      </c>
      <c r="J1" s="2961" t="s">
        <v>3146</v>
      </c>
      <c r="K1" s="2961" t="s">
        <v>3147</v>
      </c>
      <c r="L1" s="2961" t="s">
        <v>3148</v>
      </c>
      <c r="M1" s="2961" t="s">
        <v>3149</v>
      </c>
    </row>
    <row r="2" spans="1:13">
      <c r="A2" s="2961" t="s">
        <v>3150</v>
      </c>
      <c r="B2" s="2961" t="s">
        <v>3051</v>
      </c>
      <c r="C2" s="2961" t="s">
        <v>3055</v>
      </c>
      <c r="D2" s="2961">
        <v>73230.3</v>
      </c>
      <c r="E2" s="2961">
        <v>124491.5</v>
      </c>
      <c r="F2" s="2961" t="s">
        <v>3151</v>
      </c>
      <c r="G2" s="2961" t="s">
        <v>3152</v>
      </c>
      <c r="H2" s="2961" t="s">
        <v>3153</v>
      </c>
      <c r="I2" s="2961">
        <v>9038.07</v>
      </c>
      <c r="J2" s="2961">
        <v>9038.07</v>
      </c>
      <c r="K2" s="2961">
        <v>726</v>
      </c>
      <c r="L2" s="2961">
        <v>0</v>
      </c>
      <c r="M2" s="2961" t="s">
        <v>3154</v>
      </c>
    </row>
    <row r="3" spans="1:13">
      <c r="A3" s="2961" t="s">
        <v>3155</v>
      </c>
      <c r="B3" s="2961" t="s">
        <v>3051</v>
      </c>
      <c r="C3" s="2961" t="s">
        <v>3055</v>
      </c>
      <c r="D3" s="2961">
        <v>11958.6</v>
      </c>
      <c r="E3" s="2961">
        <v>17937.900000000001</v>
      </c>
      <c r="F3" s="2961">
        <v>1.5</v>
      </c>
      <c r="G3" s="2961" t="s">
        <v>3152</v>
      </c>
      <c r="H3" s="2961" t="s">
        <v>3153</v>
      </c>
      <c r="I3" s="2961">
        <v>1302.28</v>
      </c>
      <c r="J3" s="2961">
        <v>1302.28</v>
      </c>
      <c r="K3" s="2961">
        <v>726</v>
      </c>
      <c r="L3" s="2961">
        <v>0</v>
      </c>
      <c r="M3" s="2961" t="s">
        <v>3156</v>
      </c>
    </row>
    <row r="4" spans="1:13">
      <c r="A4" s="2961" t="s">
        <v>3157</v>
      </c>
      <c r="B4" s="2961" t="s">
        <v>3051</v>
      </c>
      <c r="C4" s="2961" t="s">
        <v>3055</v>
      </c>
      <c r="D4" s="2961">
        <v>23044.5</v>
      </c>
      <c r="E4" s="2961">
        <v>46089</v>
      </c>
      <c r="F4" s="2961">
        <v>2</v>
      </c>
      <c r="G4" s="2961" t="s">
        <v>3152</v>
      </c>
      <c r="H4" s="2961" t="s">
        <v>3158</v>
      </c>
      <c r="I4" s="2961">
        <v>4977.6000000000004</v>
      </c>
      <c r="J4" s="2961">
        <v>4977.6000000000004</v>
      </c>
      <c r="K4" s="2961">
        <v>1080</v>
      </c>
      <c r="L4" s="2961">
        <v>0</v>
      </c>
      <c r="M4" s="2961" t="s">
        <v>3159</v>
      </c>
    </row>
    <row r="5" spans="1:13" s="2963" customFormat="1">
      <c r="A5" s="2963" t="s">
        <v>3290</v>
      </c>
      <c r="B5" s="2963" t="s">
        <v>3051</v>
      </c>
      <c r="C5" s="2963" t="s">
        <v>3055</v>
      </c>
      <c r="D5" s="2963">
        <v>4280.58</v>
      </c>
      <c r="E5" s="2963">
        <v>3424</v>
      </c>
      <c r="F5" s="2963">
        <v>0.8</v>
      </c>
      <c r="G5" s="2963" t="s">
        <v>3152</v>
      </c>
      <c r="H5" s="2963" t="s">
        <v>3160</v>
      </c>
      <c r="I5" s="2963">
        <v>642.09</v>
      </c>
      <c r="J5" s="2963">
        <v>642.09</v>
      </c>
      <c r="K5" s="2963">
        <v>1875.25</v>
      </c>
      <c r="L5" s="2963">
        <v>0</v>
      </c>
      <c r="M5" s="2963" t="s">
        <v>3161</v>
      </c>
    </row>
    <row r="6" spans="1:13">
      <c r="A6" s="2961" t="s">
        <v>3162</v>
      </c>
      <c r="B6" s="2961" t="s">
        <v>3051</v>
      </c>
      <c r="C6" s="2961" t="s">
        <v>3055</v>
      </c>
      <c r="D6" s="2961">
        <v>82687.360000000001</v>
      </c>
      <c r="E6" s="2961">
        <v>157106</v>
      </c>
      <c r="F6" s="2961">
        <v>1.9</v>
      </c>
      <c r="G6" s="2961" t="s">
        <v>3152</v>
      </c>
      <c r="H6" s="2961" t="s">
        <v>3163</v>
      </c>
      <c r="I6" s="2961">
        <v>14688.07</v>
      </c>
      <c r="J6" s="2961">
        <v>14688.07</v>
      </c>
      <c r="K6" s="2961">
        <v>934.91</v>
      </c>
      <c r="L6" s="2961">
        <v>0</v>
      </c>
      <c r="M6" s="2961" t="s">
        <v>3164</v>
      </c>
    </row>
    <row r="7" spans="1:13" s="2962" customFormat="1">
      <c r="A7" s="2962" t="s">
        <v>3285</v>
      </c>
      <c r="B7" s="2962" t="s">
        <v>3051</v>
      </c>
      <c r="C7" s="2962" t="s">
        <v>3055</v>
      </c>
      <c r="D7" s="2962">
        <v>791422.1</v>
      </c>
      <c r="E7" s="2962">
        <v>1187133</v>
      </c>
      <c r="F7" s="2962">
        <v>1.5</v>
      </c>
      <c r="G7" s="2962" t="s">
        <v>3152</v>
      </c>
      <c r="H7" s="2962" t="s">
        <v>3165</v>
      </c>
      <c r="I7" s="2962">
        <v>187820</v>
      </c>
      <c r="J7" s="2962">
        <v>187820</v>
      </c>
      <c r="K7" s="2962">
        <v>1582.13</v>
      </c>
      <c r="L7" s="2962">
        <v>0</v>
      </c>
      <c r="M7" s="2962" t="s">
        <v>3166</v>
      </c>
    </row>
    <row r="8" spans="1:13">
      <c r="A8" s="2961" t="s">
        <v>3167</v>
      </c>
      <c r="B8" s="2961" t="s">
        <v>3051</v>
      </c>
      <c r="C8" s="2961" t="s">
        <v>3055</v>
      </c>
      <c r="D8" s="2961">
        <v>23308.3</v>
      </c>
      <c r="E8" s="2961">
        <v>34962.449999999997</v>
      </c>
      <c r="F8" s="2961">
        <v>1.5</v>
      </c>
      <c r="G8" s="2961" t="s">
        <v>3152</v>
      </c>
      <c r="H8" s="2961" t="s">
        <v>3168</v>
      </c>
      <c r="I8" s="2961">
        <v>5244.36</v>
      </c>
      <c r="J8" s="2961">
        <v>5244.36</v>
      </c>
      <c r="K8" s="2961">
        <v>1500</v>
      </c>
      <c r="L8" s="2961">
        <v>0</v>
      </c>
      <c r="M8" s="2961" t="s">
        <v>3169</v>
      </c>
    </row>
    <row r="9" spans="1:13">
      <c r="A9" s="2961" t="s">
        <v>3170</v>
      </c>
      <c r="B9" s="2961" t="s">
        <v>3051</v>
      </c>
      <c r="C9" s="2961" t="s">
        <v>3055</v>
      </c>
      <c r="D9" s="2961">
        <v>19655.95</v>
      </c>
      <c r="E9" s="2961">
        <v>39312</v>
      </c>
      <c r="F9" s="2961">
        <v>8.3000000000000007</v>
      </c>
      <c r="G9" s="2961" t="s">
        <v>3152</v>
      </c>
      <c r="H9" s="2961" t="s">
        <v>3171</v>
      </c>
      <c r="I9" s="2961">
        <v>2634.78</v>
      </c>
      <c r="J9" s="2961">
        <v>2634.78</v>
      </c>
      <c r="K9" s="2961">
        <v>670.22</v>
      </c>
      <c r="L9" s="2961">
        <v>0</v>
      </c>
      <c r="M9" s="2961" t="s">
        <v>3172</v>
      </c>
    </row>
    <row r="10" spans="1:13">
      <c r="A10" s="2961" t="s">
        <v>3173</v>
      </c>
      <c r="B10" s="2961" t="s">
        <v>3051</v>
      </c>
      <c r="C10" s="2961" t="s">
        <v>3055</v>
      </c>
      <c r="D10" s="2961">
        <v>31386.9</v>
      </c>
      <c r="E10" s="2961">
        <v>25110</v>
      </c>
      <c r="F10" s="2961">
        <v>0.8</v>
      </c>
      <c r="G10" s="2961" t="s">
        <v>3152</v>
      </c>
      <c r="H10" s="2961" t="s">
        <v>3174</v>
      </c>
      <c r="I10" s="2961">
        <v>11547.52</v>
      </c>
      <c r="J10" s="2961">
        <v>11547.52</v>
      </c>
      <c r="K10" s="2961">
        <v>4598.7700000000004</v>
      </c>
      <c r="L10" s="2961">
        <v>0</v>
      </c>
      <c r="M10" s="2961" t="s">
        <v>3175</v>
      </c>
    </row>
    <row r="11" spans="1:13">
      <c r="A11" s="2961" t="s">
        <v>3176</v>
      </c>
      <c r="B11" s="2961" t="s">
        <v>3051</v>
      </c>
      <c r="C11" s="2961" t="s">
        <v>3055</v>
      </c>
      <c r="D11" s="2961">
        <v>45231.1</v>
      </c>
      <c r="E11" s="2961">
        <v>36185</v>
      </c>
      <c r="F11" s="2961">
        <v>0.8</v>
      </c>
      <c r="G11" s="2961" t="s">
        <v>3152</v>
      </c>
      <c r="H11" s="2961" t="s">
        <v>3177</v>
      </c>
      <c r="I11" s="2961">
        <v>13943.25</v>
      </c>
      <c r="J11" s="2961">
        <v>13943.25</v>
      </c>
      <c r="K11" s="2961">
        <v>3853.32</v>
      </c>
      <c r="L11" s="2961">
        <v>0</v>
      </c>
      <c r="M11" s="2961" t="s">
        <v>3178</v>
      </c>
    </row>
    <row r="12" spans="1:13">
      <c r="A12" s="2961" t="s">
        <v>3179</v>
      </c>
      <c r="B12" s="2961" t="s">
        <v>3051</v>
      </c>
      <c r="C12" s="2961" t="s">
        <v>3055</v>
      </c>
      <c r="D12" s="2961">
        <v>401615.3</v>
      </c>
      <c r="E12" s="2961">
        <v>401615</v>
      </c>
      <c r="F12" s="2961">
        <v>1</v>
      </c>
      <c r="G12" s="2961" t="s">
        <v>3152</v>
      </c>
      <c r="H12" s="2961" t="s">
        <v>3177</v>
      </c>
      <c r="I12" s="2961">
        <v>109378.8</v>
      </c>
      <c r="J12" s="2961">
        <v>109378.8</v>
      </c>
      <c r="K12" s="2961">
        <v>2723.46</v>
      </c>
      <c r="L12" s="2961">
        <v>0</v>
      </c>
      <c r="M12" s="2961" t="s">
        <v>3180</v>
      </c>
    </row>
    <row r="13" spans="1:13">
      <c r="A13" s="2961" t="s">
        <v>3181</v>
      </c>
      <c r="B13" s="2961" t="s">
        <v>3051</v>
      </c>
      <c r="C13" s="2961" t="s">
        <v>3055</v>
      </c>
      <c r="D13" s="2961">
        <v>72743.12</v>
      </c>
      <c r="E13" s="2961">
        <v>109114.7</v>
      </c>
      <c r="F13" s="2961" t="s">
        <v>3182</v>
      </c>
      <c r="G13" s="2961" t="s">
        <v>3152</v>
      </c>
      <c r="H13" s="2961" t="s">
        <v>3183</v>
      </c>
      <c r="I13" s="2961">
        <v>11784.38</v>
      </c>
      <c r="J13" s="2961">
        <v>11784.38</v>
      </c>
      <c r="K13" s="2961">
        <v>1080</v>
      </c>
      <c r="L13" s="2961">
        <v>0</v>
      </c>
      <c r="M13" s="2961" t="s">
        <v>3184</v>
      </c>
    </row>
    <row r="14" spans="1:13">
      <c r="A14" s="2961" t="s">
        <v>3185</v>
      </c>
      <c r="B14" s="2961" t="s">
        <v>3051</v>
      </c>
      <c r="C14" s="2961" t="s">
        <v>3055</v>
      </c>
      <c r="D14" s="2961">
        <v>20000.599999999999</v>
      </c>
      <c r="E14" s="2961">
        <v>30000.9</v>
      </c>
      <c r="F14" s="2961" t="s">
        <v>3186</v>
      </c>
      <c r="G14" s="2961" t="s">
        <v>3152</v>
      </c>
      <c r="H14" s="2961" t="s">
        <v>3183</v>
      </c>
      <c r="I14" s="2961">
        <v>3240.09</v>
      </c>
      <c r="J14" s="2961">
        <v>3240.09</v>
      </c>
      <c r="K14" s="2961">
        <v>1080</v>
      </c>
      <c r="L14" s="2961">
        <v>0</v>
      </c>
      <c r="M14" s="2961" t="s">
        <v>3187</v>
      </c>
    </row>
    <row r="15" spans="1:13">
      <c r="A15" s="2961" t="s">
        <v>3188</v>
      </c>
      <c r="B15" s="2961" t="s">
        <v>3051</v>
      </c>
      <c r="C15" s="2961" t="s">
        <v>3055</v>
      </c>
      <c r="D15" s="2961">
        <v>34726.1</v>
      </c>
      <c r="E15" s="2961">
        <v>52089.15</v>
      </c>
      <c r="F15" s="2961" t="s">
        <v>3182</v>
      </c>
      <c r="G15" s="2961" t="s">
        <v>3152</v>
      </c>
      <c r="H15" s="2961" t="s">
        <v>3189</v>
      </c>
      <c r="I15" s="2961">
        <v>5625.63</v>
      </c>
      <c r="J15" s="2961">
        <v>5625.63</v>
      </c>
      <c r="K15" s="2961">
        <v>1080</v>
      </c>
      <c r="L15" s="2961">
        <v>0</v>
      </c>
      <c r="M15" s="2961" t="s">
        <v>3190</v>
      </c>
    </row>
    <row r="16" spans="1:13" s="2962" customFormat="1">
      <c r="A16" s="2962" t="s">
        <v>3310</v>
      </c>
      <c r="B16" s="2962" t="s">
        <v>3051</v>
      </c>
      <c r="C16" s="2962" t="s">
        <v>3055</v>
      </c>
      <c r="D16" s="2962">
        <v>11912.8</v>
      </c>
      <c r="E16" s="2962">
        <v>9530</v>
      </c>
      <c r="F16" s="2962">
        <v>0.8</v>
      </c>
      <c r="G16" s="2962" t="s">
        <v>3152</v>
      </c>
      <c r="H16" s="2962" t="s">
        <v>3191</v>
      </c>
      <c r="I16" s="2962">
        <v>1798</v>
      </c>
      <c r="J16" s="2962">
        <v>1798</v>
      </c>
      <c r="K16" s="2962">
        <v>1886.67</v>
      </c>
      <c r="L16" s="2962">
        <v>0</v>
      </c>
      <c r="M16" s="2962" t="s">
        <v>3192</v>
      </c>
    </row>
    <row r="17" spans="1:13">
      <c r="A17" s="2961" t="s">
        <v>3193</v>
      </c>
      <c r="B17" s="2961" t="s">
        <v>3051</v>
      </c>
      <c r="C17" s="2961" t="s">
        <v>3055</v>
      </c>
      <c r="D17" s="2961">
        <v>103751.8</v>
      </c>
      <c r="E17" s="2961">
        <v>155627.70000000001</v>
      </c>
      <c r="F17" s="2961" t="s">
        <v>3182</v>
      </c>
      <c r="G17" s="2961" t="s">
        <v>3152</v>
      </c>
      <c r="H17" s="2961" t="s">
        <v>3194</v>
      </c>
      <c r="I17" s="2961">
        <v>16807.79</v>
      </c>
      <c r="J17" s="2961">
        <v>16807.79</v>
      </c>
      <c r="K17" s="2961">
        <v>1080</v>
      </c>
      <c r="L17" s="2961">
        <v>0</v>
      </c>
      <c r="M17" s="2961" t="s">
        <v>3195</v>
      </c>
    </row>
    <row r="18" spans="1:13">
      <c r="A18" s="2961" t="s">
        <v>3196</v>
      </c>
      <c r="B18" s="2961" t="s">
        <v>3051</v>
      </c>
      <c r="C18" s="2961" t="s">
        <v>3055</v>
      </c>
      <c r="D18" s="2961">
        <v>61106.9</v>
      </c>
      <c r="E18" s="2961">
        <v>122213.8</v>
      </c>
      <c r="F18" s="2961" t="s">
        <v>3197</v>
      </c>
      <c r="G18" s="2961" t="s">
        <v>3152</v>
      </c>
      <c r="H18" s="2961" t="s">
        <v>3198</v>
      </c>
      <c r="I18" s="2961">
        <v>13199.09</v>
      </c>
      <c r="J18" s="2961">
        <v>13199.09</v>
      </c>
      <c r="K18" s="2961">
        <v>1080</v>
      </c>
      <c r="L18" s="2961">
        <v>0</v>
      </c>
      <c r="M18" s="2961" t="s">
        <v>3199</v>
      </c>
    </row>
    <row r="19" spans="1:13" s="2963" customFormat="1">
      <c r="A19" s="2963" t="s">
        <v>3286</v>
      </c>
      <c r="B19" s="2963" t="s">
        <v>3051</v>
      </c>
      <c r="C19" s="2963" t="s">
        <v>3055</v>
      </c>
      <c r="D19" s="2963">
        <v>2718.4</v>
      </c>
      <c r="E19" s="2963">
        <v>4077.6</v>
      </c>
      <c r="F19" s="2963" t="s">
        <v>3186</v>
      </c>
      <c r="G19" s="2963" t="s">
        <v>3152</v>
      </c>
      <c r="H19" s="2963" t="s">
        <v>3200</v>
      </c>
      <c r="I19" s="2963">
        <v>611.63</v>
      </c>
      <c r="J19" s="2963">
        <v>611.63</v>
      </c>
      <c r="K19" s="2963">
        <v>1500</v>
      </c>
      <c r="L19" s="2963">
        <v>0</v>
      </c>
      <c r="M19" s="2963" t="s">
        <v>3201</v>
      </c>
    </row>
    <row r="20" spans="1:13" s="2963" customFormat="1">
      <c r="A20" s="2963" t="s">
        <v>3288</v>
      </c>
      <c r="B20" s="2963" t="s">
        <v>3051</v>
      </c>
      <c r="C20" s="2963" t="s">
        <v>3055</v>
      </c>
      <c r="D20" s="2963">
        <v>11807.8</v>
      </c>
      <c r="E20" s="2963">
        <v>17711.7</v>
      </c>
      <c r="F20" s="2963" t="s">
        <v>3182</v>
      </c>
      <c r="G20" s="2963" t="s">
        <v>3152</v>
      </c>
      <c r="H20" s="2963" t="s">
        <v>3202</v>
      </c>
      <c r="I20" s="2963">
        <v>2656.76</v>
      </c>
      <c r="J20" s="2963">
        <v>2656.76</v>
      </c>
      <c r="K20" s="2963">
        <v>1500</v>
      </c>
      <c r="L20" s="2963">
        <v>0</v>
      </c>
      <c r="M20" s="2963" t="s">
        <v>3203</v>
      </c>
    </row>
    <row r="21" spans="1:13">
      <c r="A21" s="2961" t="s">
        <v>3204</v>
      </c>
      <c r="B21" s="2961" t="s">
        <v>3051</v>
      </c>
      <c r="C21" s="2961" t="s">
        <v>3055</v>
      </c>
      <c r="D21" s="2961">
        <v>40514.6</v>
      </c>
      <c r="E21" s="2961">
        <v>81029.2</v>
      </c>
      <c r="F21" s="2961" t="s">
        <v>3197</v>
      </c>
      <c r="G21" s="2961" t="s">
        <v>3152</v>
      </c>
      <c r="H21" s="2961" t="s">
        <v>3202</v>
      </c>
      <c r="I21" s="2961">
        <v>7049.53</v>
      </c>
      <c r="J21" s="2961">
        <v>7049.53</v>
      </c>
      <c r="K21" s="2961">
        <v>870</v>
      </c>
      <c r="L21" s="2961">
        <v>0</v>
      </c>
      <c r="M21" s="2961" t="s">
        <v>3205</v>
      </c>
    </row>
    <row r="22" spans="1:13">
      <c r="A22" s="2961" t="s">
        <v>3206</v>
      </c>
      <c r="B22" s="2961" t="s">
        <v>3051</v>
      </c>
      <c r="C22" s="2961" t="s">
        <v>3055</v>
      </c>
      <c r="D22" s="2961">
        <v>31860</v>
      </c>
      <c r="E22" s="2961">
        <v>63720</v>
      </c>
      <c r="F22" s="2961" t="s">
        <v>3197</v>
      </c>
      <c r="G22" s="2961" t="s">
        <v>3152</v>
      </c>
      <c r="H22" s="2961" t="s">
        <v>3207</v>
      </c>
      <c r="I22" s="2961">
        <v>5543.64</v>
      </c>
      <c r="J22" s="2961">
        <v>5543.64</v>
      </c>
      <c r="K22" s="2961">
        <v>870</v>
      </c>
      <c r="L22" s="2961">
        <v>0</v>
      </c>
      <c r="M22" s="2961" t="s">
        <v>3208</v>
      </c>
    </row>
    <row r="23" spans="1:13">
      <c r="A23" s="2961" t="s">
        <v>3209</v>
      </c>
      <c r="B23" s="2961" t="s">
        <v>3051</v>
      </c>
      <c r="C23" s="2961" t="s">
        <v>3055</v>
      </c>
      <c r="D23" s="2961">
        <v>233050</v>
      </c>
      <c r="E23" s="2961">
        <v>279660</v>
      </c>
      <c r="F23" s="2961" t="s">
        <v>3210</v>
      </c>
      <c r="G23" s="2961" t="s">
        <v>3152</v>
      </c>
      <c r="H23" s="2961" t="s">
        <v>3211</v>
      </c>
      <c r="I23" s="2961">
        <v>21533.81</v>
      </c>
      <c r="J23" s="2961">
        <v>21533.81</v>
      </c>
      <c r="K23" s="2961">
        <v>770</v>
      </c>
      <c r="L23" s="2961">
        <v>0</v>
      </c>
      <c r="M23" s="2961" t="s">
        <v>3166</v>
      </c>
    </row>
    <row r="24" spans="1:13">
      <c r="A24" s="2961" t="s">
        <v>3212</v>
      </c>
      <c r="B24" s="2961" t="s">
        <v>3051</v>
      </c>
      <c r="C24" s="2961" t="s">
        <v>3055</v>
      </c>
      <c r="D24" s="2961">
        <v>26676.58</v>
      </c>
      <c r="E24" s="2961">
        <v>37347</v>
      </c>
      <c r="F24" s="2961" t="s">
        <v>3213</v>
      </c>
      <c r="G24" s="2961" t="s">
        <v>3152</v>
      </c>
      <c r="H24" s="2961" t="s">
        <v>3214</v>
      </c>
      <c r="I24" s="2961">
        <v>3035</v>
      </c>
      <c r="J24" s="2961">
        <v>3035</v>
      </c>
      <c r="K24" s="2961">
        <v>812.64</v>
      </c>
      <c r="L24" s="2961">
        <v>0</v>
      </c>
      <c r="M24" s="2961" t="s">
        <v>3215</v>
      </c>
    </row>
    <row r="25" spans="1:13">
      <c r="A25" s="2961" t="s">
        <v>3216</v>
      </c>
      <c r="B25" s="2961" t="s">
        <v>3051</v>
      </c>
      <c r="C25" s="2961" t="s">
        <v>3055</v>
      </c>
      <c r="D25" s="2961">
        <v>50030.87</v>
      </c>
      <c r="E25" s="2961">
        <v>75046</v>
      </c>
      <c r="F25" s="2961" t="s">
        <v>3186</v>
      </c>
      <c r="G25" s="2961" t="s">
        <v>3152</v>
      </c>
      <c r="H25" s="2961" t="s">
        <v>3217</v>
      </c>
      <c r="I25" s="2961">
        <v>5951</v>
      </c>
      <c r="J25" s="2961">
        <v>5951</v>
      </c>
      <c r="K25" s="2961">
        <v>792.98</v>
      </c>
      <c r="L25" s="2961">
        <v>0</v>
      </c>
      <c r="M25" s="2961" t="s">
        <v>3218</v>
      </c>
    </row>
    <row r="26" spans="1:13">
      <c r="A26" s="2961" t="s">
        <v>3219</v>
      </c>
      <c r="B26" s="2961" t="s">
        <v>3051</v>
      </c>
      <c r="C26" s="2961" t="s">
        <v>3055</v>
      </c>
      <c r="D26" s="2961">
        <v>49648.1</v>
      </c>
      <c r="E26" s="2961">
        <v>99296.2</v>
      </c>
      <c r="F26" s="2961" t="s">
        <v>3197</v>
      </c>
      <c r="G26" s="2961" t="s">
        <v>3152</v>
      </c>
      <c r="H26" s="2961" t="s">
        <v>3220</v>
      </c>
      <c r="I26" s="2961">
        <v>8638.77</v>
      </c>
      <c r="J26" s="2961">
        <v>8638.77</v>
      </c>
      <c r="K26" s="2961">
        <v>870</v>
      </c>
      <c r="L26" s="2961">
        <v>0</v>
      </c>
      <c r="M26" s="2961" t="s">
        <v>3221</v>
      </c>
    </row>
    <row r="27" spans="1:13">
      <c r="A27" s="2961" t="s">
        <v>3222</v>
      </c>
      <c r="B27" s="2961" t="s">
        <v>3051</v>
      </c>
      <c r="C27" s="2961" t="s">
        <v>3055</v>
      </c>
      <c r="D27" s="2961">
        <v>11642.35</v>
      </c>
      <c r="E27" s="2961">
        <v>23285</v>
      </c>
      <c r="F27" s="2961" t="s">
        <v>3197</v>
      </c>
      <c r="G27" s="2961" t="s">
        <v>3152</v>
      </c>
      <c r="H27" s="2961" t="s">
        <v>3223</v>
      </c>
      <c r="I27" s="2961">
        <v>1635</v>
      </c>
      <c r="J27" s="2961">
        <v>1635</v>
      </c>
      <c r="K27" s="2961">
        <v>702.16</v>
      </c>
      <c r="L27" s="2961">
        <v>0</v>
      </c>
      <c r="M27" s="2961" t="s">
        <v>3224</v>
      </c>
    </row>
    <row r="28" spans="1:13">
      <c r="A28" s="2961" t="s">
        <v>3225</v>
      </c>
      <c r="B28" s="2961" t="s">
        <v>3051</v>
      </c>
      <c r="C28" s="2961" t="s">
        <v>3055</v>
      </c>
      <c r="D28" s="2961">
        <v>5352.49</v>
      </c>
      <c r="E28" s="2961">
        <v>7493</v>
      </c>
      <c r="F28" s="2961" t="s">
        <v>3213</v>
      </c>
      <c r="G28" s="2961" t="s">
        <v>3152</v>
      </c>
      <c r="H28" s="2961" t="s">
        <v>3223</v>
      </c>
      <c r="I28" s="2961">
        <v>613</v>
      </c>
      <c r="J28" s="2961">
        <v>613</v>
      </c>
      <c r="K28" s="2961">
        <v>818.1</v>
      </c>
      <c r="L28" s="2961">
        <v>0</v>
      </c>
      <c r="M28" s="2961" t="s">
        <v>3226</v>
      </c>
    </row>
    <row r="29" spans="1:13">
      <c r="A29" s="2961" t="s">
        <v>3227</v>
      </c>
      <c r="B29" s="2961" t="s">
        <v>3051</v>
      </c>
      <c r="C29" s="2961" t="s">
        <v>3055</v>
      </c>
      <c r="D29" s="2961">
        <v>11276.71</v>
      </c>
      <c r="E29" s="2961">
        <v>16915</v>
      </c>
      <c r="F29" s="2961" t="s">
        <v>3186</v>
      </c>
      <c r="G29" s="2961" t="s">
        <v>3152</v>
      </c>
      <c r="H29" s="2961" t="s">
        <v>3223</v>
      </c>
      <c r="I29" s="2961">
        <v>1346</v>
      </c>
      <c r="J29" s="2961">
        <v>1346</v>
      </c>
      <c r="K29" s="2961">
        <v>795.74</v>
      </c>
      <c r="L29" s="2961">
        <v>0</v>
      </c>
      <c r="M29" s="2961" t="s">
        <v>3228</v>
      </c>
    </row>
    <row r="30" spans="1:13">
      <c r="A30" s="2961" t="s">
        <v>3229</v>
      </c>
      <c r="B30" s="2961" t="s">
        <v>3051</v>
      </c>
      <c r="C30" s="2961" t="s">
        <v>3055</v>
      </c>
      <c r="D30" s="2961">
        <v>11295.39</v>
      </c>
      <c r="E30" s="2961">
        <v>16943</v>
      </c>
      <c r="F30" s="2961" t="s">
        <v>3186</v>
      </c>
      <c r="G30" s="2961" t="s">
        <v>3152</v>
      </c>
      <c r="H30" s="2961" t="s">
        <v>3230</v>
      </c>
      <c r="I30" s="2961">
        <v>1347</v>
      </c>
      <c r="J30" s="2961">
        <v>1347</v>
      </c>
      <c r="K30" s="2961">
        <v>795.01</v>
      </c>
      <c r="L30" s="2961">
        <v>0</v>
      </c>
      <c r="M30" s="2961" t="s">
        <v>3231</v>
      </c>
    </row>
    <row r="31" spans="1:13">
      <c r="A31" s="2961" t="s">
        <v>3232</v>
      </c>
      <c r="B31" s="2961" t="s">
        <v>3051</v>
      </c>
      <c r="C31" s="2961" t="s">
        <v>3055</v>
      </c>
      <c r="D31" s="2961">
        <v>66765.320000000007</v>
      </c>
      <c r="E31" s="2961">
        <v>100148</v>
      </c>
      <c r="F31" s="2961" t="s">
        <v>3186</v>
      </c>
      <c r="G31" s="2961" t="s">
        <v>3152</v>
      </c>
      <c r="H31" s="2961" t="s">
        <v>3230</v>
      </c>
      <c r="I31" s="2961">
        <v>11186</v>
      </c>
      <c r="J31" s="2961">
        <v>11186</v>
      </c>
      <c r="K31" s="2961">
        <v>1116.95</v>
      </c>
      <c r="L31" s="2961">
        <v>0</v>
      </c>
      <c r="M31" s="2961" t="s">
        <v>3233</v>
      </c>
    </row>
    <row r="32" spans="1:13">
      <c r="A32" s="2961" t="s">
        <v>3234</v>
      </c>
      <c r="B32" s="2961" t="s">
        <v>3051</v>
      </c>
      <c r="C32" s="2961" t="s">
        <v>3055</v>
      </c>
      <c r="D32" s="2961">
        <v>109617.1</v>
      </c>
      <c r="E32" s="2961">
        <v>164426</v>
      </c>
      <c r="F32" s="2961" t="s">
        <v>3186</v>
      </c>
      <c r="G32" s="2961" t="s">
        <v>3152</v>
      </c>
      <c r="H32" s="2961" t="s">
        <v>3235</v>
      </c>
      <c r="I32" s="2961">
        <v>13011</v>
      </c>
      <c r="J32" s="2961">
        <v>13011</v>
      </c>
      <c r="K32" s="2961">
        <v>791.29</v>
      </c>
      <c r="L32" s="2961">
        <v>0</v>
      </c>
      <c r="M32" s="2961" t="s">
        <v>3236</v>
      </c>
    </row>
    <row r="33" spans="1:13">
      <c r="A33" s="2961" t="s">
        <v>3237</v>
      </c>
      <c r="B33" s="2961" t="s">
        <v>3051</v>
      </c>
      <c r="C33" s="2961" t="s">
        <v>3055</v>
      </c>
      <c r="D33" s="2961">
        <v>82247.570000000007</v>
      </c>
      <c r="E33" s="2961">
        <v>123371</v>
      </c>
      <c r="F33" s="2961" t="s">
        <v>3186</v>
      </c>
      <c r="G33" s="2961" t="s">
        <v>3152</v>
      </c>
      <c r="H33" s="2961" t="s">
        <v>3235</v>
      </c>
      <c r="I33" s="2961">
        <v>9770</v>
      </c>
      <c r="J33" s="2961">
        <v>9770</v>
      </c>
      <c r="K33" s="2961">
        <v>791.91</v>
      </c>
      <c r="L33" s="2961">
        <v>0</v>
      </c>
      <c r="M33" s="2961" t="s">
        <v>3238</v>
      </c>
    </row>
    <row r="34" spans="1:13">
      <c r="A34" s="2961" t="s">
        <v>3239</v>
      </c>
      <c r="B34" s="2961" t="s">
        <v>3051</v>
      </c>
      <c r="C34" s="2961" t="s">
        <v>3055</v>
      </c>
      <c r="D34" s="2961">
        <v>15638.6</v>
      </c>
      <c r="E34" s="2961">
        <v>21894</v>
      </c>
      <c r="F34" s="2961" t="s">
        <v>3213</v>
      </c>
      <c r="G34" s="2961" t="s">
        <v>3152</v>
      </c>
      <c r="H34" s="2961" t="s">
        <v>3235</v>
      </c>
      <c r="I34" s="2961">
        <v>1780</v>
      </c>
      <c r="J34" s="2961">
        <v>1780</v>
      </c>
      <c r="K34" s="2961">
        <v>813</v>
      </c>
      <c r="L34" s="2961">
        <v>0</v>
      </c>
      <c r="M34" s="2961" t="s">
        <v>3240</v>
      </c>
    </row>
    <row r="35" spans="1:13">
      <c r="A35" s="2961" t="s">
        <v>3241</v>
      </c>
      <c r="B35" s="2961" t="s">
        <v>3051</v>
      </c>
      <c r="C35" s="2961" t="s">
        <v>3055</v>
      </c>
      <c r="D35" s="2961">
        <v>42702.82</v>
      </c>
      <c r="E35" s="2961">
        <v>85406</v>
      </c>
      <c r="F35" s="2961" t="s">
        <v>3197</v>
      </c>
      <c r="G35" s="2961" t="s">
        <v>3152</v>
      </c>
      <c r="H35" s="2961" t="s">
        <v>3235</v>
      </c>
      <c r="I35" s="2961">
        <v>5984</v>
      </c>
      <c r="J35" s="2961">
        <v>5984</v>
      </c>
      <c r="K35" s="2961">
        <v>700.64</v>
      </c>
      <c r="L35" s="2961">
        <v>0</v>
      </c>
      <c r="M35" s="2961" t="s">
        <v>3242</v>
      </c>
    </row>
    <row r="36" spans="1:13">
      <c r="A36" s="2961" t="s">
        <v>3243</v>
      </c>
      <c r="B36" s="2961" t="s">
        <v>3051</v>
      </c>
      <c r="C36" s="2961" t="s">
        <v>3055</v>
      </c>
      <c r="D36" s="2961">
        <v>24937.14</v>
      </c>
      <c r="E36" s="2961">
        <v>49874</v>
      </c>
      <c r="F36" s="2961" t="s">
        <v>3197</v>
      </c>
      <c r="G36" s="2961" t="s">
        <v>3152</v>
      </c>
      <c r="H36" s="2961" t="s">
        <v>3235</v>
      </c>
      <c r="I36" s="2961">
        <v>3495</v>
      </c>
      <c r="J36" s="2961">
        <v>3495</v>
      </c>
      <c r="K36" s="2961">
        <v>700.76</v>
      </c>
      <c r="L36" s="2961">
        <v>0</v>
      </c>
      <c r="M36" s="2961" t="s">
        <v>3244</v>
      </c>
    </row>
    <row r="37" spans="1:13">
      <c r="A37" s="2961" t="s">
        <v>3245</v>
      </c>
      <c r="B37" s="2961" t="s">
        <v>3051</v>
      </c>
      <c r="C37" s="2961" t="s">
        <v>3055</v>
      </c>
      <c r="D37" s="2961">
        <v>47274.78</v>
      </c>
      <c r="E37" s="2961">
        <v>70912</v>
      </c>
      <c r="F37" s="2961" t="s">
        <v>3186</v>
      </c>
      <c r="G37" s="2961" t="s">
        <v>3152</v>
      </c>
      <c r="H37" s="2961" t="s">
        <v>3235</v>
      </c>
      <c r="I37" s="2961">
        <v>5615</v>
      </c>
      <c r="J37" s="2961">
        <v>5615</v>
      </c>
      <c r="K37" s="2961">
        <v>791.83</v>
      </c>
      <c r="L37" s="2961">
        <v>0</v>
      </c>
      <c r="M37" s="2961" t="s">
        <v>3246</v>
      </c>
    </row>
    <row r="38" spans="1:13">
      <c r="A38" s="2961" t="s">
        <v>3247</v>
      </c>
      <c r="B38" s="2961" t="s">
        <v>3051</v>
      </c>
      <c r="C38" s="2961" t="s">
        <v>3055</v>
      </c>
      <c r="D38" s="2961">
        <v>106517.9</v>
      </c>
      <c r="E38" s="2961">
        <v>213035.8</v>
      </c>
      <c r="F38" s="2961" t="s">
        <v>3197</v>
      </c>
      <c r="G38" s="2961" t="s">
        <v>3152</v>
      </c>
      <c r="H38" s="2961" t="s">
        <v>3248</v>
      </c>
      <c r="I38" s="2961">
        <v>18534.11</v>
      </c>
      <c r="J38" s="2961">
        <v>18534.11</v>
      </c>
      <c r="K38" s="2961">
        <v>870</v>
      </c>
      <c r="L38" s="2961">
        <v>0</v>
      </c>
      <c r="M38" s="2961" t="s">
        <v>3249</v>
      </c>
    </row>
    <row r="39" spans="1:13">
      <c r="A39" s="2961" t="s">
        <v>3250</v>
      </c>
      <c r="B39" s="2961" t="s">
        <v>3051</v>
      </c>
      <c r="C39" s="2961" t="s">
        <v>3055</v>
      </c>
      <c r="D39" s="2961">
        <v>13289.21</v>
      </c>
      <c r="E39" s="2961">
        <v>10631</v>
      </c>
      <c r="F39" s="2961">
        <v>0.8</v>
      </c>
      <c r="G39" s="2961" t="s">
        <v>3152</v>
      </c>
      <c r="H39" s="2961" t="s">
        <v>3251</v>
      </c>
      <c r="I39" s="2961">
        <v>1597.44</v>
      </c>
      <c r="J39" s="2961">
        <v>1597.44</v>
      </c>
      <c r="K39" s="2961">
        <v>1502.61</v>
      </c>
      <c r="L39" s="2961">
        <v>0</v>
      </c>
      <c r="M39" s="2961" t="s">
        <v>3252</v>
      </c>
    </row>
    <row r="40" spans="1:13">
      <c r="A40" s="2961" t="s">
        <v>3253</v>
      </c>
      <c r="B40" s="2961" t="s">
        <v>3051</v>
      </c>
      <c r="C40" s="2961" t="s">
        <v>3055</v>
      </c>
      <c r="D40" s="2961">
        <v>56802.68</v>
      </c>
      <c r="E40" s="2961">
        <v>45442</v>
      </c>
      <c r="F40" s="2961">
        <v>0.8</v>
      </c>
      <c r="G40" s="2961" t="s">
        <v>3152</v>
      </c>
      <c r="H40" s="2961" t="s">
        <v>3251</v>
      </c>
      <c r="I40" s="2961">
        <v>7121.07</v>
      </c>
      <c r="J40" s="2961">
        <v>7121.07</v>
      </c>
      <c r="K40" s="2961">
        <v>1567.06</v>
      </c>
      <c r="L40" s="2961">
        <v>0</v>
      </c>
      <c r="M40" s="2961" t="s">
        <v>3254</v>
      </c>
    </row>
    <row r="41" spans="1:13">
      <c r="A41" s="2961" t="s">
        <v>3255</v>
      </c>
      <c r="B41" s="2961" t="s">
        <v>3051</v>
      </c>
      <c r="C41" s="2961" t="s">
        <v>3055</v>
      </c>
      <c r="D41" s="2961">
        <v>71328.36</v>
      </c>
      <c r="E41" s="2961">
        <v>57063</v>
      </c>
      <c r="F41" s="2961">
        <v>0.8</v>
      </c>
      <c r="G41" s="2961" t="s">
        <v>3152</v>
      </c>
      <c r="H41" s="2961" t="s">
        <v>3256</v>
      </c>
      <c r="I41" s="2961">
        <v>8967.77</v>
      </c>
      <c r="J41" s="2961">
        <v>8967.77</v>
      </c>
      <c r="K41" s="2961">
        <v>1571.55</v>
      </c>
      <c r="L41" s="2961">
        <v>0</v>
      </c>
      <c r="M41" s="2961" t="s">
        <v>3257</v>
      </c>
    </row>
    <row r="42" spans="1:13">
      <c r="A42" s="2961" t="s">
        <v>3258</v>
      </c>
      <c r="B42" s="2961" t="s">
        <v>3051</v>
      </c>
      <c r="C42" s="2961" t="s">
        <v>3055</v>
      </c>
      <c r="D42" s="2961">
        <v>41930.26</v>
      </c>
      <c r="E42" s="2961">
        <v>33544</v>
      </c>
      <c r="F42" s="2961">
        <v>0.8</v>
      </c>
      <c r="G42" s="2961" t="s">
        <v>3152</v>
      </c>
      <c r="H42" s="2961" t="s">
        <v>3259</v>
      </c>
      <c r="I42" s="2961">
        <v>5256.6</v>
      </c>
      <c r="J42" s="2961">
        <v>5256.6</v>
      </c>
      <c r="K42" s="2961">
        <v>1567.07</v>
      </c>
      <c r="L42" s="2961">
        <v>0</v>
      </c>
      <c r="M42" s="2961" t="s">
        <v>3260</v>
      </c>
    </row>
    <row r="43" spans="1:13">
      <c r="A43" s="2961" t="s">
        <v>3261</v>
      </c>
      <c r="B43" s="2961" t="s">
        <v>3051</v>
      </c>
      <c r="C43" s="2961" t="s">
        <v>3055</v>
      </c>
      <c r="D43" s="2961">
        <v>19503.599999999999</v>
      </c>
      <c r="E43" s="2961">
        <v>29255.4</v>
      </c>
      <c r="F43" s="2961" t="s">
        <v>3182</v>
      </c>
      <c r="G43" s="2961" t="s">
        <v>3152</v>
      </c>
      <c r="H43" s="2961" t="s">
        <v>3262</v>
      </c>
      <c r="I43" s="2961">
        <v>2145.4</v>
      </c>
      <c r="J43" s="2961">
        <v>2145.4</v>
      </c>
      <c r="K43" s="2961">
        <v>733.33</v>
      </c>
      <c r="L43" s="2961">
        <v>0</v>
      </c>
      <c r="M43" s="2961" t="s">
        <v>3263</v>
      </c>
    </row>
    <row r="44" spans="1:13">
      <c r="A44" s="2961" t="s">
        <v>3264</v>
      </c>
      <c r="B44" s="2961" t="s">
        <v>3051</v>
      </c>
      <c r="C44" s="2961" t="s">
        <v>3055</v>
      </c>
      <c r="D44" s="2961">
        <v>20637.13</v>
      </c>
      <c r="E44" s="2961">
        <v>41274</v>
      </c>
      <c r="F44" s="2961" t="s">
        <v>3197</v>
      </c>
      <c r="G44" s="2961" t="s">
        <v>3152</v>
      </c>
      <c r="H44" s="2961" t="s">
        <v>3265</v>
      </c>
      <c r="I44" s="2961">
        <v>2360</v>
      </c>
      <c r="J44" s="2961">
        <v>2360</v>
      </c>
      <c r="K44" s="2961">
        <v>571.78</v>
      </c>
      <c r="L44" s="2961">
        <v>0</v>
      </c>
      <c r="M44" s="2961" t="s">
        <v>3266</v>
      </c>
    </row>
    <row r="45" spans="1:13">
      <c r="A45" s="2961" t="s">
        <v>3267</v>
      </c>
      <c r="B45" s="2961" t="s">
        <v>3051</v>
      </c>
      <c r="C45" s="2961" t="s">
        <v>3055</v>
      </c>
      <c r="D45" s="2961">
        <v>43210.55</v>
      </c>
      <c r="E45" s="2961">
        <v>86421</v>
      </c>
      <c r="F45" s="2961" t="s">
        <v>3197</v>
      </c>
      <c r="G45" s="2961" t="s">
        <v>3152</v>
      </c>
      <c r="H45" s="2961" t="s">
        <v>3268</v>
      </c>
      <c r="I45" s="2961">
        <v>4128</v>
      </c>
      <c r="J45" s="2961">
        <v>4128</v>
      </c>
      <c r="K45" s="2961">
        <v>477.66</v>
      </c>
      <c r="L45" s="2961">
        <v>0</v>
      </c>
      <c r="M45" s="2961" t="s">
        <v>3269</v>
      </c>
    </row>
    <row r="46" spans="1:13">
      <c r="A46" s="2961" t="s">
        <v>3270</v>
      </c>
      <c r="B46" s="2961" t="s">
        <v>3051</v>
      </c>
      <c r="C46" s="2961" t="s">
        <v>3055</v>
      </c>
      <c r="D46" s="2961">
        <v>9391.2999999999993</v>
      </c>
      <c r="E46" s="2961">
        <v>14087</v>
      </c>
      <c r="F46" s="2961" t="s">
        <v>3186</v>
      </c>
      <c r="G46" s="2961" t="s">
        <v>3152</v>
      </c>
      <c r="H46" s="2961" t="s">
        <v>3268</v>
      </c>
      <c r="I46" s="2961">
        <v>1025</v>
      </c>
      <c r="J46" s="2961">
        <v>1025</v>
      </c>
      <c r="K46" s="2961">
        <v>727.62</v>
      </c>
      <c r="L46" s="2961">
        <v>0</v>
      </c>
      <c r="M46" s="2961" t="s">
        <v>3271</v>
      </c>
    </row>
    <row r="47" spans="1:13">
      <c r="A47" s="2961" t="s">
        <v>3272</v>
      </c>
      <c r="B47" s="2961" t="s">
        <v>3051</v>
      </c>
      <c r="C47" s="2961" t="s">
        <v>3055</v>
      </c>
      <c r="D47" s="2961">
        <v>21332.080000000002</v>
      </c>
      <c r="E47" s="2961">
        <v>42664</v>
      </c>
      <c r="F47" s="2961" t="s">
        <v>3273</v>
      </c>
      <c r="G47" s="2961" t="s">
        <v>3152</v>
      </c>
      <c r="H47" s="2961" t="s">
        <v>3268</v>
      </c>
      <c r="I47" s="2961">
        <v>1509</v>
      </c>
      <c r="J47" s="2961">
        <v>1509</v>
      </c>
      <c r="K47" s="2961">
        <v>353.68</v>
      </c>
      <c r="L47" s="2961">
        <v>0</v>
      </c>
      <c r="M47" s="2961" t="s">
        <v>3274</v>
      </c>
    </row>
    <row r="48" spans="1:13">
      <c r="A48" s="2961" t="s">
        <v>3275</v>
      </c>
      <c r="B48" s="2961" t="s">
        <v>3051</v>
      </c>
      <c r="C48" s="2961" t="s">
        <v>3055</v>
      </c>
      <c r="D48" s="2961">
        <v>8666</v>
      </c>
      <c r="E48" s="2961">
        <v>17332</v>
      </c>
      <c r="F48" s="2961" t="s">
        <v>3197</v>
      </c>
      <c r="G48" s="2961" t="s">
        <v>3152</v>
      </c>
      <c r="H48" s="2961" t="s">
        <v>3268</v>
      </c>
      <c r="I48" s="2961">
        <v>1094</v>
      </c>
      <c r="J48" s="2961">
        <v>1094</v>
      </c>
      <c r="K48" s="2961">
        <v>631.20000000000005</v>
      </c>
      <c r="L48" s="2961">
        <v>0</v>
      </c>
      <c r="M48" s="2961" t="s">
        <v>3276</v>
      </c>
    </row>
    <row r="49" spans="1:13">
      <c r="A49" s="2961" t="s">
        <v>3277</v>
      </c>
      <c r="B49" s="2961" t="s">
        <v>3051</v>
      </c>
      <c r="C49" s="2961" t="s">
        <v>3055</v>
      </c>
      <c r="D49" s="2961">
        <v>5513.1</v>
      </c>
      <c r="E49" s="2961">
        <v>8269.65</v>
      </c>
      <c r="F49" s="2961" t="s">
        <v>3182</v>
      </c>
      <c r="G49" s="2961" t="s">
        <v>3152</v>
      </c>
      <c r="H49" s="2961" t="s">
        <v>3278</v>
      </c>
      <c r="I49" s="2961">
        <v>826.97</v>
      </c>
      <c r="J49" s="2961">
        <v>826.97</v>
      </c>
      <c r="K49" s="2961">
        <v>1000</v>
      </c>
      <c r="L49" s="2961">
        <v>0</v>
      </c>
      <c r="M49" s="2961" t="s">
        <v>3279</v>
      </c>
    </row>
    <row r="50" spans="1:13">
      <c r="A50" s="2961" t="s">
        <v>3280</v>
      </c>
      <c r="B50" s="2961" t="s">
        <v>3051</v>
      </c>
      <c r="C50" s="2961" t="s">
        <v>3055</v>
      </c>
      <c r="D50" s="2961">
        <v>8849.2000000000007</v>
      </c>
      <c r="E50" s="2961">
        <v>17698.400000000001</v>
      </c>
      <c r="F50" s="2961" t="s">
        <v>3281</v>
      </c>
      <c r="G50" s="2961" t="s">
        <v>3152</v>
      </c>
      <c r="H50" s="2961" t="s">
        <v>3278</v>
      </c>
      <c r="I50" s="2961">
        <v>1327.38</v>
      </c>
      <c r="J50" s="2961">
        <v>1327.38</v>
      </c>
      <c r="K50" s="2961">
        <v>750</v>
      </c>
      <c r="L50" s="2961">
        <v>0</v>
      </c>
      <c r="M50" s="2961" t="s">
        <v>3282</v>
      </c>
    </row>
    <row r="51" spans="1:13">
      <c r="A51" s="2961" t="s">
        <v>3283</v>
      </c>
      <c r="B51" s="2961" t="s">
        <v>3051</v>
      </c>
      <c r="C51" s="2961" t="s">
        <v>3055</v>
      </c>
      <c r="D51" s="2961">
        <v>9956.2999999999993</v>
      </c>
      <c r="E51" s="2961">
        <v>14934.45</v>
      </c>
      <c r="F51" s="2961" t="s">
        <v>3186</v>
      </c>
      <c r="G51" s="2961" t="s">
        <v>3152</v>
      </c>
      <c r="H51" s="2961" t="s">
        <v>3278</v>
      </c>
      <c r="I51" s="2961">
        <v>1493.45</v>
      </c>
      <c r="J51" s="2961">
        <v>1493.45</v>
      </c>
      <c r="K51" s="2961">
        <v>1000</v>
      </c>
      <c r="L51" s="2961">
        <v>0</v>
      </c>
      <c r="M51" s="2961" t="s">
        <v>3284</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32573.120000000003</v>
      </c>
      <c r="C4" s="1044">
        <f>项目基本情况!C18</f>
        <v>11931.94</v>
      </c>
      <c r="D4" s="1044" t="e">
        <f ca="1">结果表!D118</f>
        <v>#REF!</v>
      </c>
      <c r="E4" s="1044" t="e">
        <f ca="1">结果表!E118</f>
        <v>#REF!</v>
      </c>
      <c r="F4" s="1044" t="e">
        <f ca="1">结果表!F118</f>
        <v>#REF!</v>
      </c>
      <c r="G4" s="1044" t="e">
        <f ca="1">结果表!G118</f>
        <v>#REF!</v>
      </c>
      <c r="H4" s="1044">
        <f ca="1">结果表!H118</f>
        <v>17480</v>
      </c>
      <c r="I4" s="1044">
        <f ca="1">结果表!I118</f>
        <v>5366</v>
      </c>
    </row>
    <row r="5" spans="1:9" ht="30" customHeight="1">
      <c r="A5" s="3005" t="s">
        <v>1640</v>
      </c>
      <c r="B5" s="3005"/>
      <c r="C5" s="3005"/>
      <c r="D5" s="3006" t="e">
        <f ca="1">结果表!D119</f>
        <v>#REF!</v>
      </c>
      <c r="E5" s="3006"/>
      <c r="F5" s="3006" t="e">
        <f ca="1">结果表!F119</f>
        <v>#REF!</v>
      </c>
      <c r="G5" s="3006"/>
      <c r="H5" s="3006" t="str">
        <f ca="1">结果表!H119</f>
        <v>壹亿柒仟肆佰捌拾万元整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1640</v>
      </c>
      <c r="B7" s="3005"/>
      <c r="C7" s="3005"/>
      <c r="D7" s="3007" t="str">
        <f>结果表!D121</f>
        <v>零元整</v>
      </c>
      <c r="E7" s="3008"/>
      <c r="F7" s="3008"/>
      <c r="G7" s="3008"/>
      <c r="H7" s="3008"/>
      <c r="I7" s="3009"/>
    </row>
    <row r="8" spans="1:9" ht="15.75">
      <c r="A8" s="3004" t="str">
        <f>结果表!A122</f>
        <v>房地产抵押价值</v>
      </c>
      <c r="B8" s="3004"/>
      <c r="C8" s="3004"/>
      <c r="D8" s="3004">
        <f ca="1">结果表!D122</f>
        <v>17480</v>
      </c>
      <c r="E8" s="3004"/>
      <c r="F8" s="3004"/>
      <c r="G8" s="3004"/>
      <c r="H8" s="3004"/>
      <c r="I8" s="3004"/>
    </row>
    <row r="9" spans="1:9" ht="15">
      <c r="A9" s="3005" t="s">
        <v>1640</v>
      </c>
      <c r="B9" s="3005"/>
      <c r="C9" s="3005"/>
      <c r="D9" s="3006" t="str">
        <f ca="1">结果表!D123</f>
        <v>壹亿柒仟肆佰捌拾万元整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8" t="s">
        <v>1662</v>
      </c>
      <c r="B1" s="3018"/>
      <c r="C1" s="3018"/>
      <c r="D1" s="3018"/>
    </row>
    <row r="2" spans="1:4" ht="18">
      <c r="A2" s="3019" t="s">
        <v>1646</v>
      </c>
      <c r="B2" s="3019"/>
      <c r="C2" s="3019"/>
      <c r="D2" s="3019"/>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9" t="s">
        <v>1652</v>
      </c>
      <c r="B6" s="3019"/>
      <c r="C6" s="3019"/>
      <c r="D6" s="3019"/>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1658</v>
      </c>
      <c r="B22" s="3016"/>
      <c r="C22" s="3016"/>
      <c r="D22" s="301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6" t="s">
        <v>1669</v>
      </c>
      <c r="B15" s="3021" t="s">
        <v>136</v>
      </c>
      <c r="C15" s="3022"/>
    </row>
    <row r="16" spans="1:7" ht="13.5">
      <c r="A16" s="3027"/>
      <c r="B16" s="3021" t="s">
        <v>69</v>
      </c>
      <c r="C16" s="3022"/>
    </row>
    <row r="17" spans="1:3" ht="13.5">
      <c r="A17" s="3027"/>
      <c r="B17" s="3024" t="s">
        <v>1670</v>
      </c>
      <c r="C17" s="2000" t="s">
        <v>1669</v>
      </c>
    </row>
    <row r="18" spans="1:3" ht="13.5">
      <c r="A18" s="3027"/>
      <c r="B18" s="3024"/>
      <c r="C18" s="2000" t="s">
        <v>1671</v>
      </c>
    </row>
    <row r="19" spans="1:3" ht="13.5">
      <c r="A19" s="3027"/>
      <c r="B19" s="3024"/>
      <c r="C19" s="2000" t="s">
        <v>1672</v>
      </c>
    </row>
    <row r="20" spans="1:3" ht="13.5">
      <c r="A20" s="3028"/>
      <c r="B20" s="3023" t="s">
        <v>1673</v>
      </c>
      <c r="C20" s="3022"/>
    </row>
    <row r="21" spans="1:3" ht="13.5">
      <c r="A21" s="2001" t="s">
        <v>1674</v>
      </c>
      <c r="B21" s="2002"/>
      <c r="C21" s="2003"/>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0" t="s">
        <v>1680</v>
      </c>
    </row>
    <row r="26" spans="1:3" ht="13.5">
      <c r="A26" s="3025"/>
      <c r="B26" s="3024"/>
      <c r="C26" s="2000" t="s">
        <v>1681</v>
      </c>
    </row>
    <row r="27" spans="1:3" ht="13.5">
      <c r="A27" s="3025"/>
      <c r="B27" s="3024"/>
      <c r="C27" s="2000" t="s">
        <v>1682</v>
      </c>
    </row>
    <row r="28" spans="1:3" ht="13.5">
      <c r="A28" s="3025"/>
      <c r="B28" s="3024"/>
      <c r="C28" s="2000" t="s">
        <v>1683</v>
      </c>
    </row>
    <row r="29" spans="1:3" ht="13.5">
      <c r="A29" s="3025"/>
      <c r="B29" s="3024"/>
      <c r="C29" s="2000" t="s">
        <v>1684</v>
      </c>
    </row>
    <row r="30" spans="1:3" ht="13.5">
      <c r="A30" s="3025"/>
      <c r="B30" s="3024"/>
      <c r="C30" s="2000" t="s">
        <v>1685</v>
      </c>
    </row>
    <row r="31" spans="1:3" ht="13.5">
      <c r="A31" s="3025"/>
      <c r="B31" s="3024"/>
      <c r="C31" s="2000" t="s">
        <v>1686</v>
      </c>
    </row>
    <row r="32" spans="1:3" ht="13.5">
      <c r="A32" s="3025"/>
      <c r="B32" s="3024"/>
      <c r="C32" s="2000" t="s">
        <v>1687</v>
      </c>
    </row>
    <row r="33" spans="1:3" ht="13.5">
      <c r="A33" s="3025"/>
      <c r="B33" s="302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43278</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3047</v>
      </c>
      <c r="B12" s="1022">
        <v>1120110054</v>
      </c>
      <c r="C12" s="2941">
        <v>43937</v>
      </c>
      <c r="D12" s="1702" t="s">
        <v>3047</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f ca="1">IF(C22&lt;B2,"已过期",1120020033)</f>
        <v>1120020033</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29" t="s">
        <v>846</v>
      </c>
      <c r="B25" s="3029"/>
      <c r="C25" s="3029"/>
      <c r="D25" s="3029"/>
      <c r="E25" s="3029"/>
      <c r="F25" s="3029"/>
      <c r="G25" s="3029"/>
    </row>
    <row r="26" spans="1:7" s="1025" customFormat="1" ht="24" customHeight="1">
      <c r="A26" s="3030" t="s">
        <v>847</v>
      </c>
      <c r="B26" s="3030"/>
      <c r="C26" s="3031"/>
      <c r="D26" s="3032" t="s">
        <v>848</v>
      </c>
      <c r="E26" s="3030"/>
      <c r="F26" s="303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2018-06-27T05:39:43Z</dcterms:modified>
</cp:coreProperties>
</file>