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7" i="1" l="1"/>
  <c r="D4" i="73"/>
  <c r="E20" i="43"/>
  <c r="P17" i="43"/>
  <c r="G20" i="43"/>
  <c r="C20" i="43"/>
  <c r="G3" i="43"/>
  <c r="E22" i="43"/>
  <c r="G22" i="43"/>
  <c r="F22" i="43"/>
  <c r="H22" i="43"/>
  <c r="D22" i="43"/>
  <c r="C21" i="43"/>
  <c r="D81" i="43"/>
  <c r="E81" i="43"/>
  <c r="B79" i="43"/>
  <c r="C24" i="43"/>
  <c r="C29" i="43"/>
  <c r="E29" i="43"/>
  <c r="C33" i="43"/>
  <c r="E33" i="43"/>
  <c r="C34" i="43"/>
  <c r="E34" i="43"/>
  <c r="C35" i="43"/>
  <c r="E35" i="43"/>
  <c r="C36" i="43"/>
  <c r="E36" i="43"/>
  <c r="C37" i="43"/>
  <c r="E37" i="43"/>
  <c r="C38" i="43"/>
  <c r="E38" i="43"/>
  <c r="C39" i="43"/>
  <c r="E39" i="43"/>
  <c r="C26" i="43"/>
  <c r="B2" i="43"/>
  <c r="C6" i="68"/>
  <c r="D38" i="43"/>
  <c r="D39" i="43"/>
  <c r="D29" i="43"/>
  <c r="D10" i="68"/>
  <c r="C10" i="68"/>
  <c r="B29" i="1"/>
  <c r="R41" i="40"/>
  <c r="D3" i="4"/>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4" i="43"/>
  <c r="B66" i="40"/>
  <c r="F7" i="40"/>
  <c r="AA7" i="40"/>
  <c r="F8" i="40"/>
  <c r="AA8" i="40"/>
  <c r="F9" i="40"/>
  <c r="AA9" i="40"/>
  <c r="F11" i="40"/>
  <c r="AA11" i="40"/>
  <c r="B77" i="40"/>
  <c r="F12" i="40"/>
  <c r="AA12" i="40"/>
  <c r="B79" i="40"/>
  <c r="F13" i="40"/>
  <c r="AA13" i="40"/>
  <c r="B81" i="40"/>
  <c r="F14" i="40"/>
  <c r="AA14" i="40"/>
  <c r="D84" i="40"/>
  <c r="E84" i="40"/>
  <c r="F15" i="40"/>
  <c r="AA15" i="40"/>
  <c r="D86" i="40"/>
  <c r="E86" i="40"/>
  <c r="F17" i="40"/>
  <c r="AA17" i="40"/>
  <c r="D88" i="40"/>
  <c r="F19" i="40"/>
  <c r="AA19" i="40"/>
  <c r="D90" i="40"/>
  <c r="E90" i="40"/>
  <c r="F21" i="40"/>
  <c r="AA21" i="40"/>
  <c r="D92" i="40"/>
  <c r="E92" i="40"/>
  <c r="F23" i="40"/>
  <c r="AA23" i="40"/>
  <c r="D94" i="40"/>
  <c r="F25" i="40"/>
  <c r="AA25" i="40"/>
  <c r="B95" i="40"/>
  <c r="D96" i="40"/>
  <c r="F27" i="40"/>
  <c r="AA27" i="40"/>
  <c r="D98" i="40"/>
  <c r="E98" i="40"/>
  <c r="F98" i="40"/>
  <c r="G98" i="40"/>
  <c r="F28" i="40"/>
  <c r="AA28" i="40"/>
  <c r="C30" i="40"/>
  <c r="F30" i="40"/>
  <c r="AA30" i="40"/>
  <c r="B101" i="40"/>
  <c r="F31" i="40"/>
  <c r="AA31" i="40"/>
  <c r="B103" i="40"/>
  <c r="F32" i="40"/>
  <c r="AA32" i="40"/>
  <c r="B105" i="40"/>
  <c r="F33" i="40"/>
  <c r="AA33" i="40"/>
  <c r="F34" i="40"/>
  <c r="AA34" i="40"/>
  <c r="D111" i="40"/>
  <c r="F35" i="40"/>
  <c r="AA35" i="40"/>
  <c r="D113" i="40"/>
  <c r="E113" i="40"/>
  <c r="F36" i="40"/>
  <c r="AA36" i="40"/>
  <c r="D115" i="40"/>
  <c r="F37" i="40"/>
  <c r="AA37" i="40"/>
  <c r="B116" i="40"/>
  <c r="F38" i="40"/>
  <c r="AA38" i="40"/>
  <c r="B118" i="40"/>
  <c r="F39" i="40"/>
  <c r="AA39" i="40"/>
  <c r="B120" i="40"/>
  <c r="F40" i="40"/>
  <c r="AA40" i="40"/>
  <c r="H7" i="40"/>
  <c r="AB7" i="40"/>
  <c r="H35" i="40"/>
  <c r="AB35" i="40"/>
  <c r="T41" i="40"/>
  <c r="H34" i="40"/>
  <c r="AB34" i="40"/>
  <c r="H11" i="40"/>
  <c r="AB11" i="40"/>
  <c r="H8" i="40"/>
  <c r="AB8" i="40"/>
  <c r="H9" i="40"/>
  <c r="AB9" i="40"/>
  <c r="J7" i="40"/>
  <c r="AC7" i="40"/>
  <c r="J25" i="40"/>
  <c r="AC25" i="40"/>
  <c r="J35" i="40"/>
  <c r="AC35" i="40"/>
  <c r="J11" i="40"/>
  <c r="AC11" i="40"/>
  <c r="V41" i="40"/>
  <c r="J8" i="40"/>
  <c r="AC8" i="40"/>
  <c r="J9" i="40"/>
  <c r="AC9" i="40"/>
  <c r="A6" i="1"/>
  <c r="A7" i="1"/>
  <c r="A8" i="1"/>
  <c r="G1" i="79"/>
  <c r="F6" i="79"/>
  <c r="F8" i="79"/>
  <c r="G21" i="6"/>
  <c r="E21" i="6"/>
  <c r="K8" i="1"/>
  <c r="F7" i="79"/>
  <c r="F9" i="79"/>
  <c r="C6" i="79"/>
  <c r="C1" i="73"/>
  <c r="L1" i="73"/>
  <c r="F4" i="73"/>
  <c r="I1" i="73"/>
  <c r="B39" i="1"/>
  <c r="F11" i="79"/>
  <c r="C10" i="79"/>
  <c r="C5" i="79"/>
  <c r="B43" i="1"/>
  <c r="B41" i="1"/>
  <c r="F32" i="79"/>
  <c r="C42" i="1"/>
  <c r="C32" i="79"/>
  <c r="M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G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3" i="79"/>
  <c r="C33" i="79"/>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L21" i="6"/>
  <c r="M21" i="6"/>
  <c r="I21" i="6"/>
  <c r="H21" i="6"/>
  <c r="R21" i="6"/>
  <c r="R8" i="1"/>
  <c r="F35" i="79"/>
  <c r="B52" i="1"/>
  <c r="F34" i="79"/>
  <c r="C34" i="79"/>
  <c r="C31" i="79"/>
  <c r="F36" i="79"/>
  <c r="C36" i="79"/>
  <c r="F13" i="79"/>
  <c r="C13" i="79"/>
  <c r="F37" i="79"/>
  <c r="C37" i="79"/>
  <c r="F38" i="79"/>
  <c r="C38" i="79"/>
  <c r="C30" i="79"/>
  <c r="C39" i="79"/>
  <c r="F42" i="79"/>
  <c r="F40" i="79"/>
  <c r="I15" i="4"/>
  <c r="F8" i="1"/>
  <c r="L48" i="79"/>
  <c r="J50" i="79"/>
  <c r="J51" i="79"/>
  <c r="M47" i="79"/>
  <c r="B24" i="1"/>
  <c r="J53" i="79"/>
  <c r="F1" i="79"/>
  <c r="AE8" i="1"/>
  <c r="F41" i="79"/>
  <c r="C40" i="79"/>
  <c r="M6" i="79"/>
  <c r="M8" i="79"/>
  <c r="M7" i="79"/>
  <c r="M9" i="79"/>
  <c r="J6" i="79"/>
  <c r="M11" i="79"/>
  <c r="J10" i="79"/>
  <c r="J5" i="79"/>
  <c r="J26" i="79"/>
  <c r="J29" i="79"/>
  <c r="J57" i="79"/>
  <c r="J55" i="79"/>
  <c r="J58" i="79"/>
  <c r="J59" i="79"/>
  <c r="J60" i="79"/>
  <c r="L46" i="79"/>
  <c r="B2" i="79"/>
  <c r="E8" i="12"/>
  <c r="G1" i="78"/>
  <c r="F6" i="78"/>
  <c r="F8" i="78"/>
  <c r="K7" i="1"/>
  <c r="F7" i="78"/>
  <c r="F9" i="78"/>
  <c r="C6" i="78"/>
  <c r="F11" i="78"/>
  <c r="C10" i="78"/>
  <c r="C5" i="78"/>
  <c r="F32" i="78"/>
  <c r="C32" i="78"/>
  <c r="M7" i="1"/>
  <c r="K20" i="6"/>
  <c r="S7" i="1"/>
  <c r="T7" i="1"/>
  <c r="C14" i="78"/>
  <c r="F15" i="78"/>
  <c r="C15" i="78"/>
  <c r="F16" i="78"/>
  <c r="C16" i="78"/>
  <c r="F43" i="78"/>
  <c r="F17" i="78"/>
  <c r="C17" i="78"/>
  <c r="F18" i="78"/>
  <c r="C18" i="78"/>
  <c r="C19" i="78"/>
  <c r="F20" i="78"/>
  <c r="C20" i="78"/>
  <c r="F24" i="78"/>
  <c r="F23" i="78"/>
  <c r="C23" i="78"/>
  <c r="F26" i="78"/>
  <c r="C26" i="78"/>
  <c r="F21" i="78"/>
  <c r="C24" i="78"/>
  <c r="C27" i="78"/>
  <c r="F28" i="78"/>
  <c r="C28" i="78"/>
  <c r="C29" i="78"/>
  <c r="F33" i="78"/>
  <c r="C33" i="78"/>
  <c r="D20" i="6"/>
  <c r="L20" i="6"/>
  <c r="M20" i="6"/>
  <c r="I20" i="6"/>
  <c r="H20" i="6"/>
  <c r="R20" i="6"/>
  <c r="R7" i="1"/>
  <c r="F35" i="78"/>
  <c r="F34" i="78"/>
  <c r="C34" i="78"/>
  <c r="C31" i="78"/>
  <c r="F36" i="78"/>
  <c r="C36" i="78"/>
  <c r="F13" i="78"/>
  <c r="C13" i="78"/>
  <c r="F37" i="78"/>
  <c r="C37" i="78"/>
  <c r="F38" i="78"/>
  <c r="C38" i="78"/>
  <c r="C30" i="78"/>
  <c r="C39" i="78"/>
  <c r="F42" i="78"/>
  <c r="F40" i="78"/>
  <c r="F7" i="1"/>
  <c r="L48" i="78"/>
  <c r="J50" i="78"/>
  <c r="J51" i="78"/>
  <c r="M47" i="78"/>
  <c r="J53" i="78"/>
  <c r="F1" i="78"/>
  <c r="AE7" i="1"/>
  <c r="F41" i="78"/>
  <c r="C40" i="78"/>
  <c r="M6" i="78"/>
  <c r="M8" i="78"/>
  <c r="M7" i="78"/>
  <c r="M9" i="78"/>
  <c r="J6" i="78"/>
  <c r="M11" i="78"/>
  <c r="J10" i="78"/>
  <c r="J5" i="78"/>
  <c r="J26" i="78"/>
  <c r="J29" i="78"/>
  <c r="J57" i="78"/>
  <c r="J55" i="78"/>
  <c r="J58" i="78"/>
  <c r="J59" i="78"/>
  <c r="J60" i="78"/>
  <c r="L46" i="78"/>
  <c r="B2" i="78"/>
  <c r="D8" i="12"/>
  <c r="G1" i="15"/>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D84" i="34"/>
  <c r="F21" i="34"/>
  <c r="AA21" i="34"/>
  <c r="D86" i="34"/>
  <c r="E86" i="34"/>
  <c r="F23" i="34"/>
  <c r="AA23" i="34"/>
  <c r="D88" i="34"/>
  <c r="E88" i="34"/>
  <c r="F88" i="34"/>
  <c r="G88"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D118" i="34"/>
  <c r="F40" i="34"/>
  <c r="AA40" i="34"/>
  <c r="D120" i="34"/>
  <c r="F41" i="34"/>
  <c r="AA41" i="34"/>
  <c r="F42" i="34"/>
  <c r="AA42"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U6" i="1"/>
  <c r="F6" i="15"/>
  <c r="F8" i="15"/>
  <c r="K6" i="1"/>
  <c r="F7" i="15"/>
  <c r="F9" i="15"/>
  <c r="C6" i="15"/>
  <c r="F11" i="15"/>
  <c r="C10" i="15"/>
  <c r="C5" i="15"/>
  <c r="F32" i="15"/>
  <c r="C32" i="15"/>
  <c r="M6" i="1"/>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F34" i="15"/>
  <c r="C34" i="15"/>
  <c r="C31" i="15"/>
  <c r="F36" i="15"/>
  <c r="C36" i="15"/>
  <c r="F13" i="15"/>
  <c r="C13" i="15"/>
  <c r="F37" i="15"/>
  <c r="C37" i="15"/>
  <c r="F38" i="15"/>
  <c r="C38" i="15"/>
  <c r="C30" i="15"/>
  <c r="C39" i="15"/>
  <c r="F42" i="15"/>
  <c r="F40" i="15"/>
  <c r="F6" i="1"/>
  <c r="L48" i="15"/>
  <c r="J50" i="15"/>
  <c r="J51" i="15"/>
  <c r="M47" i="15"/>
  <c r="J53" i="15"/>
  <c r="F1" i="15"/>
  <c r="AE6" i="1"/>
  <c r="F41" i="15"/>
  <c r="C40" i="15"/>
  <c r="M6" i="15"/>
  <c r="M8" i="15"/>
  <c r="M7" i="15"/>
  <c r="M9" i="15"/>
  <c r="J6" i="15"/>
  <c r="M11" i="15"/>
  <c r="J10" i="15"/>
  <c r="J5" i="15"/>
  <c r="J26" i="15"/>
  <c r="J29" i="15"/>
  <c r="J57" i="15"/>
  <c r="J55" i="15"/>
  <c r="J58" i="15"/>
  <c r="J59" i="15"/>
  <c r="J60" i="15"/>
  <c r="L46" i="15"/>
  <c r="B2" i="15"/>
  <c r="C8" i="12"/>
  <c r="B3" i="79"/>
  <c r="E6" i="12"/>
  <c r="B3" i="78"/>
  <c r="D6" i="12"/>
  <c r="B3" i="15"/>
  <c r="C6" i="12"/>
  <c r="H13" i="4"/>
  <c r="G13" i="4"/>
  <c r="A9" i="1"/>
  <c r="R9" i="1"/>
  <c r="AE9"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N59" i="79"/>
  <c r="F59" i="79"/>
  <c r="Q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51" i="78"/>
  <c r="L57" i="78"/>
  <c r="D7" i="1"/>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F59" i="78"/>
  <c r="Q58" i="78"/>
  <c r="L56" i="78"/>
  <c r="I54" i="78"/>
  <c r="Q47" i="78"/>
  <c r="Q48" i="78"/>
  <c r="Q53" i="78"/>
  <c r="Q52" i="78"/>
  <c r="Q51" i="78"/>
  <c r="Q50" i="78"/>
  <c r="Q49" i="78"/>
  <c r="D46" i="78"/>
  <c r="C46" i="78"/>
  <c r="C43" i="78"/>
  <c r="F31" i="78"/>
  <c r="M29" i="78"/>
  <c r="M28" i="78"/>
  <c r="AG7"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E25" i="34"/>
  <c r="I25" i="34"/>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D9" i="68"/>
  <c r="E6" i="6"/>
  <c r="D19" i="68"/>
  <c r="C19" i="68"/>
  <c r="F16" i="4"/>
  <c r="M47" i="67"/>
  <c r="J53" i="67"/>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J20" i="43"/>
  <c r="G2" i="43"/>
  <c r="I2" i="43"/>
  <c r="M5" i="43"/>
  <c r="C6" i="43"/>
  <c r="G17" i="43"/>
  <c r="H17" i="43"/>
  <c r="I17" i="43"/>
  <c r="J17" i="43"/>
  <c r="C17" i="43"/>
  <c r="C16" i="43"/>
  <c r="C5" i="43"/>
  <c r="I4" i="6"/>
  <c r="D5" i="43"/>
  <c r="F33" i="43"/>
  <c r="D82" i="43"/>
  <c r="D85" i="43"/>
  <c r="K88" i="43"/>
  <c r="D88" i="43"/>
  <c r="K87" i="43"/>
  <c r="D87" i="43"/>
  <c r="D86" i="43"/>
  <c r="D83" i="43"/>
  <c r="D84" i="43"/>
  <c r="G33" i="43"/>
  <c r="H33" i="43"/>
  <c r="I33" i="43"/>
  <c r="F34" i="43"/>
  <c r="F35" i="43"/>
  <c r="F36" i="43"/>
  <c r="F37" i="43"/>
  <c r="F38" i="43"/>
  <c r="F39"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F113" i="43"/>
  <c r="D113"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F103" i="39"/>
  <c r="H29" i="39"/>
  <c r="G103" i="39"/>
  <c r="J29" i="39"/>
  <c r="G66" i="36"/>
  <c r="J18" i="36"/>
  <c r="F68" i="35"/>
  <c r="H18" i="35"/>
  <c r="S18" i="35"/>
  <c r="G68" i="35"/>
  <c r="J18" i="35"/>
  <c r="F77" i="37"/>
  <c r="H21" i="37"/>
  <c r="F21" i="37"/>
  <c r="F84" i="34"/>
  <c r="F83" i="33"/>
  <c r="H21" i="33"/>
  <c r="F21" i="33"/>
  <c r="E83" i="21"/>
  <c r="S21" i="21"/>
  <c r="H1" i="69"/>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C18" i="43"/>
  <c r="F15" i="43"/>
  <c r="E15" i="43"/>
  <c r="D15" i="43"/>
  <c r="C15" i="43"/>
  <c r="C10" i="43"/>
  <c r="C11" i="43"/>
  <c r="C9"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J28" i="40"/>
  <c r="AC28" i="40"/>
  <c r="E96" i="40"/>
  <c r="F96" i="40"/>
  <c r="G96" i="40"/>
  <c r="H96" i="40"/>
  <c r="I96" i="40"/>
  <c r="J96" i="40"/>
  <c r="K96" i="40"/>
  <c r="L96" i="40"/>
  <c r="M96" i="40"/>
  <c r="F92" i="40"/>
  <c r="G92" i="40"/>
  <c r="F90" i="40"/>
  <c r="G90" i="40"/>
  <c r="E88" i="40"/>
  <c r="F86" i="40"/>
  <c r="G86" i="40"/>
  <c r="F84" i="40"/>
  <c r="G84" i="40"/>
  <c r="J12" i="40"/>
  <c r="M74" i="40"/>
  <c r="L74" i="40"/>
  <c r="K74" i="40"/>
  <c r="J74" i="40"/>
  <c r="I74" i="40"/>
  <c r="H74" i="40"/>
  <c r="G74" i="40"/>
  <c r="F74" i="40"/>
  <c r="E74" i="40"/>
  <c r="D74" i="40"/>
  <c r="C74" i="40"/>
  <c r="P43" i="40"/>
  <c r="P42"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7" i="40"/>
  <c r="AC37" i="40"/>
  <c r="H13" i="40"/>
  <c r="U13" i="40"/>
  <c r="J13" i="40"/>
  <c r="W13" i="40"/>
  <c r="F14" i="37"/>
  <c r="S14" i="37"/>
  <c r="F27" i="37"/>
  <c r="AA27" i="37"/>
  <c r="F13" i="39"/>
  <c r="J13" i="39"/>
  <c r="W13" i="39"/>
  <c r="H13" i="39"/>
  <c r="H14" i="40"/>
  <c r="AB14" i="40"/>
  <c r="J14" i="40"/>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H31" i="40"/>
  <c r="U31"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F29" i="6"/>
  <c r="E8" i="6"/>
  <c r="F27" i="6"/>
  <c r="U36" i="40"/>
  <c r="N4" i="43"/>
  <c r="N5"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J7" i="35"/>
  <c r="F7" i="35"/>
  <c r="J7" i="36"/>
  <c r="H7" i="36"/>
  <c r="U7" i="36"/>
  <c r="J7" i="37"/>
  <c r="G58" i="21"/>
  <c r="H58" i="21"/>
  <c r="I58" i="21"/>
  <c r="J58" i="21"/>
  <c r="K58" i="21"/>
  <c r="L58" i="21"/>
  <c r="M58" i="21"/>
  <c r="N58" i="21"/>
  <c r="O58" i="21"/>
  <c r="G39" i="43"/>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J5" i="67"/>
  <c r="B2" i="74"/>
  <c r="AB7" i="36"/>
  <c r="T36" i="36"/>
  <c r="E6" i="3"/>
  <c r="C47" i="68"/>
  <c r="D45"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G36" i="43"/>
  <c r="I36" i="43"/>
  <c r="G34"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E70" i="39"/>
  <c r="F70" i="39"/>
  <c r="C38" i="67"/>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48" i="21"/>
  <c r="E49" i="34"/>
  <c r="G70" i="39"/>
  <c r="H27" i="6"/>
  <c r="C35" i="11"/>
  <c r="C38" i="11"/>
  <c r="C14" i="12"/>
  <c r="C23" i="12"/>
  <c r="D31" i="6"/>
  <c r="I6" i="6"/>
  <c r="R49" i="21"/>
  <c r="C48" i="21"/>
  <c r="G54" i="34"/>
  <c r="H54" i="34"/>
  <c r="I53" i="21"/>
  <c r="J53" i="21"/>
  <c r="C37" i="36"/>
  <c r="C36" i="36"/>
  <c r="G40" i="36"/>
  <c r="H40" i="36"/>
  <c r="E41" i="36"/>
  <c r="F41" i="36"/>
  <c r="G41" i="36"/>
  <c r="H41" i="36"/>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70" i="39"/>
  <c r="C33" i="11"/>
  <c r="C42" i="11"/>
  <c r="F35" i="67"/>
  <c r="M21" i="67"/>
  <c r="M21" i="15"/>
  <c r="I5" i="6"/>
  <c r="C49" i="21"/>
  <c r="F63" i="67"/>
  <c r="C62" i="67"/>
  <c r="C34" i="67"/>
  <c r="J20" i="67"/>
  <c r="C24" i="68"/>
  <c r="J20" i="15"/>
  <c r="F63" i="15"/>
  <c r="C62" i="15"/>
  <c r="R16" i="1"/>
  <c r="C22" i="12"/>
  <c r="C30" i="12"/>
  <c r="C28" i="12"/>
  <c r="C33" i="68"/>
  <c r="C39" i="11"/>
  <c r="C43" i="11"/>
  <c r="C41" i="11"/>
  <c r="I70" i="39"/>
  <c r="C27" i="12"/>
  <c r="C25" i="12"/>
  <c r="C32" i="12"/>
  <c r="B2" i="12"/>
  <c r="B3" i="12"/>
  <c r="C39" i="68"/>
  <c r="C43" i="68"/>
  <c r="C42" i="68"/>
  <c r="C46" i="11"/>
  <c r="C45" i="11"/>
  <c r="C49" i="11"/>
  <c r="C51" i="11"/>
  <c r="C52" i="11"/>
  <c r="B2" i="11"/>
  <c r="B3" i="11"/>
  <c r="J70" i="39"/>
  <c r="C41" i="68"/>
  <c r="C46" i="68"/>
  <c r="C45" i="68"/>
  <c r="K70" i="39"/>
  <c r="C56" i="11"/>
  <c r="C57" i="11"/>
  <c r="C49" i="68"/>
  <c r="C51"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P21" i="43"/>
  <c r="P22" i="43"/>
  <c r="P23" i="43"/>
  <c r="B71" i="39"/>
  <c r="P25" i="43"/>
  <c r="C23" i="43"/>
  <c r="B3" i="43"/>
  <c r="B6" i="76"/>
  <c r="B2" i="76"/>
  <c r="C30" i="43"/>
  <c r="E30" i="43"/>
  <c r="C27" i="43"/>
  <c r="E6" i="76"/>
  <c r="E2" i="76"/>
  <c r="B3" i="76"/>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G21" i="9"/>
  <c r="B3" i="68"/>
  <c r="C20" i="9"/>
  <c r="G20" i="9"/>
  <c r="C103" i="9"/>
  <c r="D22" i="9"/>
  <c r="C21" i="9"/>
  <c r="C102" i="9"/>
  <c r="B3" i="40"/>
  <c r="E42" i="40"/>
  <c r="G42" i="40"/>
  <c r="E47" i="40"/>
  <c r="F47" i="40"/>
  <c r="E46" i="40"/>
  <c r="F46" i="40"/>
  <c r="C42" i="40"/>
  <c r="G46" i="40"/>
  <c r="H46" i="40"/>
  <c r="I42" i="40"/>
  <c r="G47" i="40"/>
  <c r="H47" i="40"/>
  <c r="I47" i="40"/>
  <c r="J47" i="40"/>
  <c r="I46" i="40"/>
  <c r="J46" i="40"/>
  <c r="C57" i="68"/>
  <c r="C56" i="68"/>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<sst xmlns="http://schemas.openxmlformats.org/spreadsheetml/2006/main" count="8673" uniqueCount="3332">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</sst>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19570</v>
      </c>
    </row>
    <row r="21" spans="1:2" s="1593" customFormat="1">
      <c r="A21" s="1591" t="s">
        <v>1235</v>
      </c>
      <c r="B21" s="1592">
        <f ca="1">'预评函-2'!D7</f>
        <v>6008</v>
      </c>
    </row>
    <row r="22" spans="1:2" s="1593" customFormat="1">
      <c r="A22" s="1591" t="s">
        <v>1236</v>
      </c>
      <c r="B22" s="1592" t="str">
        <f ca="1">'预评函-2'!D6</f>
        <v>壹亿玖仟伍佰柒拾万元整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19570</v>
      </c>
    </row>
    <row r="31" spans="1:2" s="1593" customFormat="1">
      <c r="A31" s="1591" t="s">
        <v>1274</v>
      </c>
      <c r="B31" s="1592">
        <f ca="1">'预评函-2'!D15</f>
        <v>6008</v>
      </c>
    </row>
    <row r="32" spans="1:2" s="1593" customFormat="1">
      <c r="A32" s="1591" t="s">
        <v>1241</v>
      </c>
      <c r="B32" s="1592" t="str">
        <f ca="1">'预评函-2'!D14</f>
        <v>壹亿玖仟伍佰柒拾万元整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32573.120000000003</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3082</v>
      </c>
      <c r="C17" s="2015"/>
    </row>
    <row r="18" spans="1:3">
      <c r="A18" s="2014" t="s">
        <v>1767</v>
      </c>
      <c r="B18" s="2014" t="s">
        <v>3127</v>
      </c>
      <c r="C18" s="2015"/>
    </row>
    <row r="19" spans="1:3">
      <c r="A19" s="2014" t="s">
        <v>1768</v>
      </c>
      <c r="B19" s="2014" t="s">
        <v>3128</v>
      </c>
      <c r="C19" s="2015"/>
    </row>
    <row r="20" spans="1:3">
      <c r="A20" s="2014" t="s">
        <v>1769</v>
      </c>
      <c r="B20" s="2014" t="s">
        <v>3129</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42"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3049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3050</v>
      </c>
      <c r="C8" s="2055"/>
      <c r="D8" s="3045" t="s">
        <v>1785</v>
      </c>
      <c r="E8" s="2056" t="s">
        <v>3051</v>
      </c>
      <c r="F8" s="2057"/>
      <c r="G8" s="2026"/>
      <c r="H8" s="2026"/>
      <c r="I8" s="2026"/>
      <c r="J8" s="2042"/>
      <c r="K8" s="2043"/>
      <c r="L8" s="2028"/>
      <c r="M8" s="2028"/>
      <c r="N8" s="2029"/>
      <c r="O8" s="2030"/>
      <c r="P8" s="2029"/>
      <c r="Q8" s="2029"/>
      <c r="R8" s="2029"/>
    </row>
    <row r="9" spans="1:19" ht="18" customHeight="1" thickBot="1">
      <c r="A9" s="2040" t="s">
        <v>1786</v>
      </c>
      <c r="B9" s="2058" t="s">
        <v>3051</v>
      </c>
      <c r="C9" s="2059"/>
      <c r="D9" s="3046"/>
      <c r="E9" s="2058"/>
      <c r="F9" s="2060"/>
      <c r="G9" s="2061"/>
      <c r="H9" s="2061"/>
      <c r="I9" s="2061"/>
      <c r="J9" s="2042"/>
      <c r="K9" s="2053"/>
      <c r="L9" s="2028"/>
      <c r="M9" s="2028"/>
      <c r="N9" s="2029"/>
      <c r="O9" s="2030"/>
      <c r="P9" s="2029"/>
      <c r="Q9" s="2029"/>
      <c r="R9" s="2029"/>
    </row>
    <row r="10" spans="1:19" ht="18" customHeight="1" thickTop="1">
      <c r="A10" s="2062" t="s">
        <v>1787</v>
      </c>
      <c r="B10" s="2063" t="s">
        <v>3052</v>
      </c>
      <c r="C10" s="2064"/>
      <c r="D10" s="2047"/>
      <c r="E10" s="2065" t="s">
        <v>1788</v>
      </c>
      <c r="F10" s="2066" t="s">
        <v>3055</v>
      </c>
      <c r="G10" s="2067"/>
      <c r="H10" s="2068"/>
      <c r="I10" s="2047"/>
      <c r="J10" s="2042"/>
      <c r="K10" s="2053"/>
      <c r="L10" s="2028"/>
      <c r="M10" s="2028"/>
      <c r="N10" s="2029"/>
      <c r="O10" s="2030"/>
      <c r="P10" s="2029"/>
      <c r="Q10" s="2029"/>
      <c r="R10" s="2029"/>
    </row>
    <row r="11" spans="1:19" ht="18" customHeight="1">
      <c r="A11" s="2069" t="s">
        <v>1789</v>
      </c>
      <c r="B11" s="2070" t="s">
        <v>3053</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3054</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52" t="s">
        <v>3057</v>
      </c>
      <c r="C16" s="3053"/>
      <c r="D16" s="3054"/>
      <c r="E16" s="2085" t="s">
        <v>1802</v>
      </c>
      <c r="F16" s="3055">
        <f>I15</f>
        <v>45.61</v>
      </c>
      <c r="G16" s="3056"/>
      <c r="H16" s="3056"/>
      <c r="I16" s="3057"/>
      <c r="J16" s="2029"/>
      <c r="K16" s="2082"/>
      <c r="L16" s="2083"/>
      <c r="M16" s="2083"/>
      <c r="N16" s="2084"/>
      <c r="O16" s="2083"/>
      <c r="P16" s="2084"/>
      <c r="Q16" s="2029"/>
      <c r="R16" s="2029"/>
    </row>
    <row r="17" spans="1:22" ht="18" customHeight="1">
      <c r="A17" s="2086" t="s">
        <v>1803</v>
      </c>
      <c r="B17" s="2035" t="s">
        <v>1804</v>
      </c>
      <c r="C17" s="1054">
        <f>'数据-汇总表'!E3</f>
        <v>32573.120000000003</v>
      </c>
      <c r="D17" s="2087" t="s">
        <v>1805</v>
      </c>
      <c r="E17" s="3058" t="s">
        <v>1806</v>
      </c>
      <c r="F17" s="3059"/>
      <c r="G17" s="3059"/>
      <c r="H17" s="3059"/>
      <c r="I17" s="3060"/>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61" t="s">
        <v>1809</v>
      </c>
      <c r="F18" s="3062"/>
      <c r="G18" s="3062"/>
      <c r="H18" s="3062"/>
      <c r="I18" s="3063"/>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3058</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8" t="s">
        <v>1814</v>
      </c>
      <c r="C20" s="3049"/>
      <c r="D20" s="3050" t="s">
        <v>1815</v>
      </c>
      <c r="E20" s="3051"/>
      <c r="F20" s="2097" t="s">
        <v>1816</v>
      </c>
      <c r="G20" s="2042"/>
      <c r="H20" s="2042"/>
      <c r="I20" s="2042"/>
      <c r="J20" s="2042"/>
      <c r="K20" s="304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5"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5"/>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5"/>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6"/>
      <c r="B30" s="2035" t="s">
        <v>1833</v>
      </c>
      <c r="C30" s="3037"/>
      <c r="D30" s="3038"/>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9" t="s">
        <v>1834</v>
      </c>
      <c r="B31" s="2126" t="s">
        <v>3059</v>
      </c>
      <c r="C31" s="2127" t="str">
        <f>IF(B31="现房","成新及维护状况正常否",IF(B31="在建","工程状态是否正常",IF(B31="土地","是否闲置","-")))</f>
        <v>工程状态是否正常</v>
      </c>
      <c r="D31" s="2128"/>
      <c r="E31" s="2952" t="s">
        <v>3061</v>
      </c>
      <c r="F31" s="2042"/>
      <c r="G31" s="2042"/>
      <c r="H31" s="2042"/>
      <c r="I31" s="2042"/>
      <c r="J31" s="2042"/>
      <c r="K31" s="2051"/>
      <c r="L31" s="2028"/>
      <c r="M31" s="2028"/>
      <c r="N31" s="2029"/>
      <c r="O31" s="2030"/>
      <c r="P31" s="2029"/>
      <c r="Q31" s="2029"/>
      <c r="R31" s="2029"/>
      <c r="S31" s="2029"/>
      <c r="T31" s="2029"/>
      <c r="U31" s="2029"/>
      <c r="V31" s="2029"/>
    </row>
    <row r="32" spans="1:22" ht="18" customHeight="1">
      <c r="A32" s="3040"/>
      <c r="B32" s="2126" t="s">
        <v>3059</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40"/>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3062</v>
      </c>
      <c r="C34" s="2133" t="s">
        <v>3063</v>
      </c>
      <c r="D34" s="2133" t="s">
        <v>3064</v>
      </c>
      <c r="E34" s="2133" t="s">
        <v>3065</v>
      </c>
      <c r="F34" s="2133" t="s">
        <v>3066</v>
      </c>
      <c r="G34" s="2133"/>
      <c r="H34" s="2133"/>
      <c r="I34" s="2042"/>
      <c r="J34" s="2042"/>
      <c r="K34" s="1795">
        <f>COUNTIF(B34:H34,"——")</f>
        <v>0</v>
      </c>
      <c r="L34" s="2074" t="s">
        <v>1836</v>
      </c>
      <c r="M34" s="2074" t="s">
        <v>1837</v>
      </c>
      <c r="N34" s="2074" t="s">
        <v>1838</v>
      </c>
      <c r="O34" s="2074" t="s">
        <v>1839</v>
      </c>
      <c r="P34" s="2074" t="s">
        <v>1840</v>
      </c>
      <c r="Q34" s="2074" t="s">
        <v>1841</v>
      </c>
      <c r="R34" s="2074" t="s">
        <v>1842</v>
      </c>
      <c r="S34" s="3034" t="s">
        <v>1843</v>
      </c>
      <c r="T34" s="2134" t="str">
        <f>NUMBERSTRING(7-K34,1)&amp;"通"</f>
        <v>七通</v>
      </c>
      <c r="U34" s="2029"/>
      <c r="V34" s="2029"/>
    </row>
    <row r="35" spans="1:22" ht="18" customHeight="1">
      <c r="A35" s="2135"/>
      <c r="B35" s="3041" t="s">
        <v>1844</v>
      </c>
      <c r="C35" s="3041"/>
      <c r="D35" s="3041"/>
      <c r="E35" s="3041"/>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3067</v>
      </c>
      <c r="C38" s="2142" t="s">
        <v>3067</v>
      </c>
      <c r="D38" s="2142" t="s">
        <v>3067</v>
      </c>
      <c r="E38" s="2142" t="s">
        <v>3067</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3068</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34816.990000000005</v>
      </c>
      <c r="C3" s="2965" t="s">
        <v>3058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12753.900000000001</v>
      </c>
      <c r="F6" s="16" t="s">
        <v>1</v>
      </c>
      <c r="G6" s="16" t="s">
        <v>2</v>
      </c>
      <c r="H6" s="20">
        <f>SUMIF(I$12:AB$12,"总值",I6:AB6)</f>
        <v>11466.12</v>
      </c>
      <c r="I6" s="16">
        <f t="shared" ref="I6:AB6" si="2">ROUND($A$3*I5/$B$3,2)</f>
        <v>6023.6</v>
      </c>
      <c r="J6" s="16">
        <f t="shared" si="2"/>
        <v>0</v>
      </c>
      <c r="K6" s="16">
        <f t="shared" si="2"/>
        <v>3145.93</v>
      </c>
      <c r="L6" s="16">
        <f t="shared" si="2"/>
        <v>0</v>
      </c>
      <c r="M6" s="16">
        <f t="shared" si="2"/>
        <v>2296.59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v>
      </c>
      <c r="BC6" s="16">
        <f t="shared" ref="BC6:BH6" si="4">ROUND($AY$6*BC5/$AZ$5,2)</f>
        <v>3145.92</v>
      </c>
      <c r="BD6" s="16">
        <f t="shared" si="4"/>
        <v>2296.59</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3072</v>
      </c>
      <c r="J9" s="981"/>
      <c r="K9" s="2190" t="s">
        <v>3073</v>
      </c>
      <c r="L9" s="981"/>
      <c r="M9" s="2190" t="s">
        <v>3073</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3075</v>
      </c>
      <c r="L10" s="981"/>
      <c r="M10" s="2196" t="s">
        <v>3076</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3074</v>
      </c>
      <c r="J11" s="2202"/>
      <c r="K11" s="2201" t="s">
        <v>3075</v>
      </c>
      <c r="L11" s="2202"/>
      <c r="M11" s="2201" t="s">
        <v>3075</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3069</v>
      </c>
      <c r="B13" s="1272" t="s">
        <v>3070</v>
      </c>
      <c r="C13" s="2953" t="s">
        <v>3071</v>
      </c>
      <c r="D13" s="2212" t="s">
        <v>3058</v>
      </c>
      <c r="E13" s="16">
        <f>IF($C$3="是",ROUND($A$3*G13/$B$3,2),ROUND($A$3*(G13-AT13)/$B$3,2))</f>
        <v>12753.9</v>
      </c>
      <c r="F13" s="32"/>
      <c r="G13" s="33">
        <f>H13+AC13+AT13</f>
        <v>34816.990000000005</v>
      </c>
      <c r="H13" s="20">
        <f>SUMIF(I$12:AB$12,"总值",I13:AB13)</f>
        <v>31301.47</v>
      </c>
      <c r="I13" s="2213">
        <v>16443.89</v>
      </c>
      <c r="J13" s="2213"/>
      <c r="K13" s="2213">
        <v>8588.09</v>
      </c>
      <c r="L13" s="2213"/>
      <c r="M13" s="2213">
        <v>6269.49</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32573.120000000003</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32573.120000000003</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2296.59</v>
      </c>
      <c r="E12" s="51">
        <f>SUMPRODUCT(('数据-基础表'!BB10:BK10="地下")*('数据-基础表'!BB11:BK11="仓储")*('数据-基础表'!BB5:BK5))</f>
        <v>6269.49</v>
      </c>
      <c r="F12" s="1392"/>
      <c r="G12" s="2236"/>
      <c r="H12" s="2236"/>
      <c r="I12" s="1392"/>
      <c r="J12" s="1392"/>
      <c r="K12" s="1392"/>
      <c r="L12" s="1392"/>
      <c r="M12" s="1392"/>
      <c r="N12" s="1392"/>
      <c r="O12" s="1392"/>
      <c r="P12" s="1392"/>
    </row>
    <row r="13" spans="1:16">
      <c r="A13" s="2237"/>
      <c r="B13" s="2238"/>
      <c r="C13" s="48" t="s">
        <v>1930</v>
      </c>
      <c r="D13" s="48">
        <f t="shared" si="0"/>
        <v>3145.92</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v>
      </c>
      <c r="E16" s="53">
        <f>SUM(E8:E15)</f>
        <v>31301.469999999998</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3078</v>
      </c>
      <c r="D19" s="48">
        <f>ROUND($D$3*E19/$E$3,2)</f>
        <v>6023.6</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6268.3200000000006</v>
      </c>
      <c r="S19" s="1248">
        <f t="shared" si="5"/>
        <v>17111.939999999999</v>
      </c>
    </row>
    <row r="20" spans="1:19">
      <c r="A20" s="2261"/>
      <c r="B20" s="50" t="s">
        <v>1961</v>
      </c>
      <c r="C20" s="2954" t="s">
        <v>3079</v>
      </c>
      <c r="D20" s="48">
        <f t="shared" ref="D20:D26" si="6">ROUND($D$3*E20/$E$3,2)</f>
        <v>3145.92</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3273.73</v>
      </c>
      <c r="S20" s="1248">
        <f t="shared" si="5"/>
        <v>8936.99</v>
      </c>
    </row>
    <row r="21" spans="1:19">
      <c r="A21" s="2261"/>
      <c r="B21" s="50" t="s">
        <v>1961</v>
      </c>
      <c r="C21" s="2954" t="s">
        <v>3081</v>
      </c>
      <c r="D21" s="48">
        <f t="shared" si="6"/>
        <v>2296.59</v>
      </c>
      <c r="E21" s="56">
        <f t="shared" si="1"/>
        <v>6269.49</v>
      </c>
      <c r="F21" s="57"/>
      <c r="G21" s="58">
        <f>'数据-基础表'!M13</f>
        <v>6269.49</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2389.8900000000003</v>
      </c>
      <c r="S21" s="1248">
        <f t="shared" si="5"/>
        <v>6524.19</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1962</v>
      </c>
      <c r="D27" s="1393">
        <f>SUM(D19:D26)</f>
        <v>11466.11</v>
      </c>
      <c r="E27" s="1394">
        <f>IF(SUM(E19:E26)='数据-基础表'!BA5,SUM(E19:E26),IF(F27="地上面积有误","面积有误","地下面积有误"))</f>
        <v>31301.47</v>
      </c>
      <c r="F27" s="1393">
        <f>IF(SUM(F19:F26)=E8,SUM(F19:F26),"地上面积有误")</f>
        <v>16443.89</v>
      </c>
      <c r="G27" s="1395">
        <f>SUM(G19:G26)</f>
        <v>14857.58</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f>IF(SUM(R19:R26)=$D$3,SUM(R19:R26),SUM(R19:R26)&amp;"误差"&amp;ROUND(SUM(R19:R26)-$D$3,2))</f>
        <v>11931.940000000002</v>
      </c>
      <c r="S27" s="1247">
        <f>IF(SUM(S19:S26)=$E$3,SUM(S19:S26),SUM(S19:S26)&amp;"误差"&amp;ROUND(SUM(S19:S26)-E3,2))</f>
        <v>32573.119999999999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v>
      </c>
      <c r="E31" s="729">
        <f>E27+E30</f>
        <v>32573.120000000003</v>
      </c>
      <c r="F31" s="730">
        <f>F27+F30</f>
        <v>17715.54</v>
      </c>
      <c r="G31" s="731">
        <f>G27+G30</f>
        <v>14857.58</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1" sqref="J2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0.97699999999999998</v>
      </c>
      <c r="H6" s="802">
        <v>0.05</v>
      </c>
      <c r="I6" s="802">
        <v>5.5E-2</v>
      </c>
      <c r="J6" s="74">
        <v>8.5000000000000006E-2</v>
      </c>
      <c r="K6" s="1251">
        <f>SUMIF('数据-汇总表'!C$19:C$33,A6,'数据-汇总表'!E$19:E$33)</f>
        <v>16443.89</v>
      </c>
      <c r="L6" s="803">
        <v>3000</v>
      </c>
      <c r="M6" s="75">
        <f t="shared" ref="M6:M14" si="0">ROUND(K6*L6/10000,0)</f>
        <v>4933</v>
      </c>
      <c r="N6" s="801">
        <v>0.55000000000000004</v>
      </c>
      <c r="O6" s="75">
        <f>IF($N$5="成新度","——",ROUND(M6*N6,0))</f>
        <v>2713</v>
      </c>
      <c r="P6" s="76">
        <f>IF($N$5="成新度","——",M6-O6)</f>
        <v>2220</v>
      </c>
      <c r="Q6" s="804">
        <v>0.25</v>
      </c>
      <c r="R6" s="77">
        <f ca="1">SUMIF('数据-汇总表'!C$19:C$33,A6,'数据-汇总表'!R$19:R$27)</f>
        <v>6268.3200000000006</v>
      </c>
      <c r="S6" s="54">
        <f>IF('数据-汇总表'!$I$17="按面积比例",SUMIF('数据-汇总表'!C$19:C$33,A6,'数据-汇总表'!K$19:K$33),SUMIF('数据-汇总表'!C$19:C$33,A6,'数据-汇总表'!N$19:N$33))</f>
        <v>668.05</v>
      </c>
      <c r="T6" s="1443">
        <f>ROUND($L$14*S6/10000,0)</f>
        <v>0</v>
      </c>
      <c r="U6" s="78">
        <f>'比较法（套用）'!C50</f>
        <v>3.3</v>
      </c>
      <c r="V6" s="79">
        <v>0.02</v>
      </c>
      <c r="W6" s="79">
        <v>0.15</v>
      </c>
      <c r="X6" s="1261"/>
      <c r="Y6" s="80">
        <v>1</v>
      </c>
      <c r="Z6" s="81"/>
      <c r="AA6" s="74"/>
      <c r="AB6" s="74"/>
      <c r="AC6" s="1261"/>
      <c r="AD6" s="82"/>
      <c r="AE6" s="1262">
        <f ca="1">IF(AN6="",0,SUMIF(INDIRECT("'"&amp;AN6&amp;"'"&amp;"!E:E"),$AE$5,INDIRECT("'"&amp;AN6&amp;"'"&amp;"!F:F")))</f>
        <v>45.11</v>
      </c>
      <c r="AF6" s="1804"/>
      <c r="AG6" s="147">
        <f>IF(AF6="",0,AE6-AF6)</f>
        <v>0</v>
      </c>
      <c r="AH6" s="83"/>
      <c r="AI6" s="85">
        <v>365</v>
      </c>
      <c r="AJ6" s="86"/>
      <c r="AK6" s="87">
        <v>0.02</v>
      </c>
      <c r="AL6" s="88">
        <v>2E-3</v>
      </c>
      <c r="AM6" s="89">
        <v>0.02</v>
      </c>
      <c r="AN6" s="2307" t="s">
        <v>3127</v>
      </c>
      <c r="AO6" s="55">
        <f ca="1">SUMIF(INDIRECT("'"&amp;AN6&amp;"'"&amp;"!A:A"),"总价",INDIRECT("'"&amp;AN6&amp;"'"&amp;"!B:B"))</f>
        <v>26487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0.97299999999999998</v>
      </c>
      <c r="H7" s="2966">
        <v>4.4999999999999998E-2</v>
      </c>
      <c r="I7" s="2966">
        <v>4.4999999999999998E-2</v>
      </c>
      <c r="J7" s="74">
        <v>8.5000000000000006E-2</v>
      </c>
      <c r="K7" s="1251">
        <f>SUMIF('数据-汇总表'!C$19:C$33,A7,'数据-汇总表'!E$19:E$33)</f>
        <v>8588.09</v>
      </c>
      <c r="L7" s="803">
        <v>2500</v>
      </c>
      <c r="M7" s="75">
        <f t="shared" si="0"/>
        <v>2147</v>
      </c>
      <c r="N7" s="801">
        <v>0.55000000000000004</v>
      </c>
      <c r="O7" s="75">
        <f t="shared" ref="O7:O14" si="3">IF($N$5="成新度","——",ROUND(M7*N7,0))</f>
        <v>1181</v>
      </c>
      <c r="P7" s="76">
        <f t="shared" ref="P7:P14" si="4">IF($N$5="成新度","——",M7-O7)</f>
        <v>966</v>
      </c>
      <c r="Q7" s="804">
        <v>0.1</v>
      </c>
      <c r="R7" s="77">
        <f ca="1">SUMIF('数据-汇总表'!C$19:C$33,A7,'数据-汇总表'!R$19:R$27)</f>
        <v>3273.73</v>
      </c>
      <c r="S7" s="54">
        <f>IF('数据-汇总表'!$I$17="按面积比例",SUMIF('数据-汇总表'!C$19:C$33,A7,'数据-汇总表'!K$19:K$33),SUMIF('数据-汇总表'!C$19:C$33,A7,'数据-汇总表'!N$19:N$33))</f>
        <v>348.9</v>
      </c>
      <c r="T7" s="1443">
        <f t="shared" ref="T7:T13" si="5">ROUND($L$14*S7/10000,0)</f>
        <v>0</v>
      </c>
      <c r="U7" s="2969">
        <v>0.8</v>
      </c>
      <c r="V7" s="2970">
        <v>8.0000000000000002E-3</v>
      </c>
      <c r="W7" s="79">
        <v>0.15</v>
      </c>
      <c r="X7" s="1261"/>
      <c r="Y7" s="80">
        <v>1</v>
      </c>
      <c r="Z7" s="81"/>
      <c r="AA7" s="74"/>
      <c r="AB7" s="74"/>
      <c r="AC7" s="1261"/>
      <c r="AD7" s="82"/>
      <c r="AE7" s="1262">
        <f t="shared" ref="AE7:AE13" ca="1" si="6">IF(AN7="",0,SUMIF(INDIRECT("'"&amp;AN7&amp;"'"&amp;"!E:E"),$AE$5,INDIRECT("'"&amp;AN7&amp;"'"&amp;"!F:F")))</f>
        <v>45.11</v>
      </c>
      <c r="AF7" s="1804"/>
      <c r="AG7" s="147">
        <f t="shared" ref="AG7:AG13" si="7">IF(AF7="",0,AE7-AF7)</f>
        <v>0</v>
      </c>
      <c r="AH7" s="83"/>
      <c r="AI7" s="85">
        <v>365</v>
      </c>
      <c r="AJ7" s="86"/>
      <c r="AK7" s="2981">
        <v>1.4999999999999999E-2</v>
      </c>
      <c r="AL7" s="2973">
        <v>2E-3</v>
      </c>
      <c r="AM7" s="89">
        <v>0.01</v>
      </c>
      <c r="AN7" s="2307" t="s">
        <v>3129</v>
      </c>
      <c r="AO7" s="55">
        <f t="shared" ref="AO7:AO13" ca="1" si="8">SUMIF(INDIRECT("'"&amp;AN7&amp;"'"&amp;"!A:A"),"总价",INDIRECT("'"&amp;AN7&amp;"'"&amp;"!B:B"))</f>
        <v>2652</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0.97299999999999998</v>
      </c>
      <c r="H8" s="2966">
        <v>4.4999999999999998E-2</v>
      </c>
      <c r="I8" s="2966">
        <v>0.05</v>
      </c>
      <c r="J8" s="74">
        <v>8.5000000000000006E-2</v>
      </c>
      <c r="K8" s="1251">
        <f>SUMIF('数据-汇总表'!C$19:C$33,A8,'数据-汇总表'!E$19:E$33)</f>
        <v>6269.49</v>
      </c>
      <c r="L8" s="803">
        <v>2500</v>
      </c>
      <c r="M8" s="75">
        <f>ROUND(K8*L8/10000,0)</f>
        <v>1567</v>
      </c>
      <c r="N8" s="801">
        <v>0.55000000000000004</v>
      </c>
      <c r="O8" s="75">
        <f t="shared" si="3"/>
        <v>862</v>
      </c>
      <c r="P8" s="76">
        <f t="shared" si="4"/>
        <v>705</v>
      </c>
      <c r="Q8" s="804">
        <v>0.1</v>
      </c>
      <c r="R8" s="77">
        <f ca="1">SUMIF('数据-汇总表'!C$19:C$33,A8,'数据-汇总表'!R$19:R$27)</f>
        <v>2389.8900000000003</v>
      </c>
      <c r="S8" s="54">
        <f>IF('数据-汇总表'!$I$17="按面积比例",SUMIF('数据-汇总表'!C$19:C$33,A8,'数据-汇总表'!K$19:K$33),SUMIF('数据-汇总表'!C$19:C$33,A8,'数据-汇总表'!N$19:N$33))</f>
        <v>254.7</v>
      </c>
      <c r="T8" s="1443">
        <f t="shared" si="5"/>
        <v>0</v>
      </c>
      <c r="U8" s="2971">
        <v>1</v>
      </c>
      <c r="V8" s="2972">
        <v>0.01</v>
      </c>
      <c r="W8" s="805">
        <v>0.15</v>
      </c>
      <c r="X8" s="1261"/>
      <c r="Y8" s="806">
        <v>1</v>
      </c>
      <c r="Z8" s="81"/>
      <c r="AA8" s="74"/>
      <c r="AB8" s="74"/>
      <c r="AC8" s="1261"/>
      <c r="AD8" s="82"/>
      <c r="AE8" s="1262">
        <f t="shared" ca="1" si="6"/>
        <v>45.11</v>
      </c>
      <c r="AF8" s="1804"/>
      <c r="AG8" s="147">
        <f t="shared" si="7"/>
        <v>0</v>
      </c>
      <c r="AH8" s="807"/>
      <c r="AI8" s="85">
        <v>365</v>
      </c>
      <c r="AJ8" s="86"/>
      <c r="AK8" s="2982">
        <v>1.4999999999999999E-2</v>
      </c>
      <c r="AL8" s="2983">
        <v>2E-3</v>
      </c>
      <c r="AM8" s="808">
        <v>0.01</v>
      </c>
      <c r="AN8" s="2307" t="s">
        <v>3128</v>
      </c>
      <c r="AO8" s="55">
        <f t="shared" ca="1" si="8"/>
        <v>2498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7"/>
      <c r="M14" s="75">
        <f t="shared" si="0"/>
        <v>0</v>
      </c>
      <c r="N14" s="2968"/>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0.97499999999999998</v>
      </c>
      <c r="H16" s="99">
        <f>ROUND(SUMPRODUCT(H6:H13,K6:K13)/SUMPRODUCT((H6:H13&gt;0)*(K6:K13)),3)</f>
        <v>4.8000000000000001E-2</v>
      </c>
      <c r="I16" s="100"/>
      <c r="J16" s="100"/>
      <c r="K16" s="101">
        <f>SUM(K6:K15)</f>
        <v>32573.120000000003</v>
      </c>
      <c r="L16" s="102">
        <f>ROUND(M16*10000/SUM(K6:K14),0)</f>
        <v>2655</v>
      </c>
      <c r="M16" s="102">
        <f>SUM(M6:M14)</f>
        <v>8647</v>
      </c>
      <c r="N16" s="103">
        <f>ROUND(SUMPRODUCT(M6:M14,N6:N14)/M16,3)</f>
        <v>0.55000000000000004</v>
      </c>
      <c r="O16" s="102">
        <f>SUM(O6:O14)</f>
        <v>4756</v>
      </c>
      <c r="P16" s="102">
        <f>SUM(P6:P14)</f>
        <v>3891</v>
      </c>
      <c r="Q16" s="104">
        <f>ROUND(SUMPRODUCT(Q6:Q13,K6:K13)/SUMPRODUCT((Q6:Q13&gt;0)*(K6:K13)),2)</f>
        <v>0.18</v>
      </c>
      <c r="R16" s="1255">
        <f ca="1">SUM(R6:R13)</f>
        <v>11931.940000000002</v>
      </c>
      <c r="S16" s="105">
        <f>SUM(S6:S13)</f>
        <v>1271.6499999999999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0.5</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9" t="s">
        <v>3331</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80"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170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4" t="s">
        <v>2038</v>
      </c>
      <c r="B32" s="725">
        <v>30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32573.120000000003</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19570</v>
      </c>
      <c r="C5" s="1743">
        <f ca="1">ROUND(B5*10000/$B$1,0)</f>
        <v>6008</v>
      </c>
      <c r="D5" s="1743">
        <f ca="1">ROUND(B5*10000/$B$2,0)</f>
        <v>16401</v>
      </c>
      <c r="E5" s="1742"/>
      <c r="F5" s="1740"/>
      <c r="G5" s="1740"/>
    </row>
    <row r="6" spans="1:10" ht="16.5">
      <c r="A6" s="1743" t="s">
        <v>1356</v>
      </c>
      <c r="B6" s="1743">
        <f ca="1">SUM(G14:G23)</f>
        <v>19570</v>
      </c>
      <c r="C6" s="1743">
        <f ca="1">ROUND(B6*10000/$B$1,0)</f>
        <v>6008</v>
      </c>
      <c r="D6" s="1743">
        <f ca="1">ROUND(B6*10000/$B$2,0)</f>
        <v>16401</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32573.120000000003</v>
      </c>
      <c r="C14" s="1741">
        <f>结果表!C118</f>
        <v>11931.94</v>
      </c>
      <c r="D14" s="1741">
        <f ca="1">结果表!H118</f>
        <v>19570</v>
      </c>
      <c r="E14" s="1741">
        <f ca="1">ROUND(D14*10000/B14,0)</f>
        <v>6008</v>
      </c>
      <c r="F14" s="1741">
        <f ca="1">ROUND(D14*10000/C14,0)</f>
        <v>16401</v>
      </c>
      <c r="G14" s="1741">
        <f ca="1">结果表!D122</f>
        <v>19570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16" t="str">
        <f>项目基本情况!S2</f>
        <v>北京市北京市海淀区永丰产业基地Ⅱ-4-C地段出让国有建设用地使用权及在建建筑物房地产</v>
      </c>
      <c r="B2" s="3117"/>
      <c r="C2" s="3117"/>
      <c r="D2" s="3117"/>
      <c r="E2" s="3117"/>
      <c r="F2" s="3117"/>
      <c r="G2" s="3117"/>
      <c r="H2" s="3117"/>
      <c r="I2" s="3118"/>
    </row>
    <row r="3" spans="1:12" ht="12.75">
      <c r="A3" s="3120" t="s">
        <v>2125</v>
      </c>
      <c r="B3" s="3121"/>
      <c r="C3" s="3121"/>
      <c r="D3" s="3121"/>
      <c r="E3" s="3121"/>
      <c r="F3" s="3121"/>
      <c r="G3" s="3121"/>
      <c r="H3" s="3121"/>
      <c r="I3" s="3121"/>
    </row>
    <row r="4" spans="1:12" ht="14.25">
      <c r="A4" s="2424" t="s">
        <v>2126</v>
      </c>
      <c r="B4" s="2425" t="s">
        <v>2127</v>
      </c>
      <c r="C4" s="2426" t="s">
        <v>3318</v>
      </c>
      <c r="D4" s="2426" t="s">
        <v>3319</v>
      </c>
      <c r="E4" s="3113" t="s">
        <v>2128</v>
      </c>
      <c r="F4" s="3114"/>
      <c r="G4" s="3114"/>
      <c r="H4" s="3114"/>
      <c r="I4" s="312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2129</v>
      </c>
      <c r="B5" s="3034">
        <v>25</v>
      </c>
      <c r="C5" s="3099"/>
      <c r="D5" s="3119"/>
      <c r="E5" s="140" t="s">
        <v>2130</v>
      </c>
      <c r="F5" s="2428"/>
      <c r="G5" s="2428"/>
      <c r="H5" s="2428"/>
      <c r="I5" s="1831"/>
    </row>
    <row r="6" spans="1:12" ht="12.75">
      <c r="A6" s="3096"/>
      <c r="B6" s="3034"/>
      <c r="C6" s="3100"/>
      <c r="D6" s="3119"/>
      <c r="E6" s="140" t="s">
        <v>2131</v>
      </c>
      <c r="F6" s="2428"/>
      <c r="G6" s="2428"/>
      <c r="H6" s="2428"/>
      <c r="I6" s="1831"/>
    </row>
    <row r="7" spans="1:12" ht="12.75">
      <c r="A7" s="3096"/>
      <c r="B7" s="3034"/>
      <c r="C7" s="3101"/>
      <c r="D7" s="3119"/>
      <c r="E7" s="140" t="s">
        <v>2132</v>
      </c>
      <c r="F7" s="2428"/>
      <c r="G7" s="2428"/>
      <c r="H7" s="2428"/>
      <c r="I7" s="1831"/>
    </row>
    <row r="8" spans="1:12" ht="12.75">
      <c r="A8" s="3096" t="s">
        <v>2133</v>
      </c>
      <c r="B8" s="3034">
        <v>15</v>
      </c>
      <c r="C8" s="3099"/>
      <c r="D8" s="3119"/>
      <c r="E8" s="140" t="s">
        <v>2134</v>
      </c>
      <c r="F8" s="2428"/>
      <c r="G8" s="2428"/>
      <c r="H8" s="2428"/>
      <c r="I8" s="1831"/>
    </row>
    <row r="9" spans="1:12" ht="12.75">
      <c r="A9" s="3096"/>
      <c r="B9" s="3034"/>
      <c r="C9" s="3101"/>
      <c r="D9" s="3119"/>
      <c r="E9" s="140" t="s">
        <v>2135</v>
      </c>
      <c r="F9" s="2428"/>
      <c r="G9" s="2428"/>
      <c r="H9" s="2428"/>
      <c r="I9" s="1831"/>
    </row>
    <row r="10" spans="1:12" ht="12.75">
      <c r="A10" s="3096" t="s">
        <v>2136</v>
      </c>
      <c r="B10" s="3034">
        <v>15</v>
      </c>
      <c r="C10" s="3099"/>
      <c r="D10" s="3119"/>
      <c r="E10" s="140" t="s">
        <v>2137</v>
      </c>
      <c r="F10" s="2428"/>
      <c r="G10" s="2428"/>
      <c r="H10" s="2428"/>
      <c r="I10" s="1831"/>
    </row>
    <row r="11" spans="1:12" ht="12.75">
      <c r="A11" s="3096"/>
      <c r="B11" s="3034"/>
      <c r="C11" s="3101"/>
      <c r="D11" s="3119"/>
      <c r="E11" s="140" t="s">
        <v>2138</v>
      </c>
      <c r="F11" s="2428"/>
      <c r="G11" s="2428"/>
      <c r="H11" s="2428"/>
      <c r="I11" s="1831"/>
    </row>
    <row r="12" spans="1:12" ht="12.75">
      <c r="A12" s="3096" t="s">
        <v>2139</v>
      </c>
      <c r="B12" s="3034">
        <v>15</v>
      </c>
      <c r="C12" s="3099"/>
      <c r="D12" s="3119"/>
      <c r="E12" s="140" t="s">
        <v>2140</v>
      </c>
      <c r="F12" s="2428"/>
      <c r="G12" s="2428"/>
      <c r="H12" s="2428"/>
      <c r="I12" s="1831"/>
    </row>
    <row r="13" spans="1:12" ht="12.75">
      <c r="A13" s="3096"/>
      <c r="B13" s="3034"/>
      <c r="C13" s="3101"/>
      <c r="D13" s="3119"/>
      <c r="E13" s="140" t="s">
        <v>2141</v>
      </c>
      <c r="F13" s="2428"/>
      <c r="G13" s="2428"/>
      <c r="H13" s="2428"/>
      <c r="I13" s="1831"/>
    </row>
    <row r="14" spans="1:12" ht="12.75">
      <c r="A14" s="3096" t="s">
        <v>2142</v>
      </c>
      <c r="B14" s="3034">
        <v>30</v>
      </c>
      <c r="C14" s="3099">
        <v>4</v>
      </c>
      <c r="D14" s="3119">
        <v>6</v>
      </c>
      <c r="E14" s="140" t="s">
        <v>2143</v>
      </c>
      <c r="F14" s="2428"/>
      <c r="G14" s="2428"/>
      <c r="H14" s="2428"/>
      <c r="I14" s="1831"/>
    </row>
    <row r="15" spans="1:12" ht="12.75">
      <c r="A15" s="3096"/>
      <c r="B15" s="3034"/>
      <c r="C15" s="3100"/>
      <c r="D15" s="3119"/>
      <c r="E15" s="140" t="s">
        <v>2144</v>
      </c>
      <c r="F15" s="2428"/>
      <c r="G15" s="2428"/>
      <c r="H15" s="2428"/>
      <c r="I15" s="1831"/>
    </row>
    <row r="16" spans="1:12" ht="12.75">
      <c r="A16" s="3096"/>
      <c r="B16" s="3034"/>
      <c r="C16" s="3101"/>
      <c r="D16" s="3119"/>
      <c r="E16" s="140" t="s">
        <v>2145</v>
      </c>
      <c r="F16" s="2428"/>
      <c r="G16" s="2428"/>
      <c r="H16" s="2428"/>
      <c r="I16" s="1831"/>
    </row>
    <row r="17" spans="1:35" ht="15">
      <c r="A17" s="2429" t="s">
        <v>2146</v>
      </c>
      <c r="B17" s="64"/>
      <c r="C17" s="141">
        <f>SUM(C5:C16)</f>
        <v>4</v>
      </c>
      <c r="D17" s="141">
        <f>SUM(D5:D16)</f>
        <v>6</v>
      </c>
      <c r="E17" s="138"/>
      <c r="F17" s="138"/>
      <c r="G17" s="138"/>
      <c r="H17" s="138"/>
      <c r="I17" s="138"/>
      <c r="K17" s="2427"/>
      <c r="L17" s="2430" t="s">
        <v>2147</v>
      </c>
      <c r="M17" s="2430" t="s">
        <v>2148</v>
      </c>
    </row>
    <row r="18" spans="1:35" ht="15.75" thickBot="1">
      <c r="A18" s="2431" t="s">
        <v>2149</v>
      </c>
      <c r="B18" s="2432"/>
      <c r="C18" s="142">
        <f>ROUND(C17/SUM(C17:D17),2)</f>
        <v>0.4</v>
      </c>
      <c r="D18" s="142">
        <f>1-C18</f>
        <v>0.6</v>
      </c>
      <c r="E18" s="138"/>
      <c r="F18" s="138"/>
      <c r="G18" s="138"/>
      <c r="H18" s="138"/>
      <c r="I18" s="138"/>
      <c r="K18" s="2427" t="s">
        <v>2150</v>
      </c>
      <c r="L18" s="2427">
        <f>IF(C1="",'数据-汇总表'!E3,SUMIF(项目类型,C1,'数据-汇总表'!E17:E26)+SUMIF(项目类型,C1,'数据-汇总表'!I17:I26))</f>
        <v>32573.120000000003</v>
      </c>
      <c r="M18" s="2427">
        <f>IF(C1="",'数据-汇总表'!E3,SUMIF(项目类型,C1,'数据-汇总表'!E17:E26))</f>
        <v>32573.120000000003</v>
      </c>
    </row>
    <row r="19" spans="1:35" ht="15">
      <c r="A19" s="2433" t="s">
        <v>2151</v>
      </c>
      <c r="B19" s="2434" t="s">
        <v>2152</v>
      </c>
      <c r="C19" s="143">
        <f ca="1">SUMIF(INDIRECT("'"&amp;C4&amp;"'"&amp;"!A:A"),结果表!B19,INDIRECT("'"&amp;C4&amp;"'"&amp;"!B:B"))</f>
        <v>15920</v>
      </c>
      <c r="D19" s="144">
        <f ca="1">SUMIF(INDIRECT("'"&amp;D4&amp;"'"&amp;"!A:A"),结果表!B19,INDIRECT("'"&amp;D4&amp;"'"&amp;"!B:B"))</f>
        <v>22004</v>
      </c>
      <c r="E19" s="2433" t="s">
        <v>2153</v>
      </c>
      <c r="F19" s="2434" t="s">
        <v>2152</v>
      </c>
      <c r="G19" s="145">
        <f ca="1">ROUND(C19*$C$18+D19*$D$18,0)</f>
        <v>19570</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4887</v>
      </c>
      <c r="D20" s="147">
        <f ca="1">SUMIF(INDIRECT("'"&amp;D4&amp;"'"&amp;"!A:A"),结果表!B20,INDIRECT("'"&amp;D4&amp;"'"&amp;"!B:B"))</f>
        <v>6755</v>
      </c>
      <c r="E20" s="2436"/>
      <c r="F20" s="1247" t="s">
        <v>2156</v>
      </c>
      <c r="G20" s="148">
        <f ca="1">ROUND(C20*$C$18+D20*$D$18,0)</f>
        <v>6008</v>
      </c>
      <c r="H20" s="980" t="s">
        <v>2157</v>
      </c>
      <c r="I20" s="138"/>
    </row>
    <row r="21" spans="1:35" ht="15" customHeight="1" thickBot="1">
      <c r="A21" s="1000"/>
      <c r="B21" s="2437" t="s">
        <v>2158</v>
      </c>
      <c r="C21" s="789">
        <f ca="1">ROUND(C19*10000/L19,0)</f>
        <v>13342</v>
      </c>
      <c r="D21" s="790">
        <f ca="1">ROUND(D19*10000/L19,0)</f>
        <v>18441</v>
      </c>
      <c r="E21" s="1000"/>
      <c r="F21" s="2437" t="s">
        <v>2158</v>
      </c>
      <c r="G21" s="149">
        <f ca="1">ROUND(G19*10000/L19,0)</f>
        <v>16401</v>
      </c>
      <c r="H21" s="2438" t="s">
        <v>2157</v>
      </c>
      <c r="I21" s="138"/>
    </row>
    <row r="22" spans="1:35" ht="15" thickBot="1">
      <c r="A22" s="2279" t="s">
        <v>2159</v>
      </c>
      <c r="B22" s="2439"/>
      <c r="C22" s="2440"/>
      <c r="D22" s="791">
        <f ca="1">IF(C19&lt;D19,D19/C19-1,C19/D19-1)</f>
        <v>0.38216080402010055</v>
      </c>
      <c r="E22" s="138"/>
      <c r="F22" s="138"/>
      <c r="G22" s="138"/>
      <c r="H22" s="138"/>
      <c r="I22" s="138"/>
    </row>
    <row r="23" spans="1:35" ht="13.5" thickBot="1">
      <c r="A23" s="2417"/>
      <c r="B23" s="2417"/>
      <c r="C23" s="2417"/>
      <c r="D23" s="2417"/>
      <c r="E23" s="138"/>
      <c r="F23" s="138"/>
      <c r="G23" s="138"/>
      <c r="H23" s="138"/>
      <c r="I23" s="138"/>
    </row>
    <row r="24" spans="1:35" ht="14.25">
      <c r="A24" s="3090" t="s">
        <v>2160</v>
      </c>
      <c r="B24" s="2434" t="s">
        <v>2152</v>
      </c>
      <c r="C24" s="145">
        <f>IF(B30=0,0,D30)</f>
        <v>0</v>
      </c>
      <c r="D24" s="2441"/>
      <c r="E24" s="138"/>
      <c r="F24" s="138"/>
      <c r="G24" s="138"/>
      <c r="H24" s="138"/>
      <c r="I24" s="138"/>
    </row>
    <row r="25" spans="1:35" ht="14.25">
      <c r="A25" s="3091"/>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19570</v>
      </c>
      <c r="D32" s="2448" t="s">
        <v>2167</v>
      </c>
      <c r="E32" s="138"/>
      <c r="F32" s="138"/>
      <c r="G32" s="138"/>
      <c r="H32" s="138"/>
      <c r="I32" s="138"/>
    </row>
    <row r="33" spans="1:15" ht="15">
      <c r="A33" s="957" t="s">
        <v>2168</v>
      </c>
      <c r="B33" s="2449"/>
      <c r="C33" s="2450"/>
      <c r="D33" s="2451"/>
      <c r="E33" s="2452" t="s">
        <v>2169</v>
      </c>
      <c r="F33" s="2453" t="str">
        <f>IF(D32="楼面单价","取值（单价）","取值（总价）")</f>
        <v>取值（总价）</v>
      </c>
      <c r="G33" s="138"/>
      <c r="H33" s="138"/>
      <c r="I33" s="138"/>
    </row>
    <row r="34" spans="1:15" ht="15">
      <c r="A34" s="2454"/>
      <c r="B34" s="2455"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2171</v>
      </c>
      <c r="F34" s="1736"/>
      <c r="G34" s="138"/>
      <c r="H34" s="138"/>
      <c r="I34" s="138"/>
    </row>
    <row r="35" spans="1:15" ht="15.75" thickBot="1">
      <c r="A35" s="2457"/>
      <c r="B35" s="2458"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2173</v>
      </c>
      <c r="F35" s="163"/>
      <c r="G35" s="138"/>
      <c r="H35" s="138"/>
      <c r="I35" s="138"/>
    </row>
    <row r="36" spans="1:15" ht="15.75" thickBot="1">
      <c r="A36" s="3108" t="s">
        <v>2174</v>
      </c>
      <c r="B36" s="2460" t="s">
        <v>2175</v>
      </c>
      <c r="C36" s="154"/>
      <c r="D36" s="2461"/>
      <c r="E36" s="2462"/>
      <c r="F36" s="2463"/>
      <c r="G36" s="138"/>
      <c r="H36" s="138"/>
      <c r="I36" s="138"/>
    </row>
    <row r="37" spans="1:15" ht="15.75" thickBot="1">
      <c r="A37" s="3109"/>
      <c r="B37" s="2265" t="s">
        <v>2176</v>
      </c>
      <c r="C37" s="156"/>
      <c r="D37" s="1392"/>
      <c r="E37" s="1392"/>
      <c r="F37" s="2463"/>
      <c r="G37" s="138"/>
      <c r="H37" s="138"/>
      <c r="I37" s="138"/>
    </row>
    <row r="38" spans="1:15" ht="15.75" thickBot="1">
      <c r="A38" s="3110"/>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087" t="s">
        <v>2188</v>
      </c>
      <c r="B45" s="3088"/>
      <c r="C45" s="3089"/>
      <c r="D45" s="164">
        <f ca="1">ROUND(H101*F45,0)</f>
        <v>19570</v>
      </c>
      <c r="E45" s="165" t="s">
        <v>2189</v>
      </c>
      <c r="F45" s="166">
        <v>1</v>
      </c>
      <c r="G45" s="167" t="s">
        <v>2190</v>
      </c>
      <c r="H45" s="138"/>
      <c r="I45" s="138"/>
      <c r="J45" s="3147" t="s">
        <v>2191</v>
      </c>
      <c r="K45" s="3147"/>
      <c r="L45" s="3147"/>
      <c r="M45" s="3147"/>
      <c r="N45" s="3147"/>
      <c r="O45" s="3147"/>
    </row>
    <row r="46" spans="1:15" ht="14.25" customHeight="1">
      <c r="A46" s="3084" t="s">
        <v>2192</v>
      </c>
      <c r="B46" s="3085"/>
      <c r="C46" s="3085"/>
      <c r="D46" s="3085"/>
      <c r="E46" s="3085"/>
      <c r="F46" s="3085"/>
      <c r="G46" s="3086"/>
      <c r="H46" s="2479"/>
      <c r="I46" s="168"/>
      <c r="J46" s="1809">
        <v>1</v>
      </c>
      <c r="K46" s="3147" t="s">
        <v>2193</v>
      </c>
      <c r="L46" s="3147"/>
      <c r="M46" s="3167"/>
      <c r="N46" s="3167"/>
      <c r="O46" s="3167"/>
    </row>
    <row r="47" spans="1:15" ht="12" customHeight="1">
      <c r="A47" s="169" t="s">
        <v>2194</v>
      </c>
      <c r="B47" s="170"/>
      <c r="C47" s="171"/>
      <c r="D47" s="172" t="s">
        <v>2195</v>
      </c>
      <c r="E47" s="24" t="s">
        <v>2196</v>
      </c>
      <c r="F47" s="173" t="s">
        <v>2197</v>
      </c>
      <c r="G47" s="174" t="s">
        <v>2198</v>
      </c>
      <c r="H47" s="2479"/>
      <c r="I47" s="168"/>
      <c r="J47" s="1809">
        <v>2</v>
      </c>
      <c r="K47" s="3147" t="s">
        <v>2199</v>
      </c>
      <c r="L47" s="3147"/>
      <c r="M47" s="3168">
        <f>'数据-取费表'!B2</f>
        <v>43276</v>
      </c>
      <c r="N47" s="3168"/>
      <c r="O47" s="3168"/>
    </row>
    <row r="48" spans="1:15" ht="25.5">
      <c r="A48" s="3115" t="s">
        <v>2200</v>
      </c>
      <c r="B48" s="3098"/>
      <c r="C48" s="3098"/>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147" t="s">
        <v>2203</v>
      </c>
      <c r="L48" s="3147"/>
      <c r="M48" s="3169">
        <f ca="1">H101</f>
        <v>19570</v>
      </c>
      <c r="N48" s="3169"/>
      <c r="O48" s="3169"/>
    </row>
    <row r="49" spans="1:35" ht="25.5" customHeight="1">
      <c r="A49" s="176" t="s">
        <v>2204</v>
      </c>
      <c r="B49" s="3083" t="s">
        <v>2205</v>
      </c>
      <c r="C49" s="3083"/>
      <c r="D49" s="177">
        <v>0</v>
      </c>
      <c r="E49" s="23" t="s">
        <v>2206</v>
      </c>
      <c r="F49" s="28" t="s">
        <v>34</v>
      </c>
      <c r="G49" s="3153"/>
      <c r="H49" s="138"/>
      <c r="I49" s="2482"/>
      <c r="J49" s="1809">
        <v>4</v>
      </c>
      <c r="K49" s="3147" t="str">
        <f>IF(项目基本情况!E8="房地产抵押价值","房地产抵押价值","抵押担保权已注销时的房地产抵押价值")</f>
        <v>房地产抵押价值</v>
      </c>
      <c r="L49" s="3147"/>
      <c r="M49" s="3169">
        <f ca="1">IF(项目基本情况!E8="房地产抵押价值",H107,H109)</f>
        <v>19570</v>
      </c>
      <c r="N49" s="3169"/>
      <c r="O49" s="3169"/>
    </row>
    <row r="50" spans="1:35" ht="25.5" customHeight="1">
      <c r="A50" s="178"/>
      <c r="B50" s="3083" t="s">
        <v>2207</v>
      </c>
      <c r="C50" s="3083"/>
      <c r="D50" s="179"/>
      <c r="E50" s="31"/>
      <c r="F50" s="180"/>
      <c r="G50" s="3154"/>
      <c r="H50" s="138"/>
      <c r="I50" s="2482"/>
      <c r="J50" s="3147" t="s">
        <v>2208</v>
      </c>
      <c r="K50" s="3147"/>
      <c r="L50" s="3147"/>
      <c r="M50" s="3147"/>
      <c r="N50" s="3147"/>
      <c r="O50" s="3147"/>
    </row>
    <row r="51" spans="1:35" ht="12" customHeight="1">
      <c r="A51" s="181"/>
      <c r="B51" s="3083" t="s">
        <v>2209</v>
      </c>
      <c r="C51" s="3083"/>
      <c r="D51" s="182"/>
      <c r="E51" s="30"/>
      <c r="F51" s="180"/>
      <c r="G51" s="3155"/>
      <c r="H51" s="138"/>
      <c r="I51" s="2482"/>
      <c r="J51" s="2483" t="s">
        <v>2210</v>
      </c>
      <c r="K51" s="3147" t="s">
        <v>2211</v>
      </c>
      <c r="L51" s="3147"/>
      <c r="M51" s="2483" t="s">
        <v>2212</v>
      </c>
      <c r="N51" s="2483" t="s">
        <v>2213</v>
      </c>
      <c r="O51" s="2483" t="s">
        <v>2214</v>
      </c>
    </row>
    <row r="52" spans="1:35" ht="24" customHeight="1">
      <c r="A52" s="183" t="s">
        <v>2215</v>
      </c>
      <c r="B52" s="3083" t="s">
        <v>2216</v>
      </c>
      <c r="C52" s="3083"/>
      <c r="D52" s="182">
        <f ca="1">ROUND(D45*'数据-取费表'!B41/(1+'数据-取费表'!C42),0)</f>
        <v>1044</v>
      </c>
      <c r="E52" s="11" t="s">
        <v>2217</v>
      </c>
      <c r="F52" s="184">
        <f>'数据-取费表'!B41</f>
        <v>5.6000000000000001E-2</v>
      </c>
      <c r="G52" s="2484"/>
      <c r="H52" s="138"/>
      <c r="I52" s="2482"/>
      <c r="J52" s="1809">
        <v>1</v>
      </c>
      <c r="K52" s="3148" t="s">
        <v>2218</v>
      </c>
      <c r="L52" s="3148"/>
      <c r="M52" s="1751">
        <f>D48</f>
        <v>0</v>
      </c>
      <c r="N52" s="1809" t="str">
        <f>E48</f>
        <v>销售额×税（费）率</v>
      </c>
      <c r="O52" s="1752" t="str">
        <f>F48</f>
        <v>免征</v>
      </c>
    </row>
    <row r="53" spans="1:35" ht="12" customHeight="1">
      <c r="A53" s="183" t="s">
        <v>2219</v>
      </c>
      <c r="B53" s="3106" t="s">
        <v>2220</v>
      </c>
      <c r="C53" s="3107"/>
      <c r="D53" s="182">
        <f ca="1">ROUND(D45*'数据-取费表'!B41/(1+'数据-取费表'!C42),0)</f>
        <v>1044</v>
      </c>
      <c r="E53" s="11" t="s">
        <v>2217</v>
      </c>
      <c r="F53" s="184">
        <f>'数据-取费表'!B41</f>
        <v>5.6000000000000001E-2</v>
      </c>
      <c r="G53" s="2484"/>
      <c r="H53" s="138"/>
      <c r="I53" s="2482"/>
      <c r="J53" s="1809">
        <v>2</v>
      </c>
      <c r="K53" s="3148" t="s">
        <v>2221</v>
      </c>
      <c r="L53" s="3148"/>
      <c r="M53" s="1751">
        <f t="shared" ref="M53:O54" ca="1" si="0">D55</f>
        <v>10</v>
      </c>
      <c r="N53" s="1809" t="str">
        <f t="shared" si="0"/>
        <v>销售额×税（费）率</v>
      </c>
      <c r="O53" s="1752">
        <f t="shared" si="0"/>
        <v>5.0000000000000001E-4</v>
      </c>
    </row>
    <row r="54" spans="1:35" ht="12" customHeight="1">
      <c r="A54" s="183" t="s">
        <v>2222</v>
      </c>
      <c r="B54" s="3106" t="s">
        <v>2223</v>
      </c>
      <c r="C54" s="3107"/>
      <c r="D54" s="182">
        <f ca="1">C68</f>
        <v>1044</v>
      </c>
      <c r="E54" s="30" t="s">
        <v>2224</v>
      </c>
      <c r="F54" s="184">
        <f>'数据-取费表'!B41</f>
        <v>5.6000000000000001E-2</v>
      </c>
      <c r="G54" s="2484"/>
      <c r="H54" s="2485"/>
      <c r="I54" s="2482"/>
      <c r="J54" s="1809">
        <v>3</v>
      </c>
      <c r="K54" s="3148" t="s">
        <v>2225</v>
      </c>
      <c r="L54" s="3148"/>
      <c r="M54" s="1751">
        <f t="shared" ca="1" si="0"/>
        <v>11076</v>
      </c>
      <c r="N54" s="1809" t="str">
        <f t="shared" si="0"/>
        <v>增值额×税（费）率</v>
      </c>
      <c r="O54" s="1753" t="str">
        <f t="shared" si="0"/>
        <v>——</v>
      </c>
    </row>
    <row r="55" spans="1:35" ht="24" customHeight="1">
      <c r="A55" s="3097" t="s">
        <v>2226</v>
      </c>
      <c r="B55" s="3098"/>
      <c r="C55" s="3098"/>
      <c r="D55" s="185">
        <f ca="1">IF(H55="个人住宅",0,ROUND(D45*I55,0))</f>
        <v>10</v>
      </c>
      <c r="E55" s="11" t="s">
        <v>2227</v>
      </c>
      <c r="F55" s="184">
        <f>IF(H55="正常",I55,"免征")</f>
        <v>5.0000000000000001E-4</v>
      </c>
      <c r="G55" s="2484"/>
      <c r="H55" s="2481" t="s">
        <v>2228</v>
      </c>
      <c r="I55" s="186">
        <f>'数据-取费表'!B49</f>
        <v>5.0000000000000001E-4</v>
      </c>
      <c r="J55" s="1809" t="str">
        <f>IF(H59="非个人房产","",4)</f>
        <v/>
      </c>
      <c r="K55" s="3148" t="str">
        <f>IF(H59="非个人房产","——","个人所得税")</f>
        <v>——</v>
      </c>
      <c r="L55" s="3148"/>
      <c r="M55" s="1754" t="str">
        <f>D59</f>
        <v>——</v>
      </c>
      <c r="N55" s="1807" t="str">
        <f>E59</f>
        <v>——</v>
      </c>
      <c r="O55" s="1755" t="str">
        <f>F59</f>
        <v>——</v>
      </c>
    </row>
    <row r="56" spans="1:35" ht="24.75">
      <c r="A56" s="3097" t="s">
        <v>2229</v>
      </c>
      <c r="B56" s="3098"/>
      <c r="C56" s="3098"/>
      <c r="D56" s="185">
        <f ca="1">IF(H56="个人住宅",D57,D58)</f>
        <v>11076</v>
      </c>
      <c r="E56" s="11" t="s">
        <v>2230</v>
      </c>
      <c r="F56" s="184" t="str">
        <f>IF(H56="正常",F58,"免征")</f>
        <v>——</v>
      </c>
      <c r="G56" s="2486" t="s">
        <v>2231</v>
      </c>
      <c r="H56" s="2487" t="s">
        <v>2228</v>
      </c>
      <c r="I56" s="2488"/>
      <c r="J56" s="1809"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2.75">
      <c r="A57" s="183" t="s">
        <v>2204</v>
      </c>
      <c r="B57" s="3113" t="s">
        <v>2232</v>
      </c>
      <c r="C57" s="3122"/>
      <c r="D57" s="187">
        <v>0</v>
      </c>
      <c r="E57" s="23" t="s">
        <v>2206</v>
      </c>
      <c r="F57" s="155"/>
      <c r="G57" s="2484"/>
      <c r="H57" s="2488"/>
      <c r="I57" s="2488"/>
      <c r="J57" s="3148">
        <f>IF(AND(J55="",J56=""),4,IF(项目基本情况!K6="上海银行",结果表!J56+1,结果表!J55+1))</f>
        <v>4</v>
      </c>
      <c r="K57" s="3148" t="s">
        <v>2233</v>
      </c>
      <c r="L57" s="2489" t="s">
        <v>2234</v>
      </c>
      <c r="M57" s="1756"/>
      <c r="N57" s="1757">
        <f ca="1">SUMIF(M52:M56,"&lt;9e307")</f>
        <v>11086</v>
      </c>
      <c r="O57" s="2490"/>
      <c r="P57" s="1750">
        <f ca="1">N57/M49</f>
        <v>0.56647930505876343</v>
      </c>
    </row>
    <row r="58" spans="1:35" ht="24.75">
      <c r="A58" s="183" t="s">
        <v>2215</v>
      </c>
      <c r="B58" s="3113" t="s">
        <v>2235</v>
      </c>
      <c r="C58" s="3114"/>
      <c r="D58" s="185">
        <f ca="1">IF(H58="转让取得",C81,C97)</f>
        <v>11076</v>
      </c>
      <c r="E58" s="11" t="s">
        <v>2230</v>
      </c>
      <c r="F58" s="24" t="s">
        <v>34</v>
      </c>
      <c r="G58" s="2484"/>
      <c r="H58" s="2487" t="s">
        <v>2236</v>
      </c>
      <c r="I58" s="2488"/>
      <c r="J58" s="3148"/>
      <c r="K58" s="3148"/>
      <c r="L58" s="2489" t="s">
        <v>2237</v>
      </c>
      <c r="M58" s="1758"/>
      <c r="N58" s="2491" t="str">
        <f ca="1">NUMBERSTRING(INT(N57*10000),2)&amp;"元整"</f>
        <v>壹亿壹仟零捌拾陆万元整</v>
      </c>
      <c r="O58" s="2492"/>
    </row>
    <row r="59" spans="1:35" ht="24.75" thickBot="1">
      <c r="A59" s="3151" t="s">
        <v>2238</v>
      </c>
      <c r="B59" s="3152"/>
      <c r="C59" s="3152"/>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49">
        <f>J57+1</f>
        <v>5</v>
      </c>
      <c r="K59" s="3148" t="s">
        <v>2240</v>
      </c>
      <c r="L59" s="1809" t="s">
        <v>2234</v>
      </c>
      <c r="M59" s="1759"/>
      <c r="N59" s="1760">
        <f ca="1">M49-N57</f>
        <v>8484</v>
      </c>
      <c r="O59" s="2494"/>
    </row>
    <row r="60" spans="1:35" ht="12" customHeight="1">
      <c r="A60" s="2495"/>
      <c r="B60" s="2417"/>
      <c r="C60" s="2417"/>
      <c r="D60" s="2417"/>
      <c r="E60" s="2166"/>
      <c r="F60" s="2488"/>
      <c r="G60" s="2488"/>
      <c r="H60" s="2496"/>
      <c r="I60" s="138"/>
      <c r="J60" s="3150"/>
      <c r="K60" s="3148"/>
      <c r="L60" s="2489" t="s">
        <v>2237</v>
      </c>
      <c r="M60" s="1758"/>
      <c r="N60" s="2491" t="str">
        <f ca="1">NUMBERSTRING(INT(N59*10000),2)&amp;"元整"</f>
        <v>捌仟肆佰捌拾肆万元整</v>
      </c>
      <c r="O60" s="2492"/>
    </row>
    <row r="61" spans="1:35" ht="13.5" thickBot="1">
      <c r="A61" s="3095" t="s">
        <v>2241</v>
      </c>
      <c r="B61" s="3095"/>
      <c r="C61" s="3095"/>
      <c r="D61" s="3095"/>
      <c r="E61" s="3095"/>
      <c r="F61" s="2488"/>
      <c r="G61" s="2488"/>
      <c r="H61" s="2496"/>
      <c r="I61" s="138"/>
      <c r="J61" s="1809">
        <f>J59+1</f>
        <v>6</v>
      </c>
      <c r="K61" s="3148" t="s">
        <v>2242</v>
      </c>
      <c r="L61" s="3148"/>
      <c r="M61" s="1761"/>
      <c r="N61" s="1762">
        <f ca="1">ROUND(N59*10000/'数据-汇总表'!E3,0)</f>
        <v>2605</v>
      </c>
      <c r="O61" s="2497"/>
    </row>
    <row r="62" spans="1:35" ht="12.75">
      <c r="A62" s="3111" t="s">
        <v>2243</v>
      </c>
      <c r="B62" s="3112"/>
      <c r="C62" s="1801"/>
      <c r="D62" s="1801" t="s">
        <v>2244</v>
      </c>
      <c r="E62" s="192" t="s">
        <v>2245</v>
      </c>
      <c r="F62" s="2488"/>
      <c r="G62" s="2488"/>
      <c r="H62" s="2496"/>
      <c r="I62" s="138"/>
    </row>
    <row r="63" spans="1:35" ht="12.75">
      <c r="A63" s="203" t="s">
        <v>775</v>
      </c>
      <c r="B63" s="193" t="s">
        <v>2246</v>
      </c>
      <c r="C63" s="194">
        <f ca="1">ROUND((C64+C65)/(1+'数据-取费表'!C42),0)</f>
        <v>18638</v>
      </c>
      <c r="D63" s="195"/>
      <c r="E63" s="196"/>
      <c r="F63" s="2488"/>
      <c r="G63" s="2488"/>
      <c r="H63" s="2496"/>
      <c r="I63" s="138"/>
      <c r="J63" s="3173" t="s">
        <v>2247</v>
      </c>
      <c r="K63" s="2498" t="s">
        <v>2248</v>
      </c>
      <c r="L63" s="1749">
        <f ca="1">IF(M49&gt;10000,M49*0.5%,IF(AND(M49&gt;1000,M49&lt;=10000),M49*1%,IF(AND(M49&gt;100,M49&lt;=1000),M49*3%,IF(AND(M49&gt;10,M49&lt;=100),M49*5%,M49*8%))))</f>
        <v>97.850000000000009</v>
      </c>
      <c r="M63" s="24">
        <f ca="1">ROUND(L63,1)</f>
        <v>97.9</v>
      </c>
      <c r="Z63" s="2422"/>
      <c r="AI63" s="2423"/>
    </row>
    <row r="64" spans="1:35" ht="14.25" customHeight="1">
      <c r="A64" s="197" t="s">
        <v>770</v>
      </c>
      <c r="B64" s="198" t="s">
        <v>2249</v>
      </c>
      <c r="C64" s="199">
        <f ca="1">D45</f>
        <v>19570</v>
      </c>
      <c r="D64" s="200" t="s">
        <v>32</v>
      </c>
      <c r="E64" s="201"/>
      <c r="F64" s="2488"/>
      <c r="G64" s="2488"/>
      <c r="H64" s="2496"/>
      <c r="I64" s="138"/>
      <c r="J64" s="3173"/>
      <c r="K64" s="2498" t="s">
        <v>2250</v>
      </c>
      <c r="L64" s="1749">
        <f ca="1">IF(M49&gt;2000,M49*0.5%,IF(AND(M49&gt;1000,M49&lt;=2000),M49*0.6%,IF(AND(M49&gt;500,M49&lt;=1000),M49*0.7%,IF(AND(M49&gt;200,M49&lt;=500),M49*0.8%,IF(AND(M49&gt;100,M49&lt;=200),M49*0.9%,IF(AND(M49&gt;50,M49&lt;=100),M49*1%,IF(AND(M49&gt;20,M49&lt;=50),M49*1.5%,IF(AND(M49&gt;10,M49&lt;=20),M49*2%,IF(AND(M49&gt;1,M49&lt;=10),M49*2.5%)))))))))</f>
        <v>97.850000000000009</v>
      </c>
      <c r="M64" s="24">
        <f t="shared" ref="M64:M65" ca="1" si="1">ROUND(L64,1)</f>
        <v>97.9</v>
      </c>
      <c r="N64" s="138" t="s">
        <v>2251</v>
      </c>
      <c r="Z64" s="2422"/>
      <c r="AI64" s="2423"/>
    </row>
    <row r="65" spans="1:35" ht="14.25" customHeight="1">
      <c r="A65" s="197" t="s">
        <v>771</v>
      </c>
      <c r="B65" s="198" t="s">
        <v>2252</v>
      </c>
      <c r="C65" s="202"/>
      <c r="D65" s="200"/>
      <c r="E65" s="201"/>
      <c r="F65" s="2488"/>
      <c r="G65" s="2488"/>
      <c r="H65" s="2496"/>
      <c r="I65" s="138"/>
      <c r="J65" s="3173"/>
      <c r="K65" s="2498" t="s">
        <v>2253</v>
      </c>
      <c r="L65" s="1749">
        <f ca="1">IF(M49&gt;1000,M49*0.1%,IF(AND(M49&gt;500,M49&lt;=1000),M49*0.5%,IF(AND(M49&gt;50,M49&lt;=500),M49*1%,IF(AND(M49&gt;1,M49&lt;=50),M49*1.5%))))</f>
        <v>19.57</v>
      </c>
      <c r="M65" s="24">
        <f t="shared" ca="1" si="1"/>
        <v>19.600000000000001</v>
      </c>
      <c r="N65" s="138" t="s">
        <v>2251</v>
      </c>
      <c r="Z65" s="2422"/>
      <c r="AI65" s="2423"/>
    </row>
    <row r="66" spans="1:35" ht="14.25" customHeight="1">
      <c r="A66" s="203" t="s">
        <v>772</v>
      </c>
      <c r="B66" s="204" t="s">
        <v>2254</v>
      </c>
      <c r="C66" s="205"/>
      <c r="D66" s="206" t="s">
        <v>32</v>
      </c>
      <c r="E66" s="1773" t="s">
        <v>1371</v>
      </c>
      <c r="F66" s="2488"/>
      <c r="G66" s="2488"/>
      <c r="H66" s="2496"/>
      <c r="I66" s="138"/>
      <c r="J66" s="3173"/>
      <c r="K66" s="2498" t="s">
        <v>2255</v>
      </c>
      <c r="L66" s="1749">
        <f ca="1">M49*0.5%</f>
        <v>97.850000000000009</v>
      </c>
      <c r="M66" s="24">
        <f ca="1">IF(L66&gt;0.5,0.5,ROUND(L66,0))</f>
        <v>0.5</v>
      </c>
      <c r="N66" s="138" t="s">
        <v>2256</v>
      </c>
      <c r="Z66" s="2422"/>
      <c r="AI66" s="2423"/>
    </row>
    <row r="67" spans="1:35" ht="14.25" customHeight="1">
      <c r="A67" s="203" t="s">
        <v>773</v>
      </c>
      <c r="B67" s="204" t="s">
        <v>2257</v>
      </c>
      <c r="C67" s="207">
        <f ca="1">C63-C66</f>
        <v>18638</v>
      </c>
      <c r="D67" s="200" t="s">
        <v>32</v>
      </c>
      <c r="E67" s="201"/>
      <c r="F67" s="2488"/>
      <c r="G67" s="2488"/>
      <c r="H67" s="2496"/>
      <c r="I67" s="138"/>
      <c r="J67" s="3173"/>
      <c r="K67" s="2498" t="s">
        <v>2258</v>
      </c>
      <c r="L67" s="1749">
        <f ca="1">IF(M49&gt;=10000,(8.25+(M49-10000)*0.01%),IF(AND(M49&gt;=8000,M49&lt;10000),(7.85+(M49-8000)*0.02%),IF(AND(M49&gt;=5000,M49&lt;8000),(6.65+(M49-5000)*0.04%),IF(AND(M49&gt;=2000,M49&lt;5000),(4.25+(PM49-2000)*0.08%),IF(AND(M49&gt;=1000,M49&lt;2000),(2.75+(M49-1000)*0.15%),IF(AND(M49&gt;=100,M49&lt;1000),(0.5+(M49-100)*0.25%),IF(AND(M49&gt;0,M49&lt;100),M49*0.5%)))))))</f>
        <v>9.2070000000000007</v>
      </c>
      <c r="M67" s="24">
        <f ca="1">ROUND(L67*0.9,1)</f>
        <v>8.3000000000000007</v>
      </c>
      <c r="Z67" s="2422"/>
      <c r="AI67" s="2423"/>
    </row>
    <row r="68" spans="1:35" ht="14.25" customHeight="1" thickBot="1">
      <c r="A68" s="208" t="s">
        <v>774</v>
      </c>
      <c r="B68" s="209" t="s">
        <v>2259</v>
      </c>
      <c r="C68" s="210">
        <f ca="1">IF(C67&lt;=0,0,ROUND(C67*D68,0))</f>
        <v>1044</v>
      </c>
      <c r="D68" s="211">
        <f>'数据-取费表'!B41</f>
        <v>5.6000000000000001E-2</v>
      </c>
      <c r="E68" s="212"/>
      <c r="F68" s="2488"/>
      <c r="G68" s="2488"/>
      <c r="H68" s="2496"/>
      <c r="I68" s="138"/>
      <c r="J68" s="3173"/>
      <c r="K68" s="2498" t="s">
        <v>2260</v>
      </c>
      <c r="L68" s="1749">
        <f ca="1">IF(M49&gt;10000,M49*0.5%,IF(AND(M49&gt;5000,M49&lt;=10000),M49*1%,IF(AND(M49&gt;1000,M49&lt;=5000),M49*2%,IF(AND(M49&gt;200,M49&lt;=1000),M49*3%,M49*5%))))</f>
        <v>97.850000000000009</v>
      </c>
      <c r="M68" s="24">
        <f ca="1">ROUND(L68,1)</f>
        <v>97.9</v>
      </c>
      <c r="Z68" s="2422"/>
      <c r="AI68" s="2423"/>
    </row>
    <row r="69" spans="1:35" s="2445" customFormat="1" ht="16.5" customHeight="1">
      <c r="A69" s="2499"/>
      <c r="B69" s="2500"/>
      <c r="C69" s="2501"/>
      <c r="D69" s="2502"/>
      <c r="E69" s="2503"/>
      <c r="F69" s="2166"/>
      <c r="G69" s="2166"/>
      <c r="H69" s="2165"/>
      <c r="I69" s="2417"/>
      <c r="J69" s="3173"/>
      <c r="K69" s="2498" t="s">
        <v>2261</v>
      </c>
      <c r="L69" s="2504"/>
      <c r="M69" s="24">
        <f ca="1">ROUND(SUM(M63:M68),0)</f>
        <v>322</v>
      </c>
      <c r="N69" s="1750">
        <f ca="1">M69/M49</f>
        <v>1.6453755748594787E-2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2262</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1" t="s">
        <v>2243</v>
      </c>
      <c r="B71" s="3112"/>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18638</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112</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06" t="s">
        <v>2271</v>
      </c>
      <c r="F76" s="3083"/>
      <c r="G76" s="3083"/>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112</v>
      </c>
      <c r="D78" s="226">
        <f>'数据-取费表'!B43</f>
        <v>6.000000000000001E-3</v>
      </c>
      <c r="E78" s="3092" t="s">
        <v>2276</v>
      </c>
      <c r="F78" s="3093"/>
      <c r="G78" s="3093"/>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18526</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165.41071428571428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11076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2280</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1" t="s">
        <v>2243</v>
      </c>
      <c r="B84" s="3112"/>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18638</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112</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092" t="s">
        <v>2289</v>
      </c>
      <c r="F91" s="3093"/>
      <c r="G91" s="3093"/>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092" t="s">
        <v>2293</v>
      </c>
      <c r="F92" s="3093"/>
      <c r="G92" s="3093"/>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112</v>
      </c>
      <c r="D93" s="226">
        <f>'数据-取费表'!B43</f>
        <v>6.000000000000001E-3</v>
      </c>
      <c r="E93" s="3092" t="s">
        <v>2276</v>
      </c>
      <c r="F93" s="3093"/>
      <c r="G93" s="3093"/>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03" t="s">
        <v>2297</v>
      </c>
      <c r="F94" s="3104"/>
      <c r="G94" s="3104"/>
      <c r="H94" s="310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18526</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165.41071428571428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11076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094"/>
      <c r="E100" s="3078" t="s">
        <v>2300</v>
      </c>
      <c r="F100" s="3078"/>
      <c r="G100" s="3078"/>
      <c r="H100" s="3094"/>
      <c r="I100" s="138"/>
    </row>
    <row r="101" spans="1:35" ht="18.75" customHeight="1">
      <c r="A101" s="3156" t="s">
        <v>2301</v>
      </c>
      <c r="B101" s="3157"/>
      <c r="C101" s="736" t="str">
        <f>C4</f>
        <v>成本法</v>
      </c>
      <c r="D101" s="737" t="str">
        <f>D4</f>
        <v>假设开发法</v>
      </c>
      <c r="E101" s="3170" t="s">
        <v>2302</v>
      </c>
      <c r="F101" s="3124"/>
      <c r="G101" s="2519" t="s">
        <v>2303</v>
      </c>
      <c r="H101" s="1045">
        <f ca="1">H118</f>
        <v>19570</v>
      </c>
      <c r="I101" s="138"/>
    </row>
    <row r="102" spans="1:35" ht="18.75" customHeight="1">
      <c r="A102" s="3126" t="s">
        <v>2304</v>
      </c>
      <c r="B102" s="2519" t="s">
        <v>2303</v>
      </c>
      <c r="C102" s="736">
        <f ca="1">C19</f>
        <v>15920</v>
      </c>
      <c r="D102" s="737">
        <f ca="1">D19</f>
        <v>22004</v>
      </c>
      <c r="E102" s="3170"/>
      <c r="F102" s="3124"/>
      <c r="G102" s="2519" t="s">
        <v>2305</v>
      </c>
      <c r="H102" s="371">
        <f ca="1">I118</f>
        <v>6008</v>
      </c>
      <c r="I102" s="138"/>
    </row>
    <row r="103" spans="1:35" ht="42.75" customHeight="1">
      <c r="A103" s="3126"/>
      <c r="B103" s="2519" t="s">
        <v>2305</v>
      </c>
      <c r="C103" s="738">
        <f ca="1">C20</f>
        <v>4887</v>
      </c>
      <c r="D103" s="739">
        <f ca="1">D20</f>
        <v>6755</v>
      </c>
      <c r="E103" s="3165" t="s">
        <v>2306</v>
      </c>
      <c r="F103" s="3166"/>
      <c r="G103" s="2520" t="s">
        <v>2307</v>
      </c>
      <c r="H103" s="1045">
        <f>IF(D36="正常操作",H104+H105+H106,H105+H106)</f>
        <v>0</v>
      </c>
      <c r="I103" s="138"/>
    </row>
    <row r="104" spans="1:35" ht="18.75" customHeight="1">
      <c r="A104" s="3126" t="s">
        <v>2308</v>
      </c>
      <c r="B104" s="2521" t="s">
        <v>2303</v>
      </c>
      <c r="C104" s="740">
        <f ca="1">H118</f>
        <v>19570</v>
      </c>
      <c r="D104" s="741"/>
      <c r="E104" s="2265" t="s">
        <v>2309</v>
      </c>
      <c r="F104" s="2257"/>
      <c r="G104" s="2520" t="s">
        <v>2307</v>
      </c>
      <c r="H104" s="1046">
        <f>IF(D36="同一抵押权人同一抵押物续贷",C36&amp;"（未扣减，详见特别提示）",C36)</f>
        <v>0</v>
      </c>
      <c r="I104" s="138"/>
    </row>
    <row r="105" spans="1:35" ht="18.75" customHeight="1" thickBot="1">
      <c r="A105" s="3127"/>
      <c r="B105" s="2522" t="s">
        <v>2305</v>
      </c>
      <c r="C105" s="742">
        <f ca="1">I118</f>
        <v>6008</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3" t="str">
        <f>IF(项目基本情况!E8="已注销","——","3.房地产抵押价值")</f>
        <v>3.房地产抵押价值</v>
      </c>
      <c r="F107" s="3124"/>
      <c r="G107" s="2519" t="s">
        <v>2303</v>
      </c>
      <c r="H107" s="1045">
        <f ca="1">IF(E107="——","——",H101-H103)</f>
        <v>19570</v>
      </c>
      <c r="I107" s="138"/>
    </row>
    <row r="108" spans="1:35" ht="18.75" customHeight="1">
      <c r="A108" s="138"/>
      <c r="B108" s="138"/>
      <c r="C108" s="138"/>
      <c r="D108" s="138"/>
      <c r="E108" s="3123"/>
      <c r="F108" s="3124"/>
      <c r="G108" s="2519" t="s">
        <v>2305</v>
      </c>
      <c r="H108" s="371">
        <f ca="1">ROUND(H107*10000/'数据-汇总表'!E3,0)</f>
        <v>6008</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9" t="s">
        <v>2303</v>
      </c>
      <c r="H109" s="348" t="str">
        <f>IF(E109="——","——",H101-H105-H106)</f>
        <v>——</v>
      </c>
      <c r="I109" s="138"/>
    </row>
    <row r="110" spans="1:35" ht="18.75" customHeight="1">
      <c r="A110" s="138"/>
      <c r="B110" s="138"/>
      <c r="C110" s="138"/>
      <c r="D110" s="138"/>
      <c r="E110" s="3123"/>
      <c r="F110" s="3124"/>
      <c r="G110" s="2519" t="s">
        <v>2305</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9" t="s">
        <v>2303</v>
      </c>
      <c r="H111" s="1045" t="str">
        <f>IF(E111="——","——",N59)</f>
        <v>——</v>
      </c>
      <c r="I111" s="138"/>
    </row>
    <row r="112" spans="1:35" ht="18.75" customHeight="1" thickBot="1">
      <c r="A112" s="138"/>
      <c r="B112" s="138"/>
      <c r="C112" s="138"/>
      <c r="D112" s="138"/>
      <c r="E112" s="3160"/>
      <c r="F112" s="3161"/>
      <c r="G112" s="2524" t="s">
        <v>2305</v>
      </c>
      <c r="H112" s="790" t="str">
        <f>IF(E111="——","——",N61)</f>
        <v>——</v>
      </c>
      <c r="I112" s="138"/>
    </row>
    <row r="113" spans="1:11" ht="18.75" customHeight="1">
      <c r="A113" s="138"/>
      <c r="B113" s="138"/>
      <c r="C113" s="138"/>
      <c r="D113" s="138"/>
      <c r="E113" s="3128" t="s">
        <v>2311</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2313</v>
      </c>
      <c r="B115" s="3142"/>
      <c r="C115" s="3142"/>
      <c r="D115" s="3142"/>
      <c r="E115" s="3142"/>
      <c r="F115" s="3142"/>
      <c r="G115" s="3142"/>
      <c r="H115" s="3142"/>
      <c r="I115" s="3143"/>
    </row>
    <row r="116" spans="1:11" ht="27" customHeight="1">
      <c r="A116" s="3034" t="s">
        <v>2314</v>
      </c>
      <c r="B116" s="3129" t="s">
        <v>2315</v>
      </c>
      <c r="C116" s="3129" t="s">
        <v>2316</v>
      </c>
      <c r="D116" s="3145" t="s">
        <v>2317</v>
      </c>
      <c r="E116" s="3146"/>
      <c r="F116" s="3137" t="s">
        <v>2318</v>
      </c>
      <c r="G116" s="3137"/>
      <c r="H116" s="3034" t="s">
        <v>2319</v>
      </c>
      <c r="I116" s="3034"/>
    </row>
    <row r="117" spans="1:11" ht="18.75" customHeight="1">
      <c r="A117" s="3034"/>
      <c r="B117" s="3130"/>
      <c r="C117" s="313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32573.120000000003</v>
      </c>
      <c r="C118" s="1795">
        <f>M19</f>
        <v>11931.94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19570</v>
      </c>
      <c r="I118" s="1795">
        <f ca="1">ROUND(IF(D32="楼面单价",C32,H118*10000/B118),0)</f>
        <v>6008</v>
      </c>
    </row>
    <row r="119" spans="1:11" ht="18.75" customHeight="1">
      <c r="A119" s="3034" t="s">
        <v>2323</v>
      </c>
      <c r="B119" s="3034"/>
      <c r="C119" s="3034"/>
      <c r="D119" s="3134" t="e">
        <f ca="1">NUMBERSTRING(INT(D118*10000),2)&amp;"元整"</f>
        <v>#REF!</v>
      </c>
      <c r="E119" s="3136"/>
      <c r="F119" s="3134" t="e">
        <f ca="1">NUMBERSTRING(INT(F118*10000),2)&amp;"元整"</f>
        <v>#REF!</v>
      </c>
      <c r="G119" s="3136"/>
      <c r="H119" s="3134" t="str">
        <f ca="1">NUMBERSTRING(INT(H118*10000),2)&amp;"元整"</f>
        <v>壹亿玖仟伍佰柒拾万元整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2" t="str">
        <f>IF(D120=0,"故，本次评估不存在"&amp;A120,"故，本次评估"&amp;A120&amp;"为人民币"&amp;D120&amp;"万元整。")</f>
        <v>故，本次评估不存在估价师知悉的法定优先受偿款</v>
      </c>
    </row>
    <row r="121" spans="1:11" ht="18.75" customHeight="1">
      <c r="A121" s="3138" t="s">
        <v>2323</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19570</v>
      </c>
      <c r="E122" s="3163"/>
      <c r="F122" s="3163"/>
      <c r="G122" s="3163"/>
      <c r="H122" s="3163"/>
      <c r="I122" s="3164"/>
    </row>
    <row r="123" spans="1:11" ht="18.75" customHeight="1">
      <c r="A123" s="3034" t="s">
        <v>2323</v>
      </c>
      <c r="B123" s="3034"/>
      <c r="C123" s="3034"/>
      <c r="D123" s="3134" t="str">
        <f ca="1">NUMBERSTRING(INT(D122*10000),2)&amp;"元整"</f>
        <v>壹亿玖仟伍佰柒拾万元整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2323</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2323</v>
      </c>
      <c r="B127" s="3034"/>
      <c r="C127" s="3034"/>
      <c r="D127" s="3134" t="e">
        <f>NUMBERSTRING(INT(D126*10000),2)&amp;"元整"</f>
        <v>#VALUE!</v>
      </c>
      <c r="E127" s="3135"/>
      <c r="F127" s="3135"/>
      <c r="G127" s="3135"/>
      <c r="H127" s="3135"/>
      <c r="I127" s="3136"/>
    </row>
    <row r="128" spans="1:11" ht="21.75" customHeight="1">
      <c r="A128" s="3144" t="s">
        <v>2324</v>
      </c>
      <c r="B128" s="3144"/>
      <c r="C128" s="3144"/>
      <c r="D128" s="3144"/>
      <c r="E128" s="3144"/>
      <c r="F128" s="3144"/>
      <c r="G128" s="3144"/>
      <c r="H128" s="3144"/>
      <c r="I128" s="314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9" sqref="B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15920</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4887</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6571</v>
      </c>
      <c r="D5" s="255" t="s">
        <v>2340</v>
      </c>
      <c r="E5" s="256" t="s">
        <v>2341</v>
      </c>
      <c r="F5" s="256" t="s">
        <v>2342</v>
      </c>
      <c r="G5" s="257"/>
    </row>
    <row r="6" spans="1:9" s="258" customFormat="1" ht="13.5" customHeight="1">
      <c r="A6" s="949" t="s">
        <v>2343</v>
      </c>
      <c r="B6" s="259" t="s">
        <v>2344</v>
      </c>
      <c r="C6" s="2986">
        <f ca="1">基准地价修正!B2</f>
        <v>5745</v>
      </c>
      <c r="D6" s="261"/>
      <c r="E6" s="262"/>
      <c r="F6" s="262"/>
      <c r="G6" s="263"/>
    </row>
    <row r="7" spans="1:9" s="258" customFormat="1" ht="13.5" customHeight="1">
      <c r="A7" s="949" t="s">
        <v>2345</v>
      </c>
      <c r="B7" s="259" t="s">
        <v>2346</v>
      </c>
      <c r="C7" s="264">
        <f ca="1">ROUND(C6*F7,0)</f>
        <v>175</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7" t="s">
        <v>3328</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32573.120000000003</v>
      </c>
      <c r="E19" s="255">
        <f>'数据-取费表'!B31</f>
        <v>170</v>
      </c>
      <c r="F19" s="275"/>
      <c r="G19" s="2551" t="s">
        <v>3137</v>
      </c>
    </row>
    <row r="20" spans="1:7" s="258" customFormat="1" ht="13.5" customHeight="1">
      <c r="A20" s="299" t="s">
        <v>2364</v>
      </c>
      <c r="B20" s="254" t="s">
        <v>2365</v>
      </c>
      <c r="C20" s="276">
        <f ca="1">ROUND((C5+C19)*F20,0)</f>
        <v>131</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479</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474</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5</v>
      </c>
      <c r="D25" s="282"/>
      <c r="E25" s="285"/>
      <c r="F25" s="283"/>
      <c r="G25" s="286" t="s">
        <v>2381</v>
      </c>
    </row>
    <row r="26" spans="1:7" s="258" customFormat="1">
      <c r="A26" s="951"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905</v>
      </c>
      <c r="D27" s="279">
        <f ca="1">C29</f>
        <v>2.7000000000000001E-3</v>
      </c>
      <c r="E27" s="280" t="s">
        <v>2385</v>
      </c>
      <c r="F27" s="290">
        <f ca="1">IF(B1="",'数据-取费表'!Q16,INDIRECT("'数据-取费表'!q"&amp;$G$1))</f>
        <v>0.18</v>
      </c>
      <c r="G27" s="291" t="s">
        <v>2386</v>
      </c>
    </row>
    <row r="28" spans="1:7" s="258" customFormat="1" ht="13.5" customHeight="1">
      <c r="A28" s="951" t="s">
        <v>791</v>
      </c>
      <c r="B28" s="292" t="s">
        <v>2387</v>
      </c>
      <c r="C28" s="293">
        <f ca="1">ROUND((C5+C19+C20)*F27*'数据-取费表'!B21/'数据-取费表'!B20,0)</f>
        <v>905</v>
      </c>
      <c r="D28" s="279"/>
      <c r="E28" s="280"/>
      <c r="F28" s="290"/>
      <c r="G28" s="291"/>
    </row>
    <row r="29" spans="1:7" s="258" customFormat="1" ht="13.5" customHeight="1">
      <c r="A29" s="951" t="s">
        <v>792</v>
      </c>
      <c r="B29" s="292" t="s">
        <v>2388</v>
      </c>
      <c r="C29" s="282">
        <f ca="1">ROUND(C21*F27*'数据-取费表'!B21/'数据-取费表'!B20,4)</f>
        <v>2.7000000000000001E-3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8758</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5328</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4756</v>
      </c>
      <c r="D34" s="261"/>
      <c r="E34" s="264"/>
      <c r="F34" s="301">
        <f ca="1">IF('数据-取费表'!B24=0,1,IF(B1="",'数据-取费表'!N16,INDIRECT("'数据-取费表'!n"&amp;$G$1)))</f>
        <v>0.55000000000000004</v>
      </c>
      <c r="G34" s="263" t="s">
        <v>2397</v>
      </c>
    </row>
    <row r="35" spans="1:7" ht="13.5" customHeight="1">
      <c r="A35" s="951" t="s">
        <v>796</v>
      </c>
      <c r="B35" s="259" t="s">
        <v>2398</v>
      </c>
      <c r="C35" s="264">
        <f ca="1">ROUND(C34*F35,0)</f>
        <v>143</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358</v>
      </c>
      <c r="D37" s="261">
        <f ca="1">D19</f>
        <v>32573.120000000003</v>
      </c>
      <c r="E37" s="293">
        <f>'数据-取费表'!B35</f>
        <v>200</v>
      </c>
      <c r="F37" s="303"/>
      <c r="G37" s="305" t="s">
        <v>2403</v>
      </c>
    </row>
    <row r="38" spans="1:7" ht="13.5" customHeight="1">
      <c r="A38" s="951" t="s">
        <v>799</v>
      </c>
      <c r="B38" s="259" t="s">
        <v>2404</v>
      </c>
      <c r="C38" s="264">
        <f ca="1">ROUND(C34*F38,0)</f>
        <v>71</v>
      </c>
      <c r="D38" s="264"/>
      <c r="E38" s="264"/>
      <c r="F38" s="303">
        <f>'数据-取费表'!B36</f>
        <v>1.4999999999999999E-2</v>
      </c>
      <c r="G38" s="263" t="s">
        <v>2399</v>
      </c>
    </row>
    <row r="39" spans="1:7" s="258" customFormat="1" ht="13.5" customHeight="1">
      <c r="A39" s="299" t="s">
        <v>2405</v>
      </c>
      <c r="B39" s="254" t="s">
        <v>2406</v>
      </c>
      <c r="C39" s="276">
        <f ca="1">ROUND(C33*F20,0)</f>
        <v>107</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193</v>
      </c>
      <c r="D41" s="279">
        <f ca="1">C44</f>
        <v>6.9999999999999999E-4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189</v>
      </c>
      <c r="D42" s="282"/>
      <c r="E42" s="282"/>
      <c r="F42" s="283"/>
      <c r="G42" s="3176" t="s">
        <v>2415</v>
      </c>
    </row>
    <row r="43" spans="1:7" ht="13.5" customHeight="1">
      <c r="A43" s="951" t="s">
        <v>792</v>
      </c>
      <c r="B43" s="259" t="s">
        <v>2416</v>
      </c>
      <c r="C43" s="282">
        <f ca="1">ROUND(IF('数据-取费表'!B22&lt;=1,C39*F22*'数据-取费表'!B21/2,C39*(POWER((1+F22),'数据-取费表'!B21/2)-1)),0)</f>
        <v>4</v>
      </c>
      <c r="D43" s="282"/>
      <c r="E43" s="282"/>
      <c r="F43" s="283"/>
      <c r="G43" s="3177"/>
    </row>
    <row r="44" spans="1:7" ht="13.5" customHeight="1">
      <c r="A44" s="951" t="s">
        <v>793</v>
      </c>
      <c r="B44" s="259" t="s">
        <v>2417</v>
      </c>
      <c r="C44" s="282">
        <f ca="1">ROUND(IF('数据-取费表'!B22&lt;=1,C40*F22*'数据-取费表'!B21/2,C40*(POWER((1+F22),'数据-取费表'!B21/2)-1)),4)</f>
        <v>6.9999999999999999E-4</v>
      </c>
      <c r="D44" s="282"/>
      <c r="E44" s="282"/>
      <c r="F44" s="283"/>
      <c r="G44" s="3178"/>
    </row>
    <row r="45" spans="1:7" s="258" customFormat="1" ht="13.5" customHeight="1">
      <c r="A45" s="299" t="s">
        <v>2418</v>
      </c>
      <c r="B45" s="288" t="s">
        <v>2384</v>
      </c>
      <c r="C45" s="289">
        <f ca="1">C46</f>
        <v>978</v>
      </c>
      <c r="D45" s="279">
        <f ca="1">C47</f>
        <v>3.5999999999999999E-3</v>
      </c>
      <c r="E45" s="280" t="s">
        <v>2410</v>
      </c>
      <c r="F45" s="290"/>
      <c r="G45" s="291" t="s">
        <v>2419</v>
      </c>
    </row>
    <row r="46" spans="1:7" s="258" customFormat="1" ht="13.5" customHeight="1">
      <c r="A46" s="951" t="s">
        <v>791</v>
      </c>
      <c r="B46" s="292" t="s">
        <v>2420</v>
      </c>
      <c r="C46" s="293">
        <f ca="1">ROUND((C33+C39)*F27,0)</f>
        <v>978</v>
      </c>
      <c r="D46" s="307"/>
      <c r="E46" s="280"/>
      <c r="F46" s="290"/>
      <c r="G46" s="291"/>
    </row>
    <row r="47" spans="1:7" s="258" customFormat="1" ht="13.5" customHeight="1">
      <c r="A47" s="951" t="s">
        <v>792</v>
      </c>
      <c r="B47" s="292" t="s">
        <v>2421</v>
      </c>
      <c r="C47" s="282">
        <f ca="1">ROUND(C40*F27,4)</f>
        <v>3.5999999999999999E-3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7162</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7162</v>
      </c>
      <c r="D51" s="276"/>
      <c r="E51" s="276"/>
      <c r="F51" s="308"/>
      <c r="G51" s="278" t="s">
        <v>2431</v>
      </c>
    </row>
    <row r="52" spans="1:7" s="252" customFormat="1" ht="16.5" thickBot="1">
      <c r="A52" s="309" t="s">
        <v>2432</v>
      </c>
      <c r="B52" s="310"/>
      <c r="C52" s="311">
        <f ca="1">C31+C51</f>
        <v>15920</v>
      </c>
      <c r="D52" s="310"/>
      <c r="E52" s="310"/>
      <c r="F52" s="310"/>
      <c r="G52" s="312"/>
    </row>
    <row r="55" spans="1:7" ht="15">
      <c r="B55" s="314" t="s">
        <v>2433</v>
      </c>
      <c r="C55" s="315"/>
    </row>
    <row r="56" spans="1:7">
      <c r="B56" s="317" t="s">
        <v>1513</v>
      </c>
      <c r="C56" s="319">
        <f ca="1">1-C57</f>
        <v>0.55000000000000004</v>
      </c>
    </row>
    <row r="57" spans="1:7">
      <c r="B57" s="317" t="s">
        <v>1514</v>
      </c>
      <c r="C57" s="318">
        <f ca="1">ROUND(C51/C52,3)</f>
        <v>0.45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14856</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4561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6514624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6514624</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6514624</v>
      </c>
      <c r="D10" s="1032">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5537430</v>
      </c>
      <c r="D19" s="1036">
        <f ca="1">D9+D10</f>
        <v>32573.120000000003</v>
      </c>
      <c r="E19" s="255">
        <f>'数据-取费表'!B31</f>
        <v>170</v>
      </c>
      <c r="F19" s="275"/>
      <c r="G19" s="2551"/>
    </row>
    <row r="20" spans="1:7" s="258" customFormat="1" ht="13.5" customHeight="1">
      <c r="A20" s="299" t="s">
        <v>2445</v>
      </c>
      <c r="B20" s="254" t="s">
        <v>2446</v>
      </c>
      <c r="C20" s="276">
        <f ca="1">ROUND((C5+C19)*F20,0)</f>
        <v>241041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1183587</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633588</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538550</v>
      </c>
      <c r="D24" s="282"/>
      <c r="E24" s="282"/>
      <c r="F24" s="283"/>
      <c r="G24" s="284" t="s">
        <v>2457</v>
      </c>
    </row>
    <row r="25" spans="1:7" s="258" customFormat="1" ht="24">
      <c r="A25" s="951" t="s">
        <v>2347</v>
      </c>
      <c r="B25" s="259" t="s">
        <v>2458</v>
      </c>
      <c r="C25" s="1381">
        <f ca="1">ROUND(IF('数据-取费表'!B22&lt;=1,C20*F22*'数据-取费表'!B22/2,C20*(POWER((1+F22),'数据-取费表'!B22/2)-1)),0)</f>
        <v>11449</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2212757</v>
      </c>
      <c r="D27" s="279">
        <f ca="1">C29</f>
        <v>3.5999999999999999E-3</v>
      </c>
      <c r="E27" s="280" t="s">
        <v>2385</v>
      </c>
      <c r="F27" s="290">
        <f ca="1">IF(B1="",'数据-取费表'!Q16,INDIRECT("'数据-取费表'!q"&amp;$G$1))</f>
        <v>0.18</v>
      </c>
      <c r="G27" s="291" t="s">
        <v>2386</v>
      </c>
    </row>
    <row r="28" spans="1:7" s="258" customFormat="1" ht="13.5" customHeight="1">
      <c r="A28" s="951" t="s">
        <v>791</v>
      </c>
      <c r="B28" s="292" t="s">
        <v>2387</v>
      </c>
      <c r="C28" s="293">
        <f ca="1">ROUND((C5+C19+C20)*F27,0)</f>
        <v>2212757</v>
      </c>
      <c r="D28" s="279"/>
      <c r="E28" s="280"/>
      <c r="F28" s="290"/>
      <c r="G28" s="291"/>
    </row>
    <row r="29" spans="1:7" s="258" customFormat="1" ht="13.5" customHeight="1">
      <c r="A29" s="951" t="s">
        <v>792</v>
      </c>
      <c r="B29" s="292" t="s">
        <v>2388</v>
      </c>
      <c r="C29" s="282">
        <f ca="1">ROUND(C21*F27,4)</f>
        <v>3.5999999999999999E-3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17014900</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96881647</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86475620</v>
      </c>
      <c r="D34" s="261"/>
      <c r="E34" s="264"/>
      <c r="F34" s="301"/>
      <c r="G34" s="263"/>
    </row>
    <row r="35" spans="1:7" ht="13.5" customHeight="1">
      <c r="A35" s="951" t="s">
        <v>796</v>
      </c>
      <c r="B35" s="259" t="s">
        <v>2398</v>
      </c>
      <c r="C35" s="264">
        <f ca="1">ROUND(C34*F35,0)</f>
        <v>2594269</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6514624</v>
      </c>
      <c r="D37" s="261">
        <f ca="1">D19</f>
        <v>32573.120000000003</v>
      </c>
      <c r="E37" s="293">
        <f>'数据-取费表'!B35</f>
        <v>200</v>
      </c>
      <c r="F37" s="303"/>
      <c r="G37" s="305"/>
    </row>
    <row r="38" spans="1:7" ht="13.5" customHeight="1">
      <c r="A38" s="951" t="s">
        <v>799</v>
      </c>
      <c r="B38" s="259" t="s">
        <v>2404</v>
      </c>
      <c r="C38" s="264">
        <f ca="1">ROUND(C34*F38,0)</f>
        <v>1297134</v>
      </c>
      <c r="D38" s="264"/>
      <c r="E38" s="264"/>
      <c r="F38" s="303">
        <f>'数据-取费表'!B36</f>
        <v>1.4999999999999999E-2</v>
      </c>
      <c r="G38" s="263" t="s">
        <v>2399</v>
      </c>
    </row>
    <row r="39" spans="1:7" s="258" customFormat="1" ht="13.5" customHeight="1">
      <c r="A39" s="299" t="s">
        <v>2405</v>
      </c>
      <c r="B39" s="254" t="s">
        <v>2406</v>
      </c>
      <c r="C39" s="276">
        <f ca="1">ROUND(C33*F20,0)</f>
        <v>1937633</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4693916</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4601878</v>
      </c>
      <c r="D42" s="282"/>
      <c r="E42" s="282"/>
      <c r="F42" s="283"/>
      <c r="G42" s="3176" t="s">
        <v>2462</v>
      </c>
    </row>
    <row r="43" spans="1:7" ht="13.5" customHeight="1">
      <c r="A43" s="951" t="s">
        <v>792</v>
      </c>
      <c r="B43" s="259" t="s">
        <v>2416</v>
      </c>
      <c r="C43" s="282">
        <f ca="1">ROUND(IF('数据-取费表'!B22&lt;=1,C39*F22*'数据-取费表'!B20/2,C39*(POWER((1+F22),'数据-取费表'!B20/2)-1)),0)</f>
        <v>92038</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17787470</v>
      </c>
      <c r="D45" s="279">
        <f ca="1">C47</f>
        <v>3.5999999999999999E-3</v>
      </c>
      <c r="E45" s="280" t="s">
        <v>2410</v>
      </c>
      <c r="F45" s="290"/>
      <c r="G45" s="291" t="s">
        <v>2419</v>
      </c>
    </row>
    <row r="46" spans="1:7" s="258" customFormat="1" ht="13.5" customHeight="1">
      <c r="A46" s="951" t="s">
        <v>791</v>
      </c>
      <c r="B46" s="292" t="s">
        <v>2420</v>
      </c>
      <c r="C46" s="293">
        <f ca="1">ROUND((C33+C39)*F27,0)</f>
        <v>17787470</v>
      </c>
      <c r="D46" s="307"/>
      <c r="E46" s="280"/>
      <c r="F46" s="290"/>
      <c r="G46" s="291"/>
    </row>
    <row r="47" spans="1:7" s="258" customFormat="1" ht="13.5" customHeight="1">
      <c r="A47" s="951" t="s">
        <v>792</v>
      </c>
      <c r="B47" s="292" t="s">
        <v>2421</v>
      </c>
      <c r="C47" s="282">
        <f ca="1">ROUND(C40*F27,4)</f>
        <v>3.5999999999999999E-3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131548277</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131548277</v>
      </c>
      <c r="D51" s="276"/>
      <c r="E51" s="276"/>
      <c r="F51" s="308"/>
      <c r="G51" s="278" t="s">
        <v>2431</v>
      </c>
    </row>
    <row r="52" spans="1:7" s="252" customFormat="1" ht="16.5" thickBot="1">
      <c r="A52" s="309" t="s">
        <v>2432</v>
      </c>
      <c r="B52" s="310"/>
      <c r="C52" s="311">
        <f ca="1">C31+C51</f>
        <v>148563177</v>
      </c>
      <c r="D52" s="310"/>
      <c r="E52" s="310"/>
      <c r="F52" s="310"/>
      <c r="G52" s="312"/>
    </row>
    <row r="55" spans="1:7" ht="15">
      <c r="B55" s="314" t="s">
        <v>2433</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5" t="s">
        <v>2652</v>
      </c>
      <c r="AC4" s="3204" t="s">
        <v>2653</v>
      </c>
    </row>
    <row r="5" spans="1:29" ht="32.25" customHeight="1">
      <c r="A5" s="404"/>
      <c r="B5" s="405"/>
      <c r="C5" s="3190" t="s">
        <v>2546</v>
      </c>
      <c r="D5" s="3191"/>
      <c r="E5" s="3216" t="s">
        <v>3292</v>
      </c>
      <c r="F5" s="3217"/>
      <c r="G5" s="3194" t="s">
        <v>3288</v>
      </c>
      <c r="H5" s="3191"/>
      <c r="I5" s="3194" t="s">
        <v>3316</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192" t="s">
        <v>2801</v>
      </c>
      <c r="D6" s="3193"/>
      <c r="E6" s="3196" t="s">
        <v>2801</v>
      </c>
      <c r="F6" s="3197"/>
      <c r="G6" s="3192" t="s">
        <v>2801</v>
      </c>
      <c r="H6" s="3193"/>
      <c r="I6" s="3192" t="s">
        <v>2801</v>
      </c>
      <c r="J6" s="3193"/>
      <c r="K6" s="610" t="s">
        <v>2551</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2552</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184" t="s">
        <v>2553</v>
      </c>
      <c r="Q7" s="3195"/>
      <c r="R7" s="770" t="s">
        <v>17</v>
      </c>
      <c r="S7" s="771">
        <f t="shared" ref="S7:S15" si="0">F7</f>
        <v>96</v>
      </c>
      <c r="T7" s="770" t="s">
        <v>17</v>
      </c>
      <c r="U7" s="771">
        <f t="shared" ref="U7:U15" si="1">H7</f>
        <v>94</v>
      </c>
      <c r="V7" s="770" t="s">
        <v>17</v>
      </c>
      <c r="W7" s="771">
        <f t="shared" ref="W7:W15" si="2">J7</f>
        <v>92</v>
      </c>
      <c r="X7" s="772"/>
      <c r="Y7" s="3184" t="s">
        <v>2553</v>
      </c>
      <c r="Z7" s="3185"/>
      <c r="AA7" s="773">
        <f>D7/F7</f>
        <v>1.0416666666666667</v>
      </c>
      <c r="AB7" s="773">
        <f>D7/H7</f>
        <v>1.0638297872340425</v>
      </c>
      <c r="AC7" s="773">
        <f>D7/J7</f>
        <v>1.0869565217391304</v>
      </c>
    </row>
    <row r="8" spans="1:29" s="117" customFormat="1" ht="15.75" thickBot="1">
      <c r="A8" s="408" t="s">
        <v>2554</v>
      </c>
      <c r="B8" s="409"/>
      <c r="C8" s="414" t="s">
        <v>2555</v>
      </c>
      <c r="D8" s="411">
        <v>100</v>
      </c>
      <c r="E8" s="414" t="s">
        <v>3060</v>
      </c>
      <c r="F8" s="413">
        <f>SUMIF(68:68,E8,69:69)-SUMIF(68:68,C8,69:69)+100</f>
        <v>100</v>
      </c>
      <c r="G8" s="414" t="s">
        <v>3060</v>
      </c>
      <c r="H8" s="411">
        <f>SUMIF(68:68,G8,69:69)-SUMIF(68:68,C8,69:69)+100</f>
        <v>100</v>
      </c>
      <c r="I8" s="414" t="s">
        <v>3060</v>
      </c>
      <c r="J8" s="411">
        <f>SUMIF(68:68,I8,69:69)-SUMIF(68:68,C8,69:69)+100</f>
        <v>100</v>
      </c>
      <c r="K8" s="611"/>
      <c r="L8" s="1132"/>
      <c r="M8" s="1133"/>
      <c r="N8" s="1133"/>
      <c r="O8" s="1133"/>
      <c r="P8" s="3184" t="s">
        <v>2556</v>
      </c>
      <c r="Q8" s="3185"/>
      <c r="R8" s="770" t="s">
        <v>17</v>
      </c>
      <c r="S8" s="771">
        <f t="shared" si="0"/>
        <v>100</v>
      </c>
      <c r="T8" s="770" t="s">
        <v>17</v>
      </c>
      <c r="U8" s="771">
        <f t="shared" si="1"/>
        <v>100</v>
      </c>
      <c r="V8" s="770" t="s">
        <v>17</v>
      </c>
      <c r="W8" s="771">
        <f t="shared" si="2"/>
        <v>100</v>
      </c>
      <c r="X8" s="772"/>
      <c r="Y8" s="3184" t="s">
        <v>2556</v>
      </c>
      <c r="Z8" s="3185"/>
      <c r="AA8" s="773">
        <f t="shared" ref="AA8:AA40" si="3">D8/F8</f>
        <v>1</v>
      </c>
      <c r="AB8" s="773">
        <f t="shared" ref="AB8:AB40" si="4">D8/H8</f>
        <v>1</v>
      </c>
      <c r="AC8" s="773">
        <f t="shared" ref="AC8:AC40" si="5">D8/J8</f>
        <v>1</v>
      </c>
    </row>
    <row r="9" spans="1:29" s="117" customFormat="1">
      <c r="A9" s="415" t="s">
        <v>2557</v>
      </c>
      <c r="B9" s="71" t="s">
        <v>2558</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32" t="s">
        <v>3301</v>
      </c>
      <c r="D10" s="136">
        <v>100</v>
      </c>
      <c r="E10" s="432" t="s">
        <v>3301</v>
      </c>
      <c r="F10" s="136">
        <f>ROUND(100/'数据-取费表'!G16,0)</f>
        <v>103</v>
      </c>
      <c r="G10" s="432" t="s">
        <v>3301</v>
      </c>
      <c r="H10" s="136">
        <f>ROUND(100/'数据-取费表'!G16,0)</f>
        <v>103</v>
      </c>
      <c r="I10" s="432" t="s">
        <v>3317</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2974" t="s">
        <v>2562</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5"/>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201" t="s">
        <v>2564</v>
      </c>
      <c r="Q15" s="1810" t="str">
        <f t="shared" si="6"/>
        <v>产业集聚程度</v>
      </c>
      <c r="R15" s="774" t="s">
        <v>17</v>
      </c>
      <c r="S15" s="775">
        <f t="shared" si="0"/>
        <v>100</v>
      </c>
      <c r="T15" s="774" t="s">
        <v>17</v>
      </c>
      <c r="U15" s="775">
        <f t="shared" si="1"/>
        <v>100</v>
      </c>
      <c r="V15" s="774" t="s">
        <v>17</v>
      </c>
      <c r="W15" s="775">
        <f t="shared" si="2"/>
        <v>100</v>
      </c>
      <c r="X15" s="1813"/>
      <c r="Y15" s="3201" t="s">
        <v>2564</v>
      </c>
      <c r="Z15" s="1814" t="str">
        <f t="shared" si="7"/>
        <v>产业集聚程度</v>
      </c>
      <c r="AA15" s="1811">
        <f t="shared" si="3"/>
        <v>1</v>
      </c>
      <c r="AB15" s="1811">
        <f t="shared" si="4"/>
        <v>1</v>
      </c>
      <c r="AC15" s="1811">
        <f t="shared" si="5"/>
        <v>1</v>
      </c>
    </row>
    <row r="16" spans="1:29" ht="15">
      <c r="A16" s="428"/>
      <c r="B16" s="630"/>
      <c r="C16" s="447" t="s">
        <v>3087</v>
      </c>
      <c r="D16" s="448"/>
      <c r="E16" s="2611" t="s">
        <v>3087</v>
      </c>
      <c r="F16" s="448"/>
      <c r="G16" s="2611" t="s">
        <v>3087</v>
      </c>
      <c r="H16" s="450"/>
      <c r="I16" s="2611" t="s">
        <v>3087</v>
      </c>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2713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t="s">
        <v>3087</v>
      </c>
      <c r="D18" s="448"/>
      <c r="E18" s="2605" t="s">
        <v>3087</v>
      </c>
      <c r="F18" s="448"/>
      <c r="G18" s="2605" t="s">
        <v>3087</v>
      </c>
      <c r="H18" s="448"/>
      <c r="I18" s="2604" t="s">
        <v>3087</v>
      </c>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2752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t="s">
        <v>3088</v>
      </c>
      <c r="D20" s="448"/>
      <c r="E20" s="2605" t="s">
        <v>3088</v>
      </c>
      <c r="F20" s="448"/>
      <c r="G20" s="2605" t="s">
        <v>3088</v>
      </c>
      <c r="H20" s="448"/>
      <c r="I20" s="2605" t="s">
        <v>3088</v>
      </c>
      <c r="J20" s="448"/>
      <c r="K20" s="809"/>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2803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t="s">
        <v>3087</v>
      </c>
      <c r="D22" s="448"/>
      <c r="E22" s="2611" t="s">
        <v>3087</v>
      </c>
      <c r="F22" s="448"/>
      <c r="G22" s="2611" t="s">
        <v>3087</v>
      </c>
      <c r="H22" s="448"/>
      <c r="I22" s="447" t="s">
        <v>3087</v>
      </c>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700" t="s">
        <v>3087</v>
      </c>
      <c r="D24" s="448"/>
      <c r="E24" s="2611" t="s">
        <v>3087</v>
      </c>
      <c r="F24" s="448"/>
      <c r="G24" s="2611" t="s">
        <v>3087</v>
      </c>
      <c r="H24" s="448"/>
      <c r="I24" s="447" t="s">
        <v>3087</v>
      </c>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700" t="s">
        <v>3089</v>
      </c>
      <c r="D26" s="448"/>
      <c r="E26" s="2701" t="s">
        <v>3089</v>
      </c>
      <c r="F26" s="448"/>
      <c r="G26" s="2701" t="s">
        <v>3089</v>
      </c>
      <c r="H26" s="448"/>
      <c r="I26" s="2701" t="s">
        <v>3089</v>
      </c>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2660</v>
      </c>
      <c r="C27" s="616" t="s">
        <v>3312</v>
      </c>
      <c r="D27" s="435">
        <v>100</v>
      </c>
      <c r="E27" s="634" t="s">
        <v>3312</v>
      </c>
      <c r="F27" s="435">
        <f>SUMIF(95:95,E27,96:96)-SUMIF(95:95,C27,96:96)+100</f>
        <v>100</v>
      </c>
      <c r="G27" s="634" t="s">
        <v>3312</v>
      </c>
      <c r="H27" s="435">
        <f>SUMIF(95:95,G27,96:96)-SUMIF(95:95,C27,96:96)+100</f>
        <v>100</v>
      </c>
      <c r="I27" s="634" t="s">
        <v>3312</v>
      </c>
      <c r="J27" s="435">
        <f>SUMIF(95:95,I27,96:96)-SUMIF(95:95,C27,96:96)+100</f>
        <v>100</v>
      </c>
      <c r="K27" s="673">
        <v>2</v>
      </c>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t="s">
        <v>3124</v>
      </c>
      <c r="D29" s="448"/>
      <c r="E29" s="2611" t="s">
        <v>3124</v>
      </c>
      <c r="F29" s="448"/>
      <c r="G29" s="2611" t="s">
        <v>3124</v>
      </c>
      <c r="H29" s="448"/>
      <c r="I29" s="2611" t="s">
        <v>3124</v>
      </c>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2754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8" t="s">
        <v>2569</v>
      </c>
      <c r="Q32" s="1810">
        <f t="shared" si="8"/>
        <v>111</v>
      </c>
      <c r="R32" s="774" t="s">
        <v>17</v>
      </c>
      <c r="S32" s="775">
        <f t="shared" si="10"/>
        <v>100</v>
      </c>
      <c r="T32" s="774" t="s">
        <v>17</v>
      </c>
      <c r="U32" s="775">
        <f t="shared" si="11"/>
        <v>100</v>
      </c>
      <c r="V32" s="774" t="s">
        <v>17</v>
      </c>
      <c r="W32" s="775">
        <f t="shared" si="12"/>
        <v>100</v>
      </c>
      <c r="X32" s="1813"/>
      <c r="Y32" s="3203" t="s">
        <v>2569</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2567</v>
      </c>
      <c r="B34" s="2976" t="s">
        <v>2755</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203"/>
      <c r="Q34" s="1810" t="str">
        <f>B34</f>
        <v>宗地面积</v>
      </c>
      <c r="R34" s="774" t="s">
        <v>17</v>
      </c>
      <c r="S34" s="775">
        <f t="shared" si="10"/>
        <v>104</v>
      </c>
      <c r="T34" s="774" t="s">
        <v>17</v>
      </c>
      <c r="U34" s="775">
        <f t="shared" si="11"/>
        <v>104</v>
      </c>
      <c r="V34" s="774" t="s">
        <v>17</v>
      </c>
      <c r="W34" s="775">
        <f t="shared" si="12"/>
        <v>100</v>
      </c>
      <c r="X34" s="1813"/>
      <c r="Y34" s="3203"/>
      <c r="Z34" s="1814" t="str">
        <f t="shared" si="13"/>
        <v>宗地面积</v>
      </c>
      <c r="AA34" s="1811">
        <f t="shared" si="3"/>
        <v>0.96153846153846156</v>
      </c>
      <c r="AB34" s="1811">
        <f t="shared" si="4"/>
        <v>0.96153846153846156</v>
      </c>
      <c r="AC34" s="1811">
        <f t="shared" si="5"/>
        <v>1</v>
      </c>
    </row>
    <row r="35" spans="1:29" ht="15">
      <c r="A35" s="472"/>
      <c r="B35" s="422" t="s">
        <v>2756</v>
      </c>
      <c r="C35" s="2613" t="s">
        <v>3313</v>
      </c>
      <c r="D35" s="435">
        <v>100</v>
      </c>
      <c r="E35" s="2613" t="s">
        <v>3313</v>
      </c>
      <c r="F35" s="435">
        <f>SUMIF(110:110,E35,111:111)-SUMIF(110:110,C35,111:111)+100</f>
        <v>100</v>
      </c>
      <c r="G35" s="2613" t="s">
        <v>3313</v>
      </c>
      <c r="H35" s="435">
        <f>SUMIF(110:110,G35,111:111)-SUMIF(110:110,C35,111:111)+100</f>
        <v>100</v>
      </c>
      <c r="I35" s="2613" t="s">
        <v>3313</v>
      </c>
      <c r="J35" s="435">
        <f>SUMIF(110:110,I35,111:111)-SUMIF(110:110,C35,111:111)+100</f>
        <v>100</v>
      </c>
      <c r="K35" s="612">
        <v>1</v>
      </c>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2758</v>
      </c>
      <c r="C36" s="2985" t="s">
        <v>3089</v>
      </c>
      <c r="D36" s="136">
        <v>100</v>
      </c>
      <c r="E36" s="2702" t="s">
        <v>3106</v>
      </c>
      <c r="F36" s="435">
        <f>SUMIF(112:112,E36,113:113)-SUMIF(112:112,C36,113:113)+100</f>
        <v>99</v>
      </c>
      <c r="G36" s="2702" t="s">
        <v>3299</v>
      </c>
      <c r="H36" s="435">
        <f>SUMIF(112:112,G36,113:113)-SUMIF(112:112,C36,113:113)+100</f>
        <v>97</v>
      </c>
      <c r="I36" s="2702" t="s">
        <v>3299</v>
      </c>
      <c r="J36" s="435">
        <f>SUMIF(112:112,I36,113:113)-SUMIF(112:112,C36,113:113)+100</f>
        <v>97</v>
      </c>
      <c r="K36" s="612">
        <v>1</v>
      </c>
      <c r="L36" s="1132"/>
      <c r="M36" s="1133"/>
      <c r="N36" s="1133"/>
      <c r="O36" s="1134"/>
      <c r="P36" s="3203"/>
      <c r="Q36" s="1810" t="str">
        <f t="shared" si="14"/>
        <v>宗地开发程度</v>
      </c>
      <c r="R36" s="770" t="s">
        <v>17</v>
      </c>
      <c r="S36" s="771">
        <f t="shared" si="10"/>
        <v>99</v>
      </c>
      <c r="T36" s="770" t="s">
        <v>17</v>
      </c>
      <c r="U36" s="771">
        <f t="shared" si="11"/>
        <v>97</v>
      </c>
      <c r="V36" s="770" t="s">
        <v>17</v>
      </c>
      <c r="W36" s="771">
        <f t="shared" si="12"/>
        <v>97</v>
      </c>
      <c r="X36" s="772"/>
      <c r="Y36" s="3203"/>
      <c r="Z36" s="55" t="str">
        <f t="shared" si="13"/>
        <v>宗地开发程度</v>
      </c>
      <c r="AA36" s="773">
        <f t="shared" si="3"/>
        <v>1.0101010101010102</v>
      </c>
      <c r="AB36" s="773">
        <f t="shared" si="4"/>
        <v>1.0309278350515463</v>
      </c>
      <c r="AC36" s="773">
        <f t="shared" si="5"/>
        <v>1.0309278350515463</v>
      </c>
    </row>
    <row r="37" spans="1:29" ht="15">
      <c r="A37" s="472"/>
      <c r="B37" s="422" t="s">
        <v>2759</v>
      </c>
      <c r="C37" s="2613" t="s">
        <v>3088</v>
      </c>
      <c r="D37" s="435">
        <v>100</v>
      </c>
      <c r="E37" s="2613" t="s">
        <v>3088</v>
      </c>
      <c r="F37" s="435">
        <f>SUMIF(114:114,E37,115:115)-SUMIF(114:114,C37,115:115)+100</f>
        <v>100</v>
      </c>
      <c r="G37" s="2613" t="s">
        <v>3088</v>
      </c>
      <c r="H37" s="435">
        <f>SUMIF(114:114,G37,115:115)-SUMIF(114:114,C37,115:115)+100</f>
        <v>100</v>
      </c>
      <c r="I37" s="2613" t="s">
        <v>3088</v>
      </c>
      <c r="J37" s="435">
        <f>SUMIF(114:114,I37,115:115)-SUMIF(114:114,C37,115:115)+100</f>
        <v>100</v>
      </c>
      <c r="K37" s="612">
        <v>1</v>
      </c>
      <c r="L37" s="1140"/>
      <c r="M37" s="1131"/>
      <c r="N37" s="1131"/>
      <c r="O37" s="1139"/>
      <c r="P37" s="3203" t="s">
        <v>2569</v>
      </c>
      <c r="Q37" s="1810" t="str">
        <f t="shared" si="14"/>
        <v>工程地质条件</v>
      </c>
      <c r="R37" s="774" t="s">
        <v>17</v>
      </c>
      <c r="S37" s="775">
        <f t="shared" si="10"/>
        <v>100</v>
      </c>
      <c r="T37" s="774" t="s">
        <v>17</v>
      </c>
      <c r="U37" s="775">
        <f t="shared" si="11"/>
        <v>100</v>
      </c>
      <c r="V37" s="774" t="s">
        <v>17</v>
      </c>
      <c r="W37" s="775">
        <f t="shared" si="12"/>
        <v>100</v>
      </c>
      <c r="X37" s="1813"/>
      <c r="Y37" s="3203" t="s">
        <v>2569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2724</v>
      </c>
      <c r="B41" s="2704" t="s">
        <v>3320</v>
      </c>
      <c r="C41" s="682" t="s">
        <v>1</v>
      </c>
      <c r="D41" s="481"/>
      <c r="E41" s="482">
        <v>1875</v>
      </c>
      <c r="F41" s="483"/>
      <c r="G41" s="484">
        <v>1500</v>
      </c>
      <c r="H41" s="485"/>
      <c r="I41" s="482">
        <v>1500</v>
      </c>
      <c r="J41" s="485"/>
      <c r="K41" s="783"/>
      <c r="L41" s="1143"/>
      <c r="M41" s="1131"/>
      <c r="N41" s="1131"/>
      <c r="O41" s="1144"/>
      <c r="P41" s="3182" t="str">
        <f>A41</f>
        <v>成交单价</v>
      </c>
      <c r="Q41" s="3182"/>
      <c r="R41" s="3200">
        <f>E41</f>
        <v>1875</v>
      </c>
      <c r="S41" s="3200"/>
      <c r="T41" s="3200">
        <f>G41</f>
        <v>1500</v>
      </c>
      <c r="U41" s="3200"/>
      <c r="V41" s="3200">
        <f>I41</f>
        <v>1500</v>
      </c>
      <c r="W41" s="3200"/>
      <c r="X41" s="759"/>
      <c r="Y41" s="781"/>
      <c r="Z41" s="759"/>
      <c r="AA41" s="759"/>
      <c r="AB41" s="759"/>
      <c r="AC41" s="759"/>
    </row>
    <row r="42" spans="1:29" ht="15.75" thickBot="1">
      <c r="A42" s="486" t="s">
        <v>2673</v>
      </c>
      <c r="B42" s="683"/>
      <c r="C42" s="490">
        <f>R43</f>
        <v>1670</v>
      </c>
      <c r="D42" s="489"/>
      <c r="E42" s="490">
        <f>R42</f>
        <v>1842</v>
      </c>
      <c r="F42" s="491"/>
      <c r="G42" s="488">
        <f>T42</f>
        <v>1536</v>
      </c>
      <c r="H42" s="489"/>
      <c r="I42" s="490">
        <f>V42</f>
        <v>1632</v>
      </c>
      <c r="J42" s="489"/>
      <c r="K42" s="784"/>
      <c r="L42" s="1143"/>
      <c r="M42" s="1131"/>
      <c r="N42" s="1131"/>
      <c r="O42" s="1144"/>
      <c r="P42" s="3182" t="str">
        <f>A42</f>
        <v>比较价值（元/平方米）</v>
      </c>
      <c r="Q42" s="3182"/>
      <c r="R42" s="3222">
        <f>ROUND(PRODUCT(R41,AA7:AA40),0)</f>
        <v>1842</v>
      </c>
      <c r="S42" s="3222"/>
      <c r="T42" s="3222">
        <f>ROUND(PRODUCT(T41,AB7:AB40),0)</f>
        <v>1536</v>
      </c>
      <c r="U42" s="3222"/>
      <c r="V42" s="3222">
        <f>ROUND(PRODUCT(V41,AC7:AC40),0)</f>
        <v>1632</v>
      </c>
      <c r="W42" s="3222"/>
      <c r="X42" s="759"/>
      <c r="Y42" s="759"/>
      <c r="Z42" s="759"/>
      <c r="AA42" s="759"/>
      <c r="AB42" s="759"/>
      <c r="AC42" s="759"/>
    </row>
    <row r="43" spans="1:29" ht="15.75" thickBot="1">
      <c r="A43" s="492" t="s">
        <v>2674</v>
      </c>
      <c r="B43" s="493"/>
      <c r="C43" s="494">
        <f>R43</f>
        <v>1670</v>
      </c>
      <c r="D43" s="494"/>
      <c r="E43" s="494"/>
      <c r="F43" s="494"/>
      <c r="G43" s="494"/>
      <c r="H43" s="494"/>
      <c r="I43" s="494"/>
      <c r="J43" s="494"/>
      <c r="K43" s="785"/>
      <c r="L43" s="1143"/>
      <c r="M43" s="1131"/>
      <c r="N43" s="1131"/>
      <c r="O43" s="1144"/>
      <c r="P43" s="3219" t="str">
        <f>A43</f>
        <v>估价对象XX用房的比较价值（楼面单价，元/平方米）</v>
      </c>
      <c r="Q43" s="3220"/>
      <c r="R43" s="3221">
        <f>ROUND(AVERAGE(R42:V42),0)</f>
        <v>1670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2675</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2676</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2677</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2762</v>
      </c>
      <c r="B50" s="685" t="s">
        <v>2763</v>
      </c>
      <c r="C50" s="2705" t="s">
        <v>3321</v>
      </c>
      <c r="D50" s="2706" t="s">
        <v>2765</v>
      </c>
      <c r="E50" s="686" t="s">
        <v>2766</v>
      </c>
      <c r="F50" s="687" t="s">
        <v>2767</v>
      </c>
      <c r="G50" s="3179" t="s">
        <v>2768</v>
      </c>
      <c r="H50" s="3180"/>
      <c r="I50" s="1814" t="s">
        <v>2804</v>
      </c>
      <c r="J50" s="1814">
        <f>项目基本情况!F35</f>
        <v>0</v>
      </c>
      <c r="K50" s="2708" t="s">
        <v>2770</v>
      </c>
      <c r="L50" s="1106"/>
      <c r="M50" s="1144"/>
      <c r="N50" s="1144"/>
      <c r="O50" s="1144"/>
    </row>
    <row r="51" spans="1:17" s="692" customFormat="1">
      <c r="A51" s="688" t="s">
        <v>2771</v>
      </c>
      <c r="B51" s="689">
        <f>C43</f>
        <v>1670</v>
      </c>
      <c r="C51" s="690">
        <v>1</v>
      </c>
      <c r="D51" s="1163">
        <v>1</v>
      </c>
      <c r="E51" s="690">
        <f>'数据-汇总表'!E8+'数据-汇总表'!E9</f>
        <v>16443.89</v>
      </c>
      <c r="F51" s="691">
        <f t="shared" ref="F51:F60" si="15">ROUND(B51*E51/10000,0)</f>
        <v>2746</v>
      </c>
      <c r="G51" s="3181"/>
      <c r="H51" s="3182"/>
      <c r="I51" s="942">
        <v>1</v>
      </c>
      <c r="J51" s="942">
        <v>1</v>
      </c>
      <c r="K51" s="1145"/>
      <c r="L51" s="941"/>
      <c r="M51" s="941"/>
      <c r="N51" s="941"/>
      <c r="O51" s="941"/>
    </row>
    <row r="52" spans="1:17" s="692" customFormat="1">
      <c r="A52" s="693" t="s">
        <v>2772</v>
      </c>
      <c r="B52" s="262">
        <f>ROUND($C$43*C52*D52,0)</f>
        <v>292</v>
      </c>
      <c r="C52" s="200">
        <f t="shared" ref="C52:C60" si="16">IF($C$50="北京市系数",I52,J52)</f>
        <v>0.7</v>
      </c>
      <c r="D52" s="1164">
        <v>0.25</v>
      </c>
      <c r="E52" s="694"/>
      <c r="F52" s="691">
        <f t="shared" si="15"/>
        <v>0</v>
      </c>
      <c r="G52" s="3183" t="s">
        <v>2773</v>
      </c>
      <c r="H52" s="1104" t="str">
        <f>项目基本情况!B37</f>
        <v>五级</v>
      </c>
      <c r="I52" s="942">
        <f>SUMIF(修正!A45:A56,H52,修正!B45:B56)</f>
        <v>0.7</v>
      </c>
      <c r="J52" s="943"/>
      <c r="K52" s="1144"/>
      <c r="L52" s="941"/>
      <c r="M52" s="941"/>
      <c r="N52" s="941"/>
      <c r="O52" s="941"/>
    </row>
    <row r="53" spans="1:17" s="692" customFormat="1">
      <c r="A53" s="693" t="s">
        <v>2774</v>
      </c>
      <c r="B53" s="262">
        <f t="shared" ref="B53:B60" si="17">ROUND($C$43*C53*D53,0)</f>
        <v>167</v>
      </c>
      <c r="C53" s="200">
        <f t="shared" si="16"/>
        <v>0.4</v>
      </c>
      <c r="D53" s="1164">
        <v>0.25</v>
      </c>
      <c r="E53" s="694"/>
      <c r="F53" s="691">
        <f t="shared" si="15"/>
        <v>0</v>
      </c>
      <c r="G53" s="3183"/>
      <c r="H53" s="1104" t="str">
        <f>项目基本情况!B37</f>
        <v>五级</v>
      </c>
      <c r="I53" s="942">
        <f>SUMIF(修正!A45:A56,H53,修正!C45:C56)</f>
        <v>0.4</v>
      </c>
      <c r="J53" s="943"/>
      <c r="K53" s="1145"/>
      <c r="L53" s="941"/>
      <c r="M53" s="941"/>
      <c r="N53" s="941"/>
      <c r="O53" s="941"/>
    </row>
    <row r="54" spans="1:17" s="692" customFormat="1">
      <c r="A54" s="693" t="s">
        <v>2775</v>
      </c>
      <c r="B54" s="262">
        <f t="shared" si="17"/>
        <v>117</v>
      </c>
      <c r="C54" s="200">
        <f t="shared" si="16"/>
        <v>0.28000000000000003</v>
      </c>
      <c r="D54" s="1164">
        <v>0.25</v>
      </c>
      <c r="E54" s="694"/>
      <c r="F54" s="691">
        <f t="shared" si="15"/>
        <v>0</v>
      </c>
      <c r="G54" s="3183"/>
      <c r="H54" s="1104" t="str">
        <f>项目基本情况!B37</f>
        <v>五级</v>
      </c>
      <c r="I54" s="942">
        <f>SUMIF(修正!A45:A56,H54,修正!D45:D56)</f>
        <v>0.28000000000000003</v>
      </c>
      <c r="J54" s="943"/>
      <c r="K54" s="1144"/>
      <c r="L54" s="941"/>
      <c r="M54" s="941"/>
      <c r="N54" s="941"/>
      <c r="O54" s="941"/>
    </row>
    <row r="55" spans="1:17" s="692" customFormat="1">
      <c r="A55" s="693" t="s">
        <v>2776</v>
      </c>
      <c r="B55" s="262">
        <f t="shared" si="17"/>
        <v>104</v>
      </c>
      <c r="C55" s="200">
        <f t="shared" si="16"/>
        <v>0.25</v>
      </c>
      <c r="D55" s="1164">
        <v>0.25</v>
      </c>
      <c r="E55" s="694"/>
      <c r="F55" s="691">
        <f t="shared" si="15"/>
        <v>0</v>
      </c>
      <c r="G55" s="3183"/>
      <c r="H55" s="1104" t="str">
        <f>项目基本情况!B37</f>
        <v>五级</v>
      </c>
      <c r="I55" s="942">
        <f>SUMIF(修正!A45:A56,H55,修正!E45:E56)</f>
        <v>0.25</v>
      </c>
      <c r="J55" s="943"/>
      <c r="K55" s="1145"/>
      <c r="L55" s="941"/>
      <c r="M55" s="941"/>
      <c r="N55" s="941"/>
      <c r="O55" s="941"/>
    </row>
    <row r="56" spans="1:17" s="692" customFormat="1">
      <c r="A56" s="693" t="s">
        <v>2777</v>
      </c>
      <c r="B56" s="262">
        <f t="shared" si="17"/>
        <v>104</v>
      </c>
      <c r="C56" s="200">
        <f t="shared" si="16"/>
        <v>0.25</v>
      </c>
      <c r="D56" s="1164">
        <v>0.25</v>
      </c>
      <c r="E56" s="261">
        <f>'数据-汇总表'!E11</f>
        <v>0</v>
      </c>
      <c r="F56" s="691">
        <f t="shared" si="15"/>
        <v>0</v>
      </c>
      <c r="G56" s="2709" t="s">
        <v>2778</v>
      </c>
      <c r="H56" s="1104" t="str">
        <f>项目基本情况!C37</f>
        <v>五级</v>
      </c>
      <c r="I56" s="942">
        <f>SUMIF(修正!A45:A56,H56,修正!F45:F56)</f>
        <v>0.25</v>
      </c>
      <c r="J56" s="943"/>
      <c r="K56" s="1144"/>
      <c r="L56" s="941"/>
      <c r="M56" s="941"/>
      <c r="N56" s="941"/>
      <c r="O56" s="941"/>
    </row>
    <row r="57" spans="1:17" s="692" customFormat="1">
      <c r="A57" s="693" t="s">
        <v>2779</v>
      </c>
      <c r="B57" s="262">
        <f t="shared" si="17"/>
        <v>104</v>
      </c>
      <c r="C57" s="200">
        <f t="shared" si="16"/>
        <v>0.25</v>
      </c>
      <c r="D57" s="1164">
        <v>0.25</v>
      </c>
      <c r="E57" s="261">
        <f>'数据-汇总表'!E12</f>
        <v>6269.49</v>
      </c>
      <c r="F57" s="691">
        <f t="shared" si="15"/>
        <v>65</v>
      </c>
      <c r="G57" s="1109" t="s">
        <v>2780</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2781</v>
      </c>
      <c r="B58" s="262">
        <f t="shared" si="17"/>
        <v>84</v>
      </c>
      <c r="C58" s="200">
        <f t="shared" si="16"/>
        <v>0.2</v>
      </c>
      <c r="D58" s="1164">
        <v>0.25</v>
      </c>
      <c r="E58" s="261">
        <f>'数据-汇总表'!E13</f>
        <v>8588.09</v>
      </c>
      <c r="F58" s="691">
        <f t="shared" si="15"/>
        <v>72</v>
      </c>
      <c r="G58" s="1109" t="s">
        <v>2782</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2783</v>
      </c>
      <c r="B59" s="262">
        <f t="shared" si="17"/>
        <v>84</v>
      </c>
      <c r="C59" s="200">
        <f t="shared" si="16"/>
        <v>0.2</v>
      </c>
      <c r="D59" s="1164">
        <v>0.25</v>
      </c>
      <c r="E59" s="261">
        <f>'数据-汇总表'!E14</f>
        <v>0</v>
      </c>
      <c r="F59" s="691">
        <f t="shared" si="15"/>
        <v>0</v>
      </c>
      <c r="G59" s="2709" t="s">
        <v>2773</v>
      </c>
      <c r="H59" s="1104" t="str">
        <f>项目基本情况!B37</f>
        <v>五级</v>
      </c>
      <c r="I59" s="942">
        <f>SUMIF(修正!A45:A56,H59,修正!H45:H56)</f>
        <v>0.2</v>
      </c>
      <c r="J59" s="943"/>
      <c r="K59" s="1145"/>
      <c r="L59" s="941"/>
      <c r="M59" s="941"/>
      <c r="N59" s="941"/>
      <c r="O59" s="941"/>
    </row>
    <row r="60" spans="1:17" s="692" customFormat="1" ht="15" thickBot="1">
      <c r="A60" s="693" t="s">
        <v>2784</v>
      </c>
      <c r="B60" s="262">
        <f t="shared" si="17"/>
        <v>84</v>
      </c>
      <c r="C60" s="200">
        <f t="shared" si="16"/>
        <v>0.2</v>
      </c>
      <c r="D60" s="1164">
        <v>0.25</v>
      </c>
      <c r="E60" s="261">
        <f>'数据-汇总表'!E15</f>
        <v>0</v>
      </c>
      <c r="F60" s="691">
        <f t="shared" si="15"/>
        <v>0</v>
      </c>
      <c r="G60" s="2710" t="s">
        <v>2778</v>
      </c>
      <c r="H60" s="1114" t="str">
        <f>项目基本情况!C37</f>
        <v>五级</v>
      </c>
      <c r="I60" s="942">
        <f>SUMIF(修正!A45:A56,H60,修正!H45:H56)</f>
        <v>0.2</v>
      </c>
      <c r="J60" s="943"/>
      <c r="K60" s="1144"/>
      <c r="L60" s="941"/>
      <c r="M60" s="941"/>
      <c r="N60" s="941"/>
      <c r="O60" s="941"/>
    </row>
    <row r="61" spans="1:17" s="692" customFormat="1" ht="15" thickBot="1">
      <c r="A61" s="695" t="s">
        <v>2785</v>
      </c>
      <c r="B61" s="696" t="s">
        <v>28</v>
      </c>
      <c r="C61" s="696" t="s">
        <v>29</v>
      </c>
      <c r="D61" s="696" t="s">
        <v>1029</v>
      </c>
      <c r="E61" s="696">
        <f>IF(B41="楼面地价",SUM(E51:E60),'数据-汇总表'!D3)</f>
        <v>31301.469999999998</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2678</v>
      </c>
      <c r="B64" s="759"/>
      <c r="C64" s="764"/>
      <c r="D64" s="764"/>
      <c r="E64" s="764"/>
      <c r="F64" s="765"/>
      <c r="G64" s="765"/>
      <c r="H64" s="764"/>
      <c r="I64" s="764"/>
      <c r="J64" s="764"/>
      <c r="K64" s="766"/>
      <c r="L64" s="767"/>
      <c r="M64" s="764"/>
      <c r="N64" s="764"/>
      <c r="O64" s="1159"/>
      <c r="P64" s="503"/>
      <c r="Q64" s="504"/>
    </row>
    <row r="65" spans="1:17" s="508" customFormat="1" ht="15">
      <c r="A65" s="2711" t="s">
        <v>2786</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2805</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2592</v>
      </c>
      <c r="B70" s="528" t="s">
        <v>2558</v>
      </c>
      <c r="C70" s="2956" t="s">
        <v>3290</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2562</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2695</v>
      </c>
      <c r="C97" s="2957" t="s">
        <v>3306</v>
      </c>
      <c r="D97" s="2957" t="s">
        <v>3307</v>
      </c>
      <c r="E97" s="2957" t="s">
        <v>3308</v>
      </c>
      <c r="F97" s="2957" t="s">
        <v>3309</v>
      </c>
      <c r="G97" s="2957" t="s">
        <v>3310</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2567</v>
      </c>
      <c r="B107" s="528" t="s">
        <v>2795</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2796</v>
      </c>
      <c r="C110" s="2958" t="s">
        <v>3293</v>
      </c>
      <c r="D110" s="2958" t="s">
        <v>3314</v>
      </c>
      <c r="E110" s="2958" t="s">
        <v>3304</v>
      </c>
      <c r="F110" s="2958" t="s">
        <v>3315</v>
      </c>
      <c r="G110" s="2958" t="s">
        <v>3294</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2798</v>
      </c>
      <c r="C112" s="2957" t="s">
        <v>3295</v>
      </c>
      <c r="D112" s="2957" t="s">
        <v>3296</v>
      </c>
      <c r="E112" s="2957" t="s">
        <v>3297</v>
      </c>
      <c r="F112" s="2957" t="s">
        <v>3298</v>
      </c>
      <c r="G112" s="2957" t="s">
        <v>3300</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2799</v>
      </c>
      <c r="C114" s="2957" t="s">
        <v>3302</v>
      </c>
      <c r="D114" s="2957" t="s">
        <v>3303</v>
      </c>
      <c r="E114" s="2958" t="s">
        <v>3304</v>
      </c>
      <c r="F114" s="2958" t="s">
        <v>3305</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22004</v>
      </c>
      <c r="C2" s="320" t="s">
        <v>2466</v>
      </c>
      <c r="D2" s="320"/>
      <c r="E2" s="320"/>
      <c r="F2" s="320"/>
      <c r="G2" s="320"/>
      <c r="H2" s="320"/>
      <c r="I2" s="320"/>
      <c r="J2" s="320"/>
      <c r="K2" s="320"/>
    </row>
    <row r="3" spans="1:33" ht="18" customHeight="1" thickBot="1">
      <c r="A3" s="247" t="s">
        <v>2335</v>
      </c>
      <c r="B3" s="248">
        <f ca="1">ROUND(B2*10000/IF(C1="",'数据-汇总表'!E3,INDIRECT("'数据-取费表'!K"&amp;$K$1)),0)</f>
        <v>6755</v>
      </c>
      <c r="C3" s="320" t="s">
        <v>2467</v>
      </c>
      <c r="D3" s="320"/>
      <c r="E3" s="320"/>
      <c r="F3" s="320"/>
      <c r="G3" s="320"/>
      <c r="H3" s="320"/>
      <c r="I3" s="320"/>
      <c r="J3" s="320"/>
      <c r="K3" s="320"/>
    </row>
    <row r="4" spans="1:33" s="956" customFormat="1" ht="16.5" customHeight="1">
      <c r="A4" s="953" t="s">
        <v>2468</v>
      </c>
      <c r="B4" s="954"/>
      <c r="C4" s="996">
        <f ca="1">SUM(C8:K8)</f>
        <v>31637</v>
      </c>
      <c r="D4" s="954"/>
      <c r="E4" s="954"/>
      <c r="F4" s="954"/>
      <c r="G4" s="954"/>
      <c r="H4" s="954"/>
      <c r="I4" s="954"/>
      <c r="J4" s="954"/>
      <c r="K4" s="955"/>
    </row>
    <row r="5" spans="1:33" s="960" customFormat="1" ht="15">
      <c r="A5" s="957" t="s">
        <v>2469</v>
      </c>
      <c r="B5" s="958" t="s">
        <v>2470</v>
      </c>
      <c r="C5" s="2555" t="s">
        <v>3077</v>
      </c>
      <c r="D5" s="2555" t="s">
        <v>3080</v>
      </c>
      <c r="E5" s="2555" t="s">
        <v>2471</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f ca="1">'收益法（办公）'!B3</f>
        <v>16108</v>
      </c>
      <c r="D6" s="962">
        <f ca="1">'收益法 (车库)'!B3</f>
        <v>3088</v>
      </c>
      <c r="E6" s="962">
        <f ca="1">'收益法（仓储）'!B3</f>
        <v>3984</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1">
        <f>SUMIF('数据-汇总表'!$C19:$C33,假设开发法!C5,'数据-汇总表'!$E19:$E33)</f>
        <v>16443.89</v>
      </c>
      <c r="D7" s="321">
        <f>SUMIF('数据-汇总表'!$C19:$C33,假设开发法!D5,'数据-汇总表'!$E19:$E33)</f>
        <v>6269.49</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2475</v>
      </c>
      <c r="B8" s="177" t="s">
        <v>2476</v>
      </c>
      <c r="C8" s="997">
        <f ca="1">'收益法（办公）'!B2</f>
        <v>26487</v>
      </c>
      <c r="D8" s="997">
        <f ca="1">'收益法 (车库)'!B2</f>
        <v>2652</v>
      </c>
      <c r="E8" s="997">
        <f ca="1">'收益法（仓储）'!B2</f>
        <v>2498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3">
        <f ca="1">IF(C1="",'数据-取费表'!P16,INDIRECT("'数据-取费表'!p"&amp;$K$1)+INDIRECT("'数据-取费表'!ar"&amp;$K$1))</f>
        <v>3891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1335</v>
      </c>
      <c r="B12" s="972" t="s">
        <v>2485</v>
      </c>
      <c r="C12" s="24">
        <f ca="1">ROUND(C11*F12,0)</f>
        <v>117</v>
      </c>
      <c r="D12" s="973"/>
      <c r="E12" s="375"/>
      <c r="F12" s="976">
        <f>'数据-取费表'!B33</f>
        <v>0.03</v>
      </c>
      <c r="G12" s="8" t="s">
        <v>2486</v>
      </c>
      <c r="H12" s="968"/>
      <c r="I12" s="968"/>
      <c r="J12" s="968"/>
      <c r="K12" s="969"/>
    </row>
    <row r="13" spans="1:33" s="975" customFormat="1" ht="13.5" customHeight="1">
      <c r="A13" s="971" t="s">
        <v>1336</v>
      </c>
      <c r="B13" s="972" t="s">
        <v>2487</v>
      </c>
      <c r="C13" s="24">
        <f ca="1">ROUND(IF(C1="",SUMIF('数据-取费表'!C:C,"住宅",'数据-取费表'!P:P)*F13,IF(INDIRECT("'数据-取费表'!c"&amp;$K$1)="住宅",INDIRECT("'数据-取费表'!P"&amp;$K$1)*F13,0)),0)</f>
        <v>0</v>
      </c>
      <c r="D13" s="1033"/>
      <c r="E13" s="375"/>
      <c r="F13" s="976">
        <f>'数据-取费表'!B34</f>
        <v>0</v>
      </c>
      <c r="G13" s="8" t="s">
        <v>2488</v>
      </c>
      <c r="H13" s="968"/>
      <c r="I13" s="968"/>
      <c r="J13" s="968"/>
      <c r="K13" s="969"/>
    </row>
    <row r="14" spans="1:33" s="977" customFormat="1" ht="13.5" customHeight="1">
      <c r="A14" s="971" t="s">
        <v>1337</v>
      </c>
      <c r="B14" s="972" t="s">
        <v>2489</v>
      </c>
      <c r="C14" s="24">
        <f ca="1">ROUND(D14*E14*F11/10000,0)</f>
        <v>293</v>
      </c>
      <c r="D14" s="1033">
        <f ca="1">IF(C1="",'数据-汇总表'!E3,INDIRECT("'数据-取费表'!K"&amp;$K$1)+INDIRECT("'数据-取费表'!S"&amp;$K$1))</f>
        <v>32573.120000000003</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58</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4359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98</v>
      </c>
      <c r="D17" s="1033">
        <f ca="1">D14</f>
        <v>32573.120000000003</v>
      </c>
      <c r="E17" s="24">
        <f>'数据-取费表'!B32</f>
        <v>30</v>
      </c>
      <c r="F17" s="978"/>
      <c r="G17" s="140" t="s">
        <v>2495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4">
        <f ca="1">C19+C20-IF(C1="",'数据-取费表'!B29,IF(G18="已全部缴纳",C19+C20,H18))</f>
        <v>0</v>
      </c>
      <c r="D18" s="1033"/>
      <c r="E18" s="24"/>
      <c r="F18" s="976"/>
      <c r="G18" s="2979" t="s">
        <v>3136</v>
      </c>
      <c r="H18" s="1577">
        <v>651</v>
      </c>
      <c r="I18" s="2557" t="s">
        <v>2497</v>
      </c>
      <c r="J18" s="979"/>
      <c r="K18" s="980"/>
    </row>
    <row r="19" spans="1:33" s="975" customFormat="1" ht="13.5" customHeight="1">
      <c r="A19" s="971" t="s">
        <v>805</v>
      </c>
      <c r="B19" s="972" t="s">
        <v>2498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2499</v>
      </c>
      <c r="C20" s="24">
        <f ca="1">ROUND(D20*E20/10000,0)</f>
        <v>651</v>
      </c>
      <c r="D20" s="1033">
        <f ca="1">IF(C1="",'数据-汇总表'!E6,IF(INDIRECT("'数据-取费表'!c"&amp;$K$1)="住宅",INDIRECT("'数据-取费表'!s"&amp;$K$1),INDIRECT("'数据-取费表'!k"&amp;$K$1)+INDIRECT("'数据-取费表'!s"&amp;$K$1)))</f>
        <v>32573.120000000003</v>
      </c>
      <c r="E20" s="24">
        <f>'数据-取费表'!B28</f>
        <v>200</v>
      </c>
      <c r="F20" s="976"/>
      <c r="G20" s="15"/>
      <c r="H20" s="981"/>
      <c r="I20" s="981"/>
      <c r="J20" s="981"/>
      <c r="K20" s="982"/>
    </row>
    <row r="21" spans="1:33" s="975" customFormat="1" ht="13.5" customHeight="1">
      <c r="A21" s="961" t="s">
        <v>802</v>
      </c>
      <c r="B21" s="985" t="s">
        <v>2500</v>
      </c>
      <c r="C21" s="986">
        <f ca="1">C16+C17+C18</f>
        <v>4457</v>
      </c>
      <c r="D21" s="987"/>
      <c r="E21" s="325"/>
      <c r="F21" s="325"/>
      <c r="G21" s="140" t="s">
        <v>2501</v>
      </c>
      <c r="H21" s="979"/>
      <c r="I21" s="979"/>
      <c r="J21" s="979"/>
      <c r="K21" s="980"/>
    </row>
    <row r="22" spans="1:33" s="975" customFormat="1" ht="13.5" customHeight="1">
      <c r="A22" s="961" t="s">
        <v>2473</v>
      </c>
      <c r="B22" s="985" t="s">
        <v>2502</v>
      </c>
      <c r="C22" s="986">
        <f ca="1">ROUND(C21*F22,0)</f>
        <v>89</v>
      </c>
      <c r="D22" s="325"/>
      <c r="E22" s="325"/>
      <c r="F22" s="988">
        <f>'数据-取费表'!B37</f>
        <v>0.02</v>
      </c>
      <c r="G22" s="8" t="s">
        <v>2503</v>
      </c>
      <c r="H22" s="968"/>
      <c r="I22" s="968"/>
      <c r="J22" s="968"/>
      <c r="K22" s="969"/>
    </row>
    <row r="23" spans="1:33" s="975" customFormat="1" ht="13.5" customHeight="1">
      <c r="A23" s="961" t="s">
        <v>2475</v>
      </c>
      <c r="B23" s="985" t="s">
        <v>2504</v>
      </c>
      <c r="C23" s="986">
        <f ca="1">ROUND(C4*F23*F11,0)</f>
        <v>285</v>
      </c>
      <c r="D23" s="325"/>
      <c r="E23" s="325"/>
      <c r="F23" s="988">
        <f>'数据-取费表'!B38</f>
        <v>0.02</v>
      </c>
      <c r="G23" s="8" t="s">
        <v>2505</v>
      </c>
      <c r="H23" s="968"/>
      <c r="I23" s="968"/>
      <c r="J23" s="968"/>
      <c r="K23" s="969"/>
    </row>
    <row r="24" spans="1:33" s="975" customFormat="1" ht="13.5" customHeight="1">
      <c r="A24" s="961" t="s">
        <v>2506</v>
      </c>
      <c r="B24" s="985" t="s">
        <v>2507</v>
      </c>
      <c r="C24" s="324">
        <f>ROUND(F24/(1+'数据-取费表'!C42),4)</f>
        <v>2.9000000000000001E-2</v>
      </c>
      <c r="D24" s="325" t="s">
        <v>15</v>
      </c>
      <c r="E24" s="325"/>
      <c r="F24" s="988">
        <f>'数据-取费表'!B48+'数据-取费表'!B49</f>
        <v>3.0499999999999999E-2</v>
      </c>
      <c r="G24" s="8" t="s">
        <v>2508</v>
      </c>
      <c r="H24" s="990"/>
      <c r="I24" s="990"/>
      <c r="J24" s="990"/>
      <c r="K24" s="991"/>
    </row>
    <row r="25" spans="1:33" s="975" customFormat="1" ht="13.5" customHeight="1">
      <c r="A25" s="961" t="s">
        <v>2509</v>
      </c>
      <c r="B25" s="987" t="s">
        <v>2510</v>
      </c>
      <c r="C25" s="1356">
        <f ca="1">C27</f>
        <v>56</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2.4199999999999999E-2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56</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2513</v>
      </c>
      <c r="B28" s="2559" t="s">
        <v>2514</v>
      </c>
      <c r="C28" s="331">
        <f ca="1">C30</f>
        <v>870</v>
      </c>
      <c r="D28" s="324">
        <f ca="1">C29</f>
        <v>4.6300000000000001E-2</v>
      </c>
      <c r="E28" s="326" t="s">
        <v>15</v>
      </c>
      <c r="F28" s="332">
        <f ca="1">IF(C1="",'数据-取费表'!Q16,INDIRECT("'数据-取费表'!q"&amp;$K$1))</f>
        <v>0.18</v>
      </c>
      <c r="G28" s="989"/>
      <c r="H28" s="990"/>
      <c r="I28" s="990"/>
      <c r="J28" s="990"/>
      <c r="K28" s="991"/>
    </row>
    <row r="29" spans="1:33" s="335" customFormat="1" ht="13.5" customHeight="1">
      <c r="A29" s="971" t="s">
        <v>803</v>
      </c>
      <c r="B29" s="994" t="s">
        <v>2515</v>
      </c>
      <c r="C29" s="328">
        <f ca="1">ROUND((1+C24)*F28*'数据-取费表'!B24/'数据-取费表'!B20,4)</f>
        <v>4.6300000000000001E-2</v>
      </c>
      <c r="D29" s="328"/>
      <c r="E29" s="329"/>
      <c r="F29" s="334"/>
      <c r="G29" s="140" t="s">
        <v>2516</v>
      </c>
      <c r="H29" s="979"/>
      <c r="I29" s="979"/>
      <c r="J29" s="979"/>
      <c r="K29" s="980"/>
    </row>
    <row r="30" spans="1:33" s="335" customFormat="1" ht="13.5" customHeight="1">
      <c r="A30" s="971" t="s">
        <v>804</v>
      </c>
      <c r="B30" s="994" t="s">
        <v>2517</v>
      </c>
      <c r="C30" s="336">
        <f ca="1">ROUND((C21+C22+C23)*F28,0)</f>
        <v>870</v>
      </c>
      <c r="D30" s="328"/>
      <c r="E30" s="329"/>
      <c r="F30" s="334"/>
      <c r="G30" s="140"/>
      <c r="H30" s="979"/>
      <c r="I30" s="979"/>
      <c r="J30" s="979"/>
      <c r="K30" s="980"/>
    </row>
    <row r="31" spans="1:33" s="975" customFormat="1" ht="13.5" customHeight="1" thickBot="1">
      <c r="A31" s="2560" t="s">
        <v>2518</v>
      </c>
      <c r="B31" s="1005" t="s">
        <v>2519</v>
      </c>
      <c r="C31" s="1006">
        <f ca="1">ROUND(C4*F31/(1+'数据-取费表'!C42),0)</f>
        <v>1687</v>
      </c>
      <c r="D31" s="1007"/>
      <c r="E31" s="1008"/>
      <c r="F31" s="1009">
        <f>'数据-取费表'!B41</f>
        <v>5.6000000000000001E-2</v>
      </c>
      <c r="G31" s="1010" t="s">
        <v>2520</v>
      </c>
      <c r="H31" s="1011"/>
      <c r="I31" s="1011"/>
      <c r="J31" s="1011"/>
      <c r="K31" s="1012"/>
    </row>
    <row r="32" spans="1:33" s="970" customFormat="1" ht="13.5" customHeight="1" thickBot="1">
      <c r="A32" s="1000" t="s">
        <v>2521</v>
      </c>
      <c r="B32" s="1001"/>
      <c r="C32" s="1002">
        <f ca="1">ROUND((C4-C21-C22-C23-C25-C28-C31)/(1+C24+D25+D28),0)</f>
        <v>22004</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N17" sqref="N1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69" t="s">
        <v>2690</v>
      </c>
      <c r="C1" s="1620" t="s">
        <v>2534</v>
      </c>
      <c r="D1" s="1621" t="s">
        <v>3077</v>
      </c>
      <c r="E1" s="1630"/>
      <c r="F1" s="2584" t="s">
        <v>3130</v>
      </c>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3120</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3.3</v>
      </c>
      <c r="C3" s="400" t="s">
        <v>2648</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36" t="s">
        <v>2655</v>
      </c>
      <c r="Q4" s="3237"/>
      <c r="R4" s="3240" t="s">
        <v>2651</v>
      </c>
      <c r="S4" s="3241"/>
      <c r="T4" s="3240" t="s">
        <v>2652</v>
      </c>
      <c r="U4" s="3241"/>
      <c r="V4" s="3242" t="s">
        <v>2653</v>
      </c>
      <c r="W4" s="3242"/>
      <c r="X4" s="2670"/>
      <c r="Y4" s="3240" t="s">
        <v>2655</v>
      </c>
      <c r="Z4" s="3241"/>
      <c r="AA4" s="3248" t="s">
        <v>2651</v>
      </c>
      <c r="AB4" s="3248" t="s">
        <v>2652</v>
      </c>
      <c r="AC4" s="3233" t="s">
        <v>2653</v>
      </c>
    </row>
    <row r="5" spans="1:29" ht="15">
      <c r="A5" s="404"/>
      <c r="B5" s="405"/>
      <c r="C5" s="3194" t="s">
        <v>3083</v>
      </c>
      <c r="D5" s="3191"/>
      <c r="E5" s="3216" t="s">
        <v>3084</v>
      </c>
      <c r="F5" s="3217"/>
      <c r="G5" s="3194" t="s">
        <v>3135</v>
      </c>
      <c r="H5" s="3191"/>
      <c r="I5" s="3194" t="s">
        <v>3084</v>
      </c>
      <c r="J5" s="3191"/>
      <c r="K5" s="610"/>
      <c r="L5" s="1130"/>
      <c r="M5" s="1131"/>
      <c r="N5" s="1131"/>
      <c r="O5" s="1131"/>
      <c r="P5" s="3238"/>
      <c r="Q5" s="3213"/>
      <c r="R5" s="3188"/>
      <c r="S5" s="3189"/>
      <c r="T5" s="3188"/>
      <c r="U5" s="3189"/>
      <c r="V5" s="3200"/>
      <c r="W5" s="3200"/>
      <c r="X5" s="1813"/>
      <c r="Y5" s="3188"/>
      <c r="Z5" s="3189"/>
      <c r="AA5" s="3205"/>
      <c r="AB5" s="3205"/>
      <c r="AC5" s="3234"/>
    </row>
    <row r="6" spans="1:29" ht="15.75" thickBot="1">
      <c r="A6" s="406"/>
      <c r="B6" s="407"/>
      <c r="C6" s="3243" t="s">
        <v>2550</v>
      </c>
      <c r="D6" s="3244"/>
      <c r="E6" s="3246" t="s">
        <v>2550</v>
      </c>
      <c r="F6" s="3247"/>
      <c r="G6" s="3243" t="s">
        <v>2550</v>
      </c>
      <c r="H6" s="3244"/>
      <c r="I6" s="3243" t="s">
        <v>2550</v>
      </c>
      <c r="J6" s="3244"/>
      <c r="K6" s="610" t="s">
        <v>2551</v>
      </c>
      <c r="L6" s="1130"/>
      <c r="M6" s="1131"/>
      <c r="N6" s="1131"/>
      <c r="O6" s="1131"/>
      <c r="P6" s="3239"/>
      <c r="Q6" s="3215"/>
      <c r="R6" s="3188"/>
      <c r="S6" s="3189"/>
      <c r="T6" s="3198"/>
      <c r="U6" s="3199"/>
      <c r="V6" s="3200"/>
      <c r="W6" s="3200"/>
      <c r="X6" s="1813"/>
      <c r="Y6" s="3198"/>
      <c r="Z6" s="3199"/>
      <c r="AA6" s="3206"/>
      <c r="AB6" s="3206"/>
      <c r="AC6" s="3235"/>
    </row>
    <row r="7" spans="1:29" s="117" customFormat="1" ht="15.75" thickBot="1">
      <c r="A7" s="408" t="s">
        <v>2552</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245" t="s">
        <v>2553</v>
      </c>
      <c r="Q7" s="3195"/>
      <c r="R7" s="770" t="s">
        <v>17</v>
      </c>
      <c r="S7" s="771">
        <f t="shared" ref="S7:S15" si="0">F7</f>
        <v>100</v>
      </c>
      <c r="T7" s="770" t="s">
        <v>17</v>
      </c>
      <c r="U7" s="771">
        <f t="shared" ref="U7:U15" si="1">H7</f>
        <v>100</v>
      </c>
      <c r="V7" s="770" t="s">
        <v>17</v>
      </c>
      <c r="W7" s="771">
        <f t="shared" ref="W7:W15" si="2">J7</f>
        <v>100</v>
      </c>
      <c r="X7" s="772"/>
      <c r="Y7" s="3184" t="s">
        <v>2553</v>
      </c>
      <c r="Z7" s="3185"/>
      <c r="AA7" s="773">
        <f>D7/F7</f>
        <v>1</v>
      </c>
      <c r="AB7" s="773">
        <f>D7/H7</f>
        <v>1</v>
      </c>
      <c r="AC7" s="2671">
        <f>D7/J7</f>
        <v>1</v>
      </c>
    </row>
    <row r="8" spans="1:29" s="117" customFormat="1" ht="15.75" thickBot="1">
      <c r="A8" s="408" t="s">
        <v>2554</v>
      </c>
      <c r="B8" s="409"/>
      <c r="C8" s="414" t="s">
        <v>2656</v>
      </c>
      <c r="D8" s="411">
        <v>100</v>
      </c>
      <c r="E8" s="414" t="s">
        <v>3060</v>
      </c>
      <c r="F8" s="413">
        <f>SUMIF(62:62,E8,63:63)-SUMIF(62:62,C8,63:63)+100</f>
        <v>100</v>
      </c>
      <c r="G8" s="414" t="s">
        <v>3060</v>
      </c>
      <c r="H8" s="411">
        <f>SUMIF(62:62,G8,63:63)-SUMIF(62:62,C8,63:63)+100</f>
        <v>100</v>
      </c>
      <c r="I8" s="414" t="s">
        <v>3060</v>
      </c>
      <c r="J8" s="411">
        <f>SUMIF(62:62,I8,63:63)-SUMIF(62:62,C8,63:63)+100</f>
        <v>100</v>
      </c>
      <c r="K8" s="611"/>
      <c r="L8" s="1132"/>
      <c r="M8" s="1133"/>
      <c r="N8" s="1133"/>
      <c r="O8" s="1133"/>
      <c r="P8" s="3245" t="s">
        <v>2556</v>
      </c>
      <c r="Q8" s="3185"/>
      <c r="R8" s="770" t="s">
        <v>17</v>
      </c>
      <c r="S8" s="771">
        <f t="shared" si="0"/>
        <v>100</v>
      </c>
      <c r="T8" s="770" t="s">
        <v>17</v>
      </c>
      <c r="U8" s="771">
        <f t="shared" si="1"/>
        <v>100</v>
      </c>
      <c r="V8" s="770" t="s">
        <v>17</v>
      </c>
      <c r="W8" s="771">
        <f t="shared" si="2"/>
        <v>100</v>
      </c>
      <c r="X8" s="772"/>
      <c r="Y8" s="3184" t="s">
        <v>2556</v>
      </c>
      <c r="Z8" s="3185"/>
      <c r="AA8" s="773">
        <f t="shared" ref="AA8:AA47" si="3">D8/F8</f>
        <v>1</v>
      </c>
      <c r="AB8" s="773">
        <f t="shared" ref="AB8:AB47" si="4">D8/H8</f>
        <v>1</v>
      </c>
      <c r="AC8" s="2671">
        <f t="shared" ref="AC8:AC47" si="5">D8/J8</f>
        <v>1</v>
      </c>
    </row>
    <row r="9" spans="1:29" s="117" customFormat="1">
      <c r="A9" s="415" t="s">
        <v>2557</v>
      </c>
      <c r="B9" s="2987" t="s">
        <v>2558</v>
      </c>
      <c r="C9" s="2955" t="s">
        <v>3085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81"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2671">
        <f t="shared" si="5"/>
        <v>1</v>
      </c>
    </row>
    <row r="10" spans="1:29" s="427" customFormat="1" ht="27">
      <c r="A10" s="421"/>
      <c r="B10" s="422" t="s">
        <v>2561</v>
      </c>
      <c r="C10" s="423" t="s">
        <v>3086</v>
      </c>
      <c r="D10" s="136">
        <v>100</v>
      </c>
      <c r="E10" s="423" t="s">
        <v>3086</v>
      </c>
      <c r="F10" s="136">
        <f>SUMIF(66:66,E10,67:67)-SUMIF(66:66,C10,67:67)+100</f>
        <v>100</v>
      </c>
      <c r="G10" s="424" t="s">
        <v>3086</v>
      </c>
      <c r="H10" s="136">
        <f>SUMIF(66:66,G10,67:67)-SUMIF(66:66,C10,67:67)+100</f>
        <v>100</v>
      </c>
      <c r="I10" s="423" t="s">
        <v>3086</v>
      </c>
      <c r="J10" s="136">
        <f>SUMIF(66:66,I10,67:67)-SUMIF(66:66,C10,67:67)+100</f>
        <v>100</v>
      </c>
      <c r="K10" s="612">
        <v>2</v>
      </c>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1">
        <f t="shared" si="5"/>
        <v>1</v>
      </c>
    </row>
    <row r="11" spans="1:29" ht="15">
      <c r="A11" s="428"/>
      <c r="B11" s="422" t="s">
        <v>2562</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81"/>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1">
        <f t="shared" si="5"/>
        <v>1</v>
      </c>
    </row>
    <row r="15" spans="1:29" ht="71.25">
      <c r="A15" s="440" t="s">
        <v>2563</v>
      </c>
      <c r="B15" s="629" t="s">
        <v>2691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27" t="s">
        <v>2564</v>
      </c>
      <c r="Q15" s="1810" t="str">
        <f t="shared" si="6"/>
        <v>办公集聚程度</v>
      </c>
      <c r="R15" s="774" t="s">
        <v>17</v>
      </c>
      <c r="S15" s="775">
        <f t="shared" si="0"/>
        <v>100</v>
      </c>
      <c r="T15" s="774" t="s">
        <v>17</v>
      </c>
      <c r="U15" s="775">
        <f t="shared" si="1"/>
        <v>100</v>
      </c>
      <c r="V15" s="774" t="s">
        <v>17</v>
      </c>
      <c r="W15" s="775">
        <f t="shared" si="2"/>
        <v>100</v>
      </c>
      <c r="X15" s="1813"/>
      <c r="Y15" s="3201" t="s">
        <v>2564</v>
      </c>
      <c r="Z15" s="1814" t="str">
        <f t="shared" si="7"/>
        <v>办公集聚程度</v>
      </c>
      <c r="AA15" s="1811">
        <f t="shared" si="3"/>
        <v>1</v>
      </c>
      <c r="AB15" s="1811">
        <f t="shared" si="4"/>
        <v>1</v>
      </c>
      <c r="AC15" s="2674">
        <f t="shared" si="5"/>
        <v>1</v>
      </c>
    </row>
    <row r="16" spans="1:29" ht="15">
      <c r="A16" s="428"/>
      <c r="B16" s="630"/>
      <c r="C16" s="2611" t="s">
        <v>3088</v>
      </c>
      <c r="D16" s="448"/>
      <c r="E16" s="447" t="s">
        <v>3088</v>
      </c>
      <c r="F16" s="448"/>
      <c r="G16" s="2611" t="s">
        <v>3088</v>
      </c>
      <c r="H16" s="450"/>
      <c r="I16" s="447" t="s">
        <v>3088</v>
      </c>
      <c r="J16" s="448"/>
      <c r="K16" s="615"/>
      <c r="L16" s="1140"/>
      <c r="M16" s="1131"/>
      <c r="N16" s="1131"/>
      <c r="O16" s="1131"/>
      <c r="P16" s="3228"/>
      <c r="Q16" s="1810"/>
      <c r="R16" s="774"/>
      <c r="S16" s="775"/>
      <c r="T16" s="774"/>
      <c r="U16" s="775"/>
      <c r="V16" s="774"/>
      <c r="W16" s="775"/>
      <c r="X16" s="1813"/>
      <c r="Y16" s="3202"/>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4">
        <f t="shared" si="5"/>
        <v>1</v>
      </c>
    </row>
    <row r="18" spans="1:29" ht="15">
      <c r="A18" s="428"/>
      <c r="B18" s="632"/>
      <c r="C18" s="2676" t="s">
        <v>3087</v>
      </c>
      <c r="D18" s="450"/>
      <c r="E18" s="2609" t="s">
        <v>3087</v>
      </c>
      <c r="F18" s="450"/>
      <c r="G18" s="2610" t="s">
        <v>3087</v>
      </c>
      <c r="H18" s="448"/>
      <c r="I18" s="2610" t="s">
        <v>3087</v>
      </c>
      <c r="J18" s="448"/>
      <c r="K18" s="615"/>
      <c r="L18" s="1140"/>
      <c r="M18" s="1131"/>
      <c r="N18" s="1131"/>
      <c r="O18" s="1131"/>
      <c r="P18" s="3228"/>
      <c r="Q18" s="1810"/>
      <c r="R18" s="774"/>
      <c r="S18" s="775"/>
      <c r="T18" s="774"/>
      <c r="U18" s="775"/>
      <c r="V18" s="774"/>
      <c r="W18" s="775"/>
      <c r="X18" s="1813"/>
      <c r="Y18" s="3202"/>
      <c r="Z18" s="1814"/>
      <c r="AA18" s="1811">
        <v>1</v>
      </c>
      <c r="AB18" s="1811">
        <v>1</v>
      </c>
      <c r="AC18" s="2674">
        <v>1</v>
      </c>
    </row>
    <row r="19" spans="1:29" ht="42.75">
      <c r="A19" s="428"/>
      <c r="B19" s="631" t="s">
        <v>2692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4">
        <f t="shared" si="5"/>
        <v>1</v>
      </c>
    </row>
    <row r="20" spans="1:29" ht="15">
      <c r="A20" s="428"/>
      <c r="B20" s="632"/>
      <c r="C20" s="2611" t="s">
        <v>3087</v>
      </c>
      <c r="D20" s="448"/>
      <c r="E20" s="2604" t="s">
        <v>3087</v>
      </c>
      <c r="F20" s="448"/>
      <c r="G20" s="2605" t="s">
        <v>3087</v>
      </c>
      <c r="H20" s="448"/>
      <c r="I20" s="2605" t="s">
        <v>3087</v>
      </c>
      <c r="J20" s="448"/>
      <c r="K20" s="615"/>
      <c r="L20" s="1140"/>
      <c r="M20" s="1131"/>
      <c r="N20" s="1131"/>
      <c r="O20" s="1131"/>
      <c r="P20" s="3228"/>
      <c r="Q20" s="1810"/>
      <c r="R20" s="774"/>
      <c r="S20" s="775"/>
      <c r="T20" s="774"/>
      <c r="U20" s="775"/>
      <c r="V20" s="774"/>
      <c r="W20" s="775"/>
      <c r="X20" s="1813"/>
      <c r="Y20" s="3202"/>
      <c r="Z20" s="1814"/>
      <c r="AA20" s="1811">
        <v>1</v>
      </c>
      <c r="AB20" s="1811">
        <v>1</v>
      </c>
      <c r="AC20" s="2674">
        <v>1</v>
      </c>
    </row>
    <row r="21" spans="1:29" ht="28.5">
      <c r="A21" s="428"/>
      <c r="B21" s="633" t="s">
        <v>2693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4">
        <f t="shared" ref="AC21" si="10">D21/J21</f>
        <v>1</v>
      </c>
    </row>
    <row r="22" spans="1:29" ht="15">
      <c r="A22" s="428"/>
      <c r="B22" s="633"/>
      <c r="C22" s="2676" t="s">
        <v>3089</v>
      </c>
      <c r="D22" s="448"/>
      <c r="E22" s="447" t="s">
        <v>3089</v>
      </c>
      <c r="F22" s="448"/>
      <c r="G22" s="2611" t="s">
        <v>3089</v>
      </c>
      <c r="H22" s="448"/>
      <c r="I22" s="2611" t="s">
        <v>3089</v>
      </c>
      <c r="J22" s="448"/>
      <c r="K22" s="1383"/>
      <c r="L22" s="1140"/>
      <c r="M22" s="1131"/>
      <c r="N22" s="1131"/>
      <c r="O22" s="1131"/>
      <c r="P22" s="3228"/>
      <c r="Q22" s="1810"/>
      <c r="R22" s="774"/>
      <c r="S22" s="775"/>
      <c r="T22" s="774"/>
      <c r="U22" s="775"/>
      <c r="V22" s="774"/>
      <c r="W22" s="775"/>
      <c r="X22" s="1813"/>
      <c r="Y22" s="3202"/>
      <c r="Z22" s="1814"/>
      <c r="AA22" s="1811">
        <v>1</v>
      </c>
      <c r="AB22" s="1811">
        <v>1</v>
      </c>
      <c r="AC22" s="2674">
        <v>1</v>
      </c>
    </row>
    <row r="23" spans="1:29" ht="42.75">
      <c r="A23" s="428"/>
      <c r="B23" s="631" t="s">
        <v>2694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28"/>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4">
        <f t="shared" si="5"/>
        <v>1</v>
      </c>
    </row>
    <row r="24" spans="1:29" ht="15">
      <c r="A24" s="428"/>
      <c r="B24" s="633"/>
      <c r="C24" s="2611" t="s">
        <v>3087</v>
      </c>
      <c r="D24" s="448"/>
      <c r="E24" s="2604" t="s">
        <v>3087</v>
      </c>
      <c r="F24" s="448"/>
      <c r="G24" s="2605" t="s">
        <v>3087</v>
      </c>
      <c r="H24" s="448"/>
      <c r="I24" s="2605" t="s">
        <v>3087</v>
      </c>
      <c r="J24" s="448"/>
      <c r="K24" s="615"/>
      <c r="L24" s="1140"/>
      <c r="M24" s="1131"/>
      <c r="N24" s="1131"/>
      <c r="O24" s="1131"/>
      <c r="P24" s="3228"/>
      <c r="Q24" s="1810"/>
      <c r="R24" s="774"/>
      <c r="S24" s="775"/>
      <c r="T24" s="774"/>
      <c r="U24" s="775"/>
      <c r="V24" s="774"/>
      <c r="W24" s="775"/>
      <c r="X24" s="1813"/>
      <c r="Y24" s="3202"/>
      <c r="Z24" s="1814"/>
      <c r="AA24" s="1811">
        <v>1</v>
      </c>
      <c r="AB24" s="1811">
        <v>1</v>
      </c>
      <c r="AC24" s="2674">
        <v>1</v>
      </c>
    </row>
    <row r="25" spans="1:29" ht="28.5">
      <c r="A25" s="404"/>
      <c r="B25" s="631" t="s">
        <v>2695</v>
      </c>
      <c r="C25" s="2959" t="s">
        <v>3118</v>
      </c>
      <c r="D25" s="435">
        <v>100</v>
      </c>
      <c r="E25" s="2960" t="str">
        <f>C25</f>
        <v>城市支路-丰润东路</v>
      </c>
      <c r="F25" s="435">
        <f>SUMIF(87:87,E26,88:88)-SUMIF(87:87,C26,88:88)+100</f>
        <v>100</v>
      </c>
      <c r="G25" s="2615" t="s">
        <v>3119</v>
      </c>
      <c r="H25" s="435">
        <f>SUMIF(87:87,G26,88:88)-SUMIF(87:87,C26,88:88)+100</f>
        <v>100</v>
      </c>
      <c r="I25" s="434" t="str">
        <f>C25</f>
        <v>城市支路-丰润东路</v>
      </c>
      <c r="J25" s="435">
        <f>SUMIF(87:87,I26,88:88)-SUMIF(87:87,C26,88:88)+100</f>
        <v>100</v>
      </c>
      <c r="K25" s="614">
        <v>2</v>
      </c>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4">
        <f t="shared" si="5"/>
        <v>1</v>
      </c>
    </row>
    <row r="26" spans="1:29" ht="15">
      <c r="A26" s="404"/>
      <c r="B26" s="632"/>
      <c r="C26" s="634" t="s">
        <v>3124</v>
      </c>
      <c r="D26" s="435"/>
      <c r="E26" s="616" t="s">
        <v>3124</v>
      </c>
      <c r="F26" s="435"/>
      <c r="G26" s="634" t="s">
        <v>3124</v>
      </c>
      <c r="H26" s="435"/>
      <c r="I26" s="616" t="s">
        <v>3124</v>
      </c>
      <c r="J26" s="435"/>
      <c r="K26" s="615"/>
      <c r="L26" s="1140"/>
      <c r="M26" s="1131"/>
      <c r="N26" s="1131"/>
      <c r="O26" s="1131"/>
      <c r="P26" s="3228"/>
      <c r="Q26" s="1810"/>
      <c r="R26" s="774"/>
      <c r="S26" s="775"/>
      <c r="T26" s="774"/>
      <c r="U26" s="775"/>
      <c r="V26" s="774"/>
      <c r="W26" s="775"/>
      <c r="X26" s="1813"/>
      <c r="Y26" s="3202"/>
      <c r="Z26" s="1814"/>
      <c r="AA26" s="1811">
        <v>1</v>
      </c>
      <c r="AB26" s="1811">
        <v>1</v>
      </c>
      <c r="AC26" s="2674">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4">
        <f t="shared" si="5"/>
        <v>1</v>
      </c>
    </row>
    <row r="28" spans="1:29" s="117" customFormat="1" ht="15">
      <c r="A28" s="431"/>
      <c r="B28" s="631" t="s">
        <v>2696</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4">
        <f t="shared" si="5"/>
        <v>1</v>
      </c>
    </row>
    <row r="33" spans="1:29" ht="15">
      <c r="A33" s="440" t="s">
        <v>2567</v>
      </c>
      <c r="B33" s="71" t="s">
        <v>2697</v>
      </c>
      <c r="C33" s="2679" t="s">
        <v>3116</v>
      </c>
      <c r="D33" s="467">
        <v>100</v>
      </c>
      <c r="E33" s="2679" t="s">
        <v>3116</v>
      </c>
      <c r="F33" s="461">
        <f>SUMIF(101:101,E33,102:102)-SUMIF(101:101,C33,102:102)+100</f>
        <v>100</v>
      </c>
      <c r="G33" s="2679" t="s">
        <v>3116</v>
      </c>
      <c r="H33" s="435">
        <f>SUMIF(101:101,G33,102:102)-SUMIF(101:101,C33,102:102)+100</f>
        <v>100</v>
      </c>
      <c r="I33" s="2679" t="s">
        <v>3116</v>
      </c>
      <c r="J33" s="467">
        <f>SUMIF(101:101,I33,102:102)-SUMIF(101:101,C33,102:102)+100</f>
        <v>100</v>
      </c>
      <c r="K33" s="612">
        <v>2</v>
      </c>
      <c r="L33" s="1140"/>
      <c r="M33" s="1131"/>
      <c r="N33" s="1131"/>
      <c r="O33" s="1131"/>
      <c r="P33" s="3229" t="s">
        <v>2569</v>
      </c>
      <c r="Q33" s="1810" t="str">
        <f t="shared" si="11"/>
        <v>建筑类型</v>
      </c>
      <c r="R33" s="774" t="s">
        <v>17</v>
      </c>
      <c r="S33" s="775">
        <f t="shared" si="12"/>
        <v>100</v>
      </c>
      <c r="T33" s="774" t="s">
        <v>17</v>
      </c>
      <c r="U33" s="775">
        <f t="shared" si="13"/>
        <v>100</v>
      </c>
      <c r="V33" s="774" t="s">
        <v>17</v>
      </c>
      <c r="W33" s="775">
        <f t="shared" si="14"/>
        <v>100</v>
      </c>
      <c r="X33" s="1813"/>
      <c r="Y33" s="3203" t="s">
        <v>2569</v>
      </c>
      <c r="Z33" s="1814" t="str">
        <f t="shared" si="15"/>
        <v>建筑类型</v>
      </c>
      <c r="AA33" s="1811">
        <f t="shared" si="3"/>
        <v>1</v>
      </c>
      <c r="AB33" s="1811">
        <f t="shared" si="4"/>
        <v>1</v>
      </c>
      <c r="AC33" s="2674">
        <f t="shared" si="5"/>
        <v>1</v>
      </c>
    </row>
    <row r="34" spans="1:29" s="471" customFormat="1" ht="15">
      <c r="A34" s="468"/>
      <c r="B34" s="2974" t="s">
        <v>2570</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30"/>
      <c r="Q34" s="776" t="str">
        <f t="shared" si="11"/>
        <v>项目建筑规模</v>
      </c>
      <c r="R34" s="777" t="s">
        <v>17</v>
      </c>
      <c r="S34" s="778">
        <f t="shared" si="12"/>
        <v>108</v>
      </c>
      <c r="T34" s="777" t="s">
        <v>17</v>
      </c>
      <c r="U34" s="778">
        <f t="shared" si="13"/>
        <v>110</v>
      </c>
      <c r="V34" s="777" t="s">
        <v>17</v>
      </c>
      <c r="W34" s="778">
        <f t="shared" si="14"/>
        <v>108</v>
      </c>
      <c r="X34" s="779"/>
      <c r="Y34" s="3203"/>
      <c r="Z34" s="780" t="str">
        <f t="shared" si="15"/>
        <v>项目建筑规模</v>
      </c>
      <c r="AA34" s="1811">
        <f t="shared" si="3"/>
        <v>0.92592592592592593</v>
      </c>
      <c r="AB34" s="1811">
        <f t="shared" si="4"/>
        <v>0.90909090909090906</v>
      </c>
      <c r="AC34" s="2674">
        <f t="shared" si="5"/>
        <v>0.92592592592592593</v>
      </c>
    </row>
    <row r="35" spans="1:29" ht="15">
      <c r="A35" s="472"/>
      <c r="B35" s="422" t="s">
        <v>2571</v>
      </c>
      <c r="C35" s="460" t="s">
        <v>3090</v>
      </c>
      <c r="D35" s="435">
        <v>100</v>
      </c>
      <c r="E35" s="460" t="s">
        <v>3090</v>
      </c>
      <c r="F35" s="461">
        <f>SUMIF(106:106,E35,107:107)-SUMIF(106:106,C35,107:107)+100</f>
        <v>100</v>
      </c>
      <c r="G35" s="460" t="s">
        <v>3090</v>
      </c>
      <c r="H35" s="435">
        <f>SUMIF(106:106,G35,107:107)-SUMIF(106:106,C35,107:107)+100</f>
        <v>100</v>
      </c>
      <c r="I35" s="460" t="s">
        <v>3090</v>
      </c>
      <c r="J35" s="435">
        <f>SUMIF(106:106,I35,107:107)-SUMIF(106:106,C35,107:107)+100</f>
        <v>100</v>
      </c>
      <c r="K35" s="612">
        <v>2</v>
      </c>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4">
        <f t="shared" si="5"/>
        <v>1</v>
      </c>
    </row>
    <row r="36" spans="1:29" ht="15">
      <c r="A36" s="472"/>
      <c r="B36" s="422" t="s">
        <v>2665</v>
      </c>
      <c r="C36" s="460" t="s">
        <v>3093</v>
      </c>
      <c r="D36" s="435">
        <v>100</v>
      </c>
      <c r="E36" s="460" t="s">
        <v>3093</v>
      </c>
      <c r="F36" s="461">
        <f>SUMIF(108:108,E36,109:109)-SUMIF(108:108,C36,109:109)+100</f>
        <v>100</v>
      </c>
      <c r="G36" s="460" t="s">
        <v>3093</v>
      </c>
      <c r="H36" s="435">
        <f>SUMIF(108:108,G36,109:109)-SUMIF(108:108,C36,109:109)+100</f>
        <v>100</v>
      </c>
      <c r="I36" s="460" t="s">
        <v>3093</v>
      </c>
      <c r="J36" s="435">
        <f>SUMIF(108:108,I36,109:109)-SUMIF(108:108,C36,109:109)+100</f>
        <v>100</v>
      </c>
      <c r="K36" s="612">
        <v>2</v>
      </c>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4">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30"/>
      <c r="Q37" s="1810" t="str">
        <f t="shared" si="11"/>
        <v>成新度</v>
      </c>
      <c r="R37" s="774" t="s">
        <v>17</v>
      </c>
      <c r="S37" s="775">
        <f t="shared" si="12"/>
        <v>100</v>
      </c>
      <c r="T37" s="774" t="s">
        <v>17</v>
      </c>
      <c r="U37" s="775">
        <f t="shared" si="13"/>
        <v>100</v>
      </c>
      <c r="V37" s="774" t="s">
        <v>17</v>
      </c>
      <c r="W37" s="775">
        <f t="shared" si="14"/>
        <v>100</v>
      </c>
      <c r="X37" s="1813"/>
      <c r="Y37" s="3203"/>
      <c r="Z37" s="1814" t="str">
        <f t="shared" si="15"/>
        <v>成新度</v>
      </c>
      <c r="AA37" s="1811">
        <f t="shared" si="3"/>
        <v>1</v>
      </c>
      <c r="AB37" s="1811">
        <f t="shared" si="4"/>
        <v>1</v>
      </c>
      <c r="AC37" s="2674">
        <f t="shared" si="5"/>
        <v>1</v>
      </c>
    </row>
    <row r="38" spans="1:29" s="117" customFormat="1" ht="15">
      <c r="A38" s="473"/>
      <c r="B38" s="422" t="s">
        <v>2698</v>
      </c>
      <c r="C38" s="460" t="s">
        <v>3098</v>
      </c>
      <c r="D38" s="136">
        <v>100</v>
      </c>
      <c r="E38" s="460" t="s">
        <v>3098</v>
      </c>
      <c r="F38" s="461">
        <f>SUMIF(113:113,E38,114:114)-SUMIF(113:113,C38,114:114)+100</f>
        <v>100</v>
      </c>
      <c r="G38" s="460" t="s">
        <v>3098</v>
      </c>
      <c r="H38" s="435">
        <f>SUMIF(113:113,G38,114:114)-SUMIF(113:113,C38,114:114)+100</f>
        <v>100</v>
      </c>
      <c r="I38" s="460" t="s">
        <v>3098</v>
      </c>
      <c r="J38" s="435">
        <f>SUMIF(113:113,I38,114:114)-SUMIF(113:113,C38,114:114)+100</f>
        <v>100</v>
      </c>
      <c r="K38" s="612">
        <v>2</v>
      </c>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1">
        <f t="shared" si="5"/>
        <v>1</v>
      </c>
    </row>
    <row r="39" spans="1:29" ht="15">
      <c r="A39" s="472"/>
      <c r="B39" s="422" t="s">
        <v>2699</v>
      </c>
      <c r="C39" s="460" t="s">
        <v>3101</v>
      </c>
      <c r="D39" s="435">
        <v>100</v>
      </c>
      <c r="E39" s="460" t="s">
        <v>3101</v>
      </c>
      <c r="F39" s="461">
        <f>SUMIF(115:115,E39,116:116)-SUMIF(115:115,C39,116:116)+100</f>
        <v>100</v>
      </c>
      <c r="G39" s="460" t="s">
        <v>3101</v>
      </c>
      <c r="H39" s="435">
        <f>SUMIF(115:115,G39,116:116)-SUMIF(115:115,C39,116:116)+100</f>
        <v>100</v>
      </c>
      <c r="I39" s="460" t="s">
        <v>3101</v>
      </c>
      <c r="J39" s="435">
        <f>SUMIF(115:115,I39,116:116)-SUMIF(115:115,C39,116:116)+100</f>
        <v>100</v>
      </c>
      <c r="K39" s="612">
        <v>2</v>
      </c>
      <c r="L39" s="1140"/>
      <c r="M39" s="1131"/>
      <c r="N39" s="1131"/>
      <c r="O39" s="1131"/>
      <c r="P39" s="3230" t="s">
        <v>2569</v>
      </c>
      <c r="Q39" s="1810" t="str">
        <f t="shared" si="11"/>
        <v>物业管理</v>
      </c>
      <c r="R39" s="774" t="s">
        <v>17</v>
      </c>
      <c r="S39" s="775">
        <f t="shared" si="12"/>
        <v>100</v>
      </c>
      <c r="T39" s="774" t="s">
        <v>17</v>
      </c>
      <c r="U39" s="775">
        <f t="shared" si="13"/>
        <v>100</v>
      </c>
      <c r="V39" s="774" t="s">
        <v>17</v>
      </c>
      <c r="W39" s="775">
        <f t="shared" si="14"/>
        <v>100</v>
      </c>
      <c r="X39" s="1813"/>
      <c r="Y39" s="3203" t="s">
        <v>2569</v>
      </c>
      <c r="Z39" s="1814" t="str">
        <f t="shared" si="15"/>
        <v>物业管理</v>
      </c>
      <c r="AA39" s="1811">
        <f t="shared" si="3"/>
        <v>1</v>
      </c>
      <c r="AB39" s="1811">
        <f t="shared" si="4"/>
        <v>1</v>
      </c>
      <c r="AC39" s="2674">
        <f t="shared" si="5"/>
        <v>1</v>
      </c>
    </row>
    <row r="40" spans="1:29" ht="15">
      <c r="A40" s="472"/>
      <c r="B40" s="422" t="s">
        <v>2667</v>
      </c>
      <c r="C40" s="460" t="s">
        <v>3089</v>
      </c>
      <c r="D40" s="435">
        <v>100</v>
      </c>
      <c r="E40" s="460" t="s">
        <v>3089</v>
      </c>
      <c r="F40" s="461">
        <f>SUMIF(117:117,E40,118:118)-SUMIF(117:117,C40,118:118)+100</f>
        <v>100</v>
      </c>
      <c r="G40" s="460" t="s">
        <v>3089</v>
      </c>
      <c r="H40" s="435">
        <f>SUMIF(117:117,G40,118:118)-SUMIF(117:117,C40,118:118)+100</f>
        <v>100</v>
      </c>
      <c r="I40" s="460" t="s">
        <v>3089</v>
      </c>
      <c r="J40" s="435">
        <f>SUMIF(117:117,I40,118:118)-SUMIF(117:117,C40,118:118)+100</f>
        <v>100</v>
      </c>
      <c r="K40" s="612">
        <v>2</v>
      </c>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4">
        <f t="shared" si="5"/>
        <v>1</v>
      </c>
    </row>
    <row r="41" spans="1:29" ht="15">
      <c r="A41" s="472"/>
      <c r="B41" s="422" t="s">
        <v>2669</v>
      </c>
      <c r="C41" s="616" t="s">
        <v>3110</v>
      </c>
      <c r="D41" s="435">
        <v>100</v>
      </c>
      <c r="E41" s="616" t="s">
        <v>3110</v>
      </c>
      <c r="F41" s="461">
        <f>SUMIF(119:119,E41,120:120)-SUMIF(119:119,C41,120:120)+100</f>
        <v>100</v>
      </c>
      <c r="G41" s="616" t="s">
        <v>3110</v>
      </c>
      <c r="H41" s="435">
        <f>SUMIF(119:119,G41,120:120)-SUMIF(119:119,C41,120:120)+100</f>
        <v>100</v>
      </c>
      <c r="I41" s="616" t="s">
        <v>3110</v>
      </c>
      <c r="J41" s="435">
        <f>SUMIF(119:119,I41,120:120)-SUMIF(119:119,C41,120:120)+100</f>
        <v>100</v>
      </c>
      <c r="K41" s="612">
        <v>2</v>
      </c>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4">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4">
        <f t="shared" si="5"/>
        <v>1</v>
      </c>
    </row>
    <row r="43" spans="1:29" ht="15">
      <c r="A43" s="472"/>
      <c r="B43" s="422" t="s">
        <v>2672</v>
      </c>
      <c r="C43" s="460" t="s">
        <v>3093</v>
      </c>
      <c r="D43" s="435">
        <v>100</v>
      </c>
      <c r="E43" s="460" t="s">
        <v>3093</v>
      </c>
      <c r="F43" s="461">
        <f>SUMIF(123:123,E43,124:124)-SUMIF(123:123,C43,124:124)+100</f>
        <v>100</v>
      </c>
      <c r="G43" s="460" t="s">
        <v>3093</v>
      </c>
      <c r="H43" s="435">
        <f>SUMIF(123:123,G43,124:124)-SUMIF(123:123,C43,124:124)+100</f>
        <v>100</v>
      </c>
      <c r="I43" s="460" t="s">
        <v>3093</v>
      </c>
      <c r="J43" s="435">
        <f>SUMIF(123:123,I43,124:124)-SUMIF(123:123,C43,124:124)+100</f>
        <v>100</v>
      </c>
      <c r="K43" s="612">
        <v>2</v>
      </c>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4">
        <f t="shared" si="5"/>
        <v>1</v>
      </c>
    </row>
    <row r="44" spans="1:29" ht="15">
      <c r="A44" s="472"/>
      <c r="B44" s="422" t="s">
        <v>2580</v>
      </c>
      <c r="C44" s="460" t="s">
        <v>3088</v>
      </c>
      <c r="D44" s="435">
        <v>100</v>
      </c>
      <c r="E44" s="2613" t="s">
        <v>3088</v>
      </c>
      <c r="F44" s="461">
        <f>SUMIF(125:125,E44,126:126)-SUMIF(125:125,C44,126:126)+100</f>
        <v>100</v>
      </c>
      <c r="G44" s="2613" t="s">
        <v>3115</v>
      </c>
      <c r="H44" s="435">
        <f>SUMIF(125:125,G44,126:126)-SUMIF(125:125,C44,126:126)+100</f>
        <v>102</v>
      </c>
      <c r="I44" s="2613" t="s">
        <v>3088</v>
      </c>
      <c r="J44" s="435">
        <f>SUMIF(125:125,I44,126:126)-SUMIF(125:125,C44,126:126)+100</f>
        <v>100</v>
      </c>
      <c r="K44" s="612">
        <v>2</v>
      </c>
      <c r="L44" s="1140"/>
      <c r="M44" s="1131"/>
      <c r="N44" s="1131"/>
      <c r="O44" s="1131"/>
      <c r="P44" s="3230"/>
      <c r="Q44" s="1810" t="str">
        <f t="shared" si="11"/>
        <v>内部装修维护情况</v>
      </c>
      <c r="R44" s="774" t="s">
        <v>17</v>
      </c>
      <c r="S44" s="775">
        <f t="shared" si="12"/>
        <v>100</v>
      </c>
      <c r="T44" s="774" t="s">
        <v>17</v>
      </c>
      <c r="U44" s="775">
        <f t="shared" si="13"/>
        <v>102</v>
      </c>
      <c r="V44" s="774" t="s">
        <v>17</v>
      </c>
      <c r="W44" s="775">
        <f t="shared" si="14"/>
        <v>100</v>
      </c>
      <c r="X44" s="1813"/>
      <c r="Y44" s="3203"/>
      <c r="Z44" s="1814" t="str">
        <f t="shared" si="15"/>
        <v>内部装修维护情况</v>
      </c>
      <c r="AA44" s="1811">
        <f t="shared" si="3"/>
        <v>1</v>
      </c>
      <c r="AB44" s="1811">
        <f t="shared" si="4"/>
        <v>0.98039215686274506</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232"/>
      <c r="Z47" s="1814">
        <f t="shared" si="15"/>
        <v>111</v>
      </c>
      <c r="AA47" s="1811">
        <f t="shared" si="3"/>
        <v>1</v>
      </c>
      <c r="AB47" s="1811">
        <f t="shared" si="4"/>
        <v>1</v>
      </c>
      <c r="AC47" s="2674">
        <f t="shared" si="5"/>
        <v>1</v>
      </c>
    </row>
    <row r="48" spans="1:29" ht="15">
      <c r="A48" s="479" t="s">
        <v>2581</v>
      </c>
      <c r="B48" s="480"/>
      <c r="C48" s="1407" t="s">
        <v>1</v>
      </c>
      <c r="D48" s="1408"/>
      <c r="E48" s="1409">
        <v>3.85</v>
      </c>
      <c r="F48" s="1410"/>
      <c r="G48" s="1411">
        <v>3.5</v>
      </c>
      <c r="H48" s="1412"/>
      <c r="I48" s="1409">
        <v>3.6</v>
      </c>
      <c r="J48" s="485"/>
      <c r="K48" s="783"/>
      <c r="L48" s="1143"/>
      <c r="M48" s="1131"/>
      <c r="N48" s="1131"/>
      <c r="O48" s="1131"/>
      <c r="P48" s="3181" t="str">
        <f>A48</f>
        <v>成交单价（元/平方米）</v>
      </c>
      <c r="Q48" s="3182"/>
      <c r="R48" s="3223">
        <f>E48</f>
        <v>3.85</v>
      </c>
      <c r="S48" s="3223"/>
      <c r="T48" s="3223">
        <f>G48</f>
        <v>3.5</v>
      </c>
      <c r="U48" s="3223"/>
      <c r="V48" s="3223">
        <f>I48</f>
        <v>3.6</v>
      </c>
      <c r="W48" s="3223"/>
      <c r="X48" s="446"/>
      <c r="Y48" s="781"/>
      <c r="Z48" s="446"/>
      <c r="AA48" s="446"/>
      <c r="AB48" s="446"/>
      <c r="AC48" s="630"/>
    </row>
    <row r="49" spans="1:29" ht="15.75" thickBot="1">
      <c r="A49" s="486" t="s">
        <v>2673</v>
      </c>
      <c r="B49" s="487"/>
      <c r="C49" s="1413">
        <f>R50</f>
        <v>3.3</v>
      </c>
      <c r="D49" s="1414"/>
      <c r="E49" s="1415">
        <f>R49</f>
        <v>3.6</v>
      </c>
      <c r="F49" s="1415"/>
      <c r="G49" s="1413">
        <f>T49</f>
        <v>3.1</v>
      </c>
      <c r="H49" s="1414"/>
      <c r="I49" s="1415">
        <f>V49</f>
        <v>3.3</v>
      </c>
      <c r="J49" s="489"/>
      <c r="K49" s="784"/>
      <c r="L49" s="1143"/>
      <c r="M49" s="1131"/>
      <c r="N49" s="1131"/>
      <c r="O49" s="1131"/>
      <c r="P49" s="3181" t="str">
        <f>A49</f>
        <v>比较价值（元/平方米）</v>
      </c>
      <c r="Q49" s="3182"/>
      <c r="R49" s="3223">
        <f>IF(F1="售价",ROUND(PRODUCT(R48,AA7:AA47),0),ROUND(PRODUCT(R48,AA7:AA47),1))</f>
        <v>3.6</v>
      </c>
      <c r="S49" s="3223"/>
      <c r="T49" s="3223">
        <f>IF(F1="售价",ROUND(PRODUCT(T48,AB7:AB47),0),ROUND(PRODUCT(T48,AB7:AB47),1))</f>
        <v>3.1</v>
      </c>
      <c r="U49" s="3223"/>
      <c r="V49" s="3223">
        <f>IF(F1="售价",ROUND(PRODUCT(V48,AC7:AC47),0),ROUND(PRODUCT(V48,AC7:AC47),1))</f>
        <v>3.3</v>
      </c>
      <c r="W49" s="3223"/>
      <c r="X49" s="446"/>
      <c r="Y49" s="446"/>
      <c r="Z49" s="446"/>
      <c r="AA49" s="446"/>
      <c r="AB49" s="446"/>
      <c r="AC49" s="630"/>
    </row>
    <row r="50" spans="1:29" ht="15.75" thickBot="1">
      <c r="A50" s="492" t="s">
        <v>2674</v>
      </c>
      <c r="B50" s="493"/>
      <c r="C50" s="1417">
        <f>R50</f>
        <v>3.3</v>
      </c>
      <c r="D50" s="1417"/>
      <c r="E50" s="1417"/>
      <c r="F50" s="1417"/>
      <c r="G50" s="1417"/>
      <c r="H50" s="1417"/>
      <c r="I50" s="1417"/>
      <c r="J50" s="494"/>
      <c r="K50" s="785"/>
      <c r="L50" s="1143"/>
      <c r="M50" s="1131"/>
      <c r="N50" s="1131"/>
      <c r="O50" s="1131"/>
      <c r="P50" s="3224" t="str">
        <f>A50</f>
        <v>估价对象XX用房的比较价值（楼面单价，元/平方米）</v>
      </c>
      <c r="Q50" s="3225"/>
      <c r="R50" s="3226">
        <f>IF(F1="售价",ROUND(AVERAGE(R49:V49),0),ROUND(AVERAGE(R49:V49),1))</f>
        <v>3.3</v>
      </c>
      <c r="S50" s="3226"/>
      <c r="T50" s="3226"/>
      <c r="U50" s="3226"/>
      <c r="V50" s="3226"/>
      <c r="W50" s="322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2675</v>
      </c>
      <c r="D53" s="498"/>
      <c r="E53" s="499">
        <f>IF(E48&lt;E49,E49/E48-1,E48/E49-1)</f>
        <v>6.944444444444442E-2</v>
      </c>
      <c r="F53" s="500" t="str">
        <f>IF(OR(E53&gt;=0.3,E53&lt;=-0.3),"超过30%","")</f>
        <v/>
      </c>
      <c r="G53" s="499">
        <f>IF(G48&lt;G49,G49/G48-1,G48/G49-1)</f>
        <v>0.12903225806451601</v>
      </c>
      <c r="H53" s="500" t="str">
        <f>IF(OR(G53&gt;=0.3,G53&lt;=-0.3),"超过30%","")</f>
        <v/>
      </c>
      <c r="I53" s="499">
        <f>IF(I48&lt;I49,I49/I48-1,I48/I49-1)</f>
        <v>9.090909090909105E-2</v>
      </c>
      <c r="J53" s="500" t="str">
        <f>IF(OR(I53&gt;=0.3,I53&lt;=-0.3),"超过30%","")</f>
        <v/>
      </c>
      <c r="K53" s="1105"/>
      <c r="L53" s="1106"/>
      <c r="M53" s="1144"/>
      <c r="N53" s="1144"/>
      <c r="O53" s="1144"/>
    </row>
    <row r="54" spans="1:29" ht="13.5" customHeight="1">
      <c r="A54" s="1144"/>
      <c r="B54" s="1144"/>
      <c r="C54" s="497" t="s">
        <v>2676</v>
      </c>
      <c r="D54" s="501"/>
      <c r="E54" s="499">
        <f>IF(E49&lt;G49,G49/E49-1,E49/G49-1)</f>
        <v>0.16129032258064524</v>
      </c>
      <c r="F54" s="500" t="str">
        <f>IF(OR(E54&gt;=0.2,E54&lt;=-0.2),"超过20%","")</f>
        <v/>
      </c>
      <c r="G54" s="499">
        <f>IF(G49&lt;I49,I49/G49-1,G49/I49-1)</f>
        <v>6.4516129032258007E-2</v>
      </c>
      <c r="H54" s="500" t="str">
        <f>IF(OR(G54&gt;=0.2,G54&lt;=-0.2),"超过20%","")</f>
        <v/>
      </c>
      <c r="I54" s="499">
        <f>IF(I49&lt;E49,E49/I49-1,I49/E49-1)</f>
        <v>9.090909090909105E-2</v>
      </c>
      <c r="J54" s="500" t="str">
        <f>IF(OR(I54&gt;=0.2,I54&lt;=-0.2),"超过20%","")</f>
        <v/>
      </c>
      <c r="K54" s="1105"/>
      <c r="L54" s="1106"/>
      <c r="M54" s="1144"/>
      <c r="N54" s="1144"/>
      <c r="O54" s="1144"/>
    </row>
    <row r="55" spans="1:29" s="502" customFormat="1" ht="13.5" customHeight="1">
      <c r="A55" s="1145"/>
      <c r="B55" s="1145"/>
      <c r="C55" s="497" t="s">
        <v>2677</v>
      </c>
      <c r="D55" s="501"/>
      <c r="E55" s="499">
        <f>IF(E48&lt;G48,G48/E48-1,E48/G48-1)</f>
        <v>0.10000000000000009</v>
      </c>
      <c r="F55" s="500" t="str">
        <f>IF(OR(E55&gt;=0.3,E55&lt;=-0.3),"超过30%","")</f>
        <v/>
      </c>
      <c r="G55" s="499">
        <f>IF(G48&lt;I48,I48/G48-1,G48/I48-1)</f>
        <v>2.8571428571428692E-2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2678</v>
      </c>
      <c r="B58" s="759"/>
      <c r="C58" s="764"/>
      <c r="D58" s="764"/>
      <c r="E58" s="764"/>
      <c r="F58" s="765"/>
      <c r="G58" s="765"/>
      <c r="H58" s="764"/>
      <c r="I58" s="764"/>
      <c r="J58" s="764"/>
      <c r="K58" s="766"/>
      <c r="L58" s="1161"/>
      <c r="M58" s="1159"/>
      <c r="N58" s="1159"/>
      <c r="O58" s="1159"/>
      <c r="P58" s="2681"/>
      <c r="Q58" s="504"/>
    </row>
    <row r="59" spans="1:29" s="508" customFormat="1" ht="15">
      <c r="A59" s="505" t="s">
        <v>2552</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2592</v>
      </c>
      <c r="B64" s="528" t="s">
        <v>2558</v>
      </c>
      <c r="C64" s="529" t="str">
        <f>C9</f>
        <v>办公</v>
      </c>
      <c r="D64" s="2956" t="s">
        <v>3085</v>
      </c>
      <c r="E64" s="530"/>
      <c r="F64" s="530"/>
      <c r="G64" s="530"/>
      <c r="H64" s="530"/>
      <c r="I64" s="530"/>
      <c r="J64" s="530"/>
      <c r="K64" s="531"/>
      <c r="L64" s="532"/>
      <c r="M64" s="533"/>
      <c r="N64" s="1152"/>
      <c r="O64" s="1152"/>
      <c r="P64" s="2684"/>
      <c r="Q64" s="504"/>
    </row>
    <row r="65" spans="1:17" ht="15.75" thickBot="1">
      <c r="A65" s="534"/>
      <c r="B65" s="535"/>
      <c r="C65" s="536">
        <v>100</v>
      </c>
      <c r="D65" s="536">
        <v>98</v>
      </c>
      <c r="E65" s="536"/>
      <c r="F65" s="536"/>
      <c r="G65" s="536"/>
      <c r="H65" s="536"/>
      <c r="I65" s="536"/>
      <c r="J65" s="536"/>
      <c r="K65" s="536"/>
      <c r="L65" s="536"/>
      <c r="M65" s="537"/>
      <c r="N65" s="1153"/>
      <c r="O65" s="1153"/>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2562</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2703</v>
      </c>
      <c r="C87" s="2957" t="s">
        <v>3126</v>
      </c>
      <c r="D87" s="2957" t="s">
        <v>3121</v>
      </c>
      <c r="E87" s="2957" t="s">
        <v>3122</v>
      </c>
      <c r="F87" s="2957" t="s">
        <v>3123</v>
      </c>
      <c r="G87" s="2957" t="s">
        <v>3125</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2567</v>
      </c>
      <c r="B101" s="528" t="s">
        <v>2616</v>
      </c>
      <c r="C101" s="2956" t="s">
        <v>3117</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2617</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2618</v>
      </c>
      <c r="C106" s="2957" t="s">
        <v>3091</v>
      </c>
      <c r="D106" s="2957" t="s">
        <v>3092</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2620</v>
      </c>
      <c r="C108" s="2957" t="s">
        <v>3094</v>
      </c>
      <c r="D108" s="2957" t="s">
        <v>3095</v>
      </c>
      <c r="E108" s="2957" t="s">
        <v>3096</v>
      </c>
      <c r="F108" s="2958" t="s">
        <v>3097</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2704</v>
      </c>
      <c r="C113" s="2957" t="s">
        <v>3099</v>
      </c>
      <c r="D113" s="2957" t="s">
        <v>3100</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2621</v>
      </c>
      <c r="C115" s="2957" t="s">
        <v>3102</v>
      </c>
      <c r="D115" s="2957" t="s">
        <v>3103</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2622</v>
      </c>
      <c r="C117" s="2957" t="s">
        <v>3104</v>
      </c>
      <c r="D117" s="2957" t="s">
        <v>3105</v>
      </c>
      <c r="E117" s="2957" t="s">
        <v>3107</v>
      </c>
      <c r="F117" s="2957" t="s">
        <v>3108</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2705</v>
      </c>
      <c r="C119" s="2958" t="s">
        <v>3109</v>
      </c>
      <c r="D119" s="2958" t="s">
        <v>3111</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2688</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2624</v>
      </c>
      <c r="C123" s="2957" t="s">
        <v>3112</v>
      </c>
      <c r="D123" s="2957" t="s">
        <v>3114</v>
      </c>
      <c r="E123" s="2957" t="s">
        <v>3113</v>
      </c>
      <c r="F123" s="2958" t="s">
        <v>3097</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17" sqref="F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3077</v>
      </c>
      <c r="D1" s="1820" t="s">
        <v>3131</v>
      </c>
      <c r="E1" s="1821" t="s">
        <v>1387</v>
      </c>
      <c r="F1" s="1283">
        <f ca="1">J53</f>
        <v>45.11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26487</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16108</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1684</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1684</v>
      </c>
      <c r="D6" s="164" t="s">
        <v>3035</v>
      </c>
      <c r="E6" s="347" t="s">
        <v>1405</v>
      </c>
      <c r="F6" s="348">
        <f ca="1">INDIRECT("'数据-取费表'!u"&amp;$G$1)</f>
        <v>3.3</v>
      </c>
      <c r="G6" s="1851"/>
      <c r="H6" s="1291" t="s">
        <v>1035</v>
      </c>
      <c r="I6" s="3251" t="s">
        <v>1403</v>
      </c>
      <c r="J6" s="346">
        <f ca="1">ROUND(M6*M8*M7*(1-M9)/10000,0)</f>
        <v>0</v>
      </c>
      <c r="K6" s="164" t="s">
        <v>3034</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3044</v>
      </c>
      <c r="E10" s="358" t="s">
        <v>1410</v>
      </c>
      <c r="F10" s="1366" t="s">
        <v>3330</v>
      </c>
      <c r="G10" s="1851"/>
      <c r="H10" s="1291" t="s">
        <v>1039</v>
      </c>
      <c r="I10" s="1823" t="s">
        <v>1409</v>
      </c>
      <c r="J10" s="346">
        <f ca="1">ROUND(IF(M10="押一",J6/12*M11,IF(M10="押二",J6/12*2*M11,IF(M10="押三",J6/12*3*M11,J11*M11))),0)</f>
        <v>0</v>
      </c>
      <c r="K10" s="1824" t="s">
        <v>3043</v>
      </c>
      <c r="L10" s="358" t="s">
        <v>1410</v>
      </c>
      <c r="M10" s="1366" t="s">
        <v>3132</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7902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4933</v>
      </c>
      <c r="D14" s="1800" t="s">
        <v>1418</v>
      </c>
      <c r="E14" s="1794"/>
      <c r="F14" s="364"/>
      <c r="G14" s="1851"/>
      <c r="H14" s="1201" t="s">
        <v>1035</v>
      </c>
      <c r="I14" s="347" t="s">
        <v>1419</v>
      </c>
      <c r="J14" s="24">
        <f ca="1">C29</f>
        <v>7902</v>
      </c>
      <c r="K14" s="15"/>
      <c r="L14" s="979"/>
      <c r="M14" s="980"/>
    </row>
    <row r="15" spans="1:37" s="1858" customFormat="1" ht="18" customHeight="1" thickBot="1">
      <c r="A15" s="1201" t="s">
        <v>1036</v>
      </c>
      <c r="B15" s="347" t="s">
        <v>1420</v>
      </c>
      <c r="C15" s="24">
        <f ca="1">ROUND(C14*F15,0)</f>
        <v>148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226</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68.3</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74</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5497</v>
      </c>
      <c r="D19" s="140" t="s">
        <v>1436</v>
      </c>
      <c r="E19" s="1818"/>
      <c r="F19" s="26"/>
      <c r="G19" s="1851"/>
      <c r="H19" s="1201" t="s">
        <v>1036</v>
      </c>
      <c r="I19" s="347" t="s">
        <v>1437</v>
      </c>
      <c r="J19" s="24">
        <f ca="1">IF(K19="按租金收入计税",ROUND(J5*M19,2),ROUND(C29*M19*0.7,2))</f>
        <v>66.38</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110</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6268.3200000000006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158</v>
      </c>
      <c r="K22" s="1798"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266</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-226</v>
      </c>
      <c r="K25" s="1345" t="s">
        <v>1464</v>
      </c>
      <c r="L25" s="1346"/>
      <c r="M25" s="1347"/>
    </row>
    <row r="26" spans="1:37">
      <c r="A26" s="1201" t="s">
        <v>1034</v>
      </c>
      <c r="B26" s="347" t="s">
        <v>1465</v>
      </c>
      <c r="C26" s="24">
        <f ca="1">ROUND((C19+C20)*F26,0)</f>
        <v>1402</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5.0000000000000001E-3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7902</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501</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293.8</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89.81</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202.08</v>
      </c>
      <c r="D33" s="2978" t="s">
        <v>3329</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6268.3200000000006</v>
      </c>
      <c r="G35" s="1851"/>
      <c r="H35" s="745"/>
      <c r="I35" s="1860"/>
      <c r="J35" s="1861"/>
      <c r="K35" s="1862"/>
      <c r="L35" s="1859"/>
      <c r="M35" s="1859"/>
    </row>
    <row r="36" spans="1:18" ht="18" customHeight="1">
      <c r="A36" s="1352" t="s">
        <v>1039</v>
      </c>
      <c r="B36" s="347" t="s">
        <v>1449</v>
      </c>
      <c r="C36" s="24">
        <f ca="1">ROUND(C29*F36,1)</f>
        <v>158</v>
      </c>
      <c r="D36" s="1798"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15.8</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33.700000000000003</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1183</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26422</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16068</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-40330</v>
      </c>
      <c r="D46" s="1872" t="str">
        <f>C2</f>
        <v>万元</v>
      </c>
      <c r="E46" s="1866"/>
      <c r="F46" s="1866"/>
      <c r="I46" s="1873" t="s">
        <v>1521</v>
      </c>
      <c r="J46" s="1874"/>
      <c r="K46" s="1875"/>
      <c r="L46" s="1876">
        <f ca="1">IF(M47="住宅",0,IF(L48&gt;J51,L60,J60))</f>
        <v>65</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26422</v>
      </c>
      <c r="R47" s="1886" t="s">
        <v>1529</v>
      </c>
    </row>
    <row r="48" spans="1:18" s="1842" customFormat="1" ht="28.5" thickBot="1">
      <c r="A48" s="1360" t="s">
        <v>1135</v>
      </c>
      <c r="B48" s="345" t="s">
        <v>1401</v>
      </c>
      <c r="C48" s="1817">
        <f ca="1">C49+C53+C55</f>
        <v>0</v>
      </c>
      <c r="D48" s="1362"/>
      <c r="E48" s="1363"/>
      <c r="F48" s="1181"/>
      <c r="G48" s="792"/>
      <c r="H48" s="793"/>
      <c r="I48" s="1887" t="s">
        <v>1530</v>
      </c>
      <c r="J48" s="1888" t="s">
        <v>3133</v>
      </c>
      <c r="K48" s="1889" t="s">
        <v>1531</v>
      </c>
      <c r="L48" s="1890">
        <f ca="1">INDIRECT("'数据-取费表'!f"&amp;$G$1)</f>
        <v>45.61</v>
      </c>
      <c r="O48" s="1884" t="s">
        <v>1041</v>
      </c>
      <c r="P48" s="1885" t="s">
        <v>1532</v>
      </c>
      <c r="Q48" s="1886">
        <f ca="1">J60</f>
        <v>65</v>
      </c>
      <c r="R48" s="1886" t="s">
        <v>1533</v>
      </c>
    </row>
    <row r="49" spans="1:18" s="1842" customFormat="1" ht="13.5" thickBot="1">
      <c r="A49" s="1194" t="s">
        <v>1136</v>
      </c>
      <c r="B49" s="1829" t="s">
        <v>1490</v>
      </c>
      <c r="C49" s="1364">
        <f ca="1">ROUND(F49*F51*F50*(1-F52)/10000,0)</f>
        <v>0</v>
      </c>
      <c r="D49" s="1276" t="s">
        <v>3036</v>
      </c>
      <c r="E49" s="1830" t="s">
        <v>1491</v>
      </c>
      <c r="F49" s="1281"/>
      <c r="G49" s="1891"/>
      <c r="H49" s="793"/>
      <c r="I49" s="1887" t="s">
        <v>1534</v>
      </c>
      <c r="J49" s="1892">
        <v>2019</v>
      </c>
      <c r="K49" s="1889" t="s">
        <v>1535</v>
      </c>
      <c r="L49" s="1893"/>
      <c r="O49" s="1894" t="s">
        <v>1042</v>
      </c>
      <c r="P49" s="1885" t="s">
        <v>1536</v>
      </c>
      <c r="Q49" s="1886">
        <f ca="1">C29</f>
        <v>7902</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9122</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26487</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7902</v>
      </c>
      <c r="D56" s="1914"/>
      <c r="E56" s="1915"/>
      <c r="F56" s="1907"/>
      <c r="I56" s="1916" t="s">
        <v>1554</v>
      </c>
      <c r="J56" s="1917" t="s">
        <v>3134</v>
      </c>
      <c r="K56" s="1887" t="s">
        <v>1555</v>
      </c>
      <c r="L56" s="1890" t="str">
        <f ca="1">IF(L48&lt;J51,"——",L48-J53)</f>
        <v>——</v>
      </c>
      <c r="O56" s="1884" t="s">
        <v>1040</v>
      </c>
      <c r="P56" s="1885" t="s">
        <v>1528</v>
      </c>
      <c r="Q56" s="1886">
        <f ca="1">C40+J29</f>
        <v>26422</v>
      </c>
      <c r="R56" s="1886" t="s">
        <v>1529</v>
      </c>
    </row>
    <row r="57" spans="1:18" s="1842" customFormat="1" ht="24.75" thickBot="1">
      <c r="A57" s="1918"/>
      <c r="B57" s="1169" t="s">
        <v>1478</v>
      </c>
      <c r="C57" s="282">
        <f ca="1">C29</f>
        <v>7902</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840</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665.7</v>
      </c>
      <c r="D59" s="1182" t="s">
        <v>1430</v>
      </c>
      <c r="E59" s="1183" t="s">
        <v>1431</v>
      </c>
      <c r="F59" s="368" t="str">
        <f ca="1">IF(项目基本情况!B11="企业","",IF(INDIRECT("'数据-取费表'!c"&amp;$G$1)="住宅",5%,IF(F49*F50*F51/12/(1+'数据-取费表'!C42)&gt;20000,12%,7%)))</f>
        <v/>
      </c>
      <c r="I59" s="1922" t="s">
        <v>1563</v>
      </c>
      <c r="J59" s="1923">
        <f ca="1">IF(OR(M47="住宅",J51&lt;L48,J56="是"),"——",ROUND(C29*J58,0))</f>
        <v>3161</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65</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663.77</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26422</v>
      </c>
      <c r="R62" s="1886" t="s">
        <v>1047</v>
      </c>
    </row>
    <row r="63" spans="1:18" s="1842" customFormat="1" ht="13.5" thickBot="1">
      <c r="A63" s="372"/>
      <c r="B63" s="1175"/>
      <c r="C63" s="29"/>
      <c r="D63" s="1185"/>
      <c r="E63" s="1169" t="s">
        <v>1499</v>
      </c>
      <c r="F63" s="348">
        <f t="shared" ca="1" si="0"/>
        <v>6268.3200000000006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158</v>
      </c>
      <c r="D64" s="1183" t="s">
        <v>1502</v>
      </c>
      <c r="E64" s="1169" t="s">
        <v>1494</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15.8</v>
      </c>
      <c r="D65" s="1183" t="s">
        <v>1454</v>
      </c>
      <c r="E65" s="1169" t="s">
        <v>1455</v>
      </c>
      <c r="F65" s="376">
        <f t="shared" ca="1" si="0"/>
        <v>2E-3</v>
      </c>
      <c r="I65" s="1929" t="s">
        <v>1579</v>
      </c>
      <c r="J65" s="1930">
        <v>40</v>
      </c>
      <c r="K65" s="1930">
        <v>30</v>
      </c>
      <c r="L65" s="1930">
        <v>50</v>
      </c>
      <c r="M65" s="1932">
        <v>0.02</v>
      </c>
      <c r="O65" s="1884" t="s">
        <v>1040</v>
      </c>
      <c r="P65" s="1885" t="s">
        <v>1580</v>
      </c>
      <c r="Q65" s="1886">
        <f ca="1">C40+J29</f>
        <v>26422</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-840</v>
      </c>
      <c r="D67" s="1182" t="s">
        <v>1464</v>
      </c>
      <c r="E67" s="1187"/>
      <c r="F67" s="1188"/>
      <c r="O67" s="1894" t="s">
        <v>1042</v>
      </c>
      <c r="P67" s="1885" t="s">
        <v>1562</v>
      </c>
      <c r="Q67" s="1933">
        <f ca="1">L51</f>
        <v>9122</v>
      </c>
      <c r="R67" s="1886" t="s">
        <v>1582</v>
      </c>
    </row>
    <row r="68" spans="1:18" s="1842" customFormat="1" ht="16.5" thickBot="1">
      <c r="A68" s="1166" t="s">
        <v>1032</v>
      </c>
      <c r="B68" s="1167" t="s">
        <v>1485</v>
      </c>
      <c r="C68" s="346">
        <f ca="1">ROUND(C67*(1-((1+F70)/(1+F68))^F69)/(F68-F70),0)</f>
        <v>-13908</v>
      </c>
      <c r="D68" s="1184" t="s">
        <v>1469</v>
      </c>
      <c r="E68" s="1169" t="s">
        <v>1470</v>
      </c>
      <c r="F68" s="357">
        <f ca="1">F40</f>
        <v>5.5E-2</v>
      </c>
      <c r="O68" s="1894" t="s">
        <v>1043</v>
      </c>
      <c r="P68" s="1934" t="s">
        <v>1583</v>
      </c>
      <c r="Q68" s="1886">
        <f ca="1">ROUND(Q69-Q70*Q71,0)</f>
        <v>511</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1183</v>
      </c>
      <c r="R69" s="1886" t="s">
        <v>1529</v>
      </c>
    </row>
    <row r="70" spans="1:18" s="1842" customFormat="1" ht="13.5" thickBot="1">
      <c r="A70" s="1173"/>
      <c r="B70" s="1174"/>
      <c r="C70" s="355"/>
      <c r="D70" s="1185"/>
      <c r="E70" s="1169" t="s">
        <v>1477</v>
      </c>
      <c r="F70" s="1275"/>
      <c r="O70" s="1894" t="s">
        <v>1049</v>
      </c>
      <c r="P70" s="1934" t="s">
        <v>1585</v>
      </c>
      <c r="Q70" s="1886">
        <f ca="1">C13</f>
        <v>7902</v>
      </c>
      <c r="R70" s="1886" t="s">
        <v>1529</v>
      </c>
    </row>
    <row r="71" spans="1:18" s="1842" customFormat="1" ht="13.5" thickBot="1">
      <c r="A71" s="1190" t="s">
        <v>1033</v>
      </c>
      <c r="B71" s="1191" t="s">
        <v>1487</v>
      </c>
      <c r="C71" s="382">
        <f ca="1">ROUND(C68*10000/F71,0)</f>
        <v>-8458</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672</v>
      </c>
      <c r="D75" s="1842"/>
      <c r="E75" s="1842"/>
      <c r="F75" s="1842"/>
      <c r="K75" s="1868"/>
      <c r="L75" s="1842"/>
      <c r="O75" s="1884" t="s">
        <v>1046</v>
      </c>
      <c r="P75" s="1885" t="s">
        <v>1549</v>
      </c>
      <c r="Q75" s="1886">
        <f ca="1">Q65+Q66</f>
        <v>26422</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0.43200000000000005</v>
      </c>
    </row>
    <row r="80" spans="1:18">
      <c r="B80" s="386" t="s">
        <v>1511</v>
      </c>
      <c r="C80" s="318">
        <f ca="1">ROUND(C75/C39,3)</f>
        <v>0.56799999999999995</v>
      </c>
    </row>
    <row r="81" spans="2:3">
      <c r="B81" s="314" t="s">
        <v>1512</v>
      </c>
      <c r="C81" s="282"/>
    </row>
    <row r="82" spans="2:3">
      <c r="B82" s="317" t="s">
        <v>1513</v>
      </c>
      <c r="C82" s="319">
        <f ca="1">1-C83</f>
        <v>0.70100000000000007</v>
      </c>
    </row>
    <row r="83" spans="2:3">
      <c r="B83" s="317" t="s">
        <v>1514</v>
      </c>
      <c r="C83" s="318">
        <f ca="1">ROUND(C13/C40,3)</f>
        <v>0.29899999999999999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3032</v>
      </c>
      <c r="E6" s="347" t="s">
        <v>1405</v>
      </c>
      <c r="F6" s="348">
        <f ca="1">INDIRECT("'数据-取费表'!u"&amp;$G$1)</f>
        <v>0</v>
      </c>
      <c r="G6" s="1851"/>
      <c r="H6" s="1291" t="s">
        <v>1035</v>
      </c>
      <c r="I6" s="3251" t="s">
        <v>1403</v>
      </c>
      <c r="J6" s="346">
        <f ca="1">ROUND(M6*M8*M7*(1-M9),0)</f>
        <v>0</v>
      </c>
      <c r="K6" s="1834" t="s">
        <v>3033</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c r="G10" s="1851"/>
      <c r="H10" s="1291" t="s">
        <v>1039</v>
      </c>
      <c r="I10" s="1823" t="s">
        <v>1409</v>
      </c>
      <c r="J10" s="346">
        <f ca="1">ROUND(IF(M10="押一",J6/12*M11,IF(M10="押二",J6/12*2*M11,IF(M10="押三",J6/12*3*M11,J11*M11))),0)</f>
        <v>0</v>
      </c>
      <c r="K10" s="1835" t="s">
        <v>3045</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3046</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8" sqref="H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3131</v>
      </c>
      <c r="E1" s="1821" t="s">
        <v>1387</v>
      </c>
      <c r="F1" s="1283">
        <f ca="1">J53</f>
        <v>45.11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2652</v>
      </c>
      <c r="C2" s="1845" t="s">
        <v>1516</v>
      </c>
      <c r="D2" s="1845"/>
      <c r="E2" s="1846"/>
      <c r="F2" s="1847"/>
      <c r="G2" s="1848"/>
      <c r="H2" s="1840"/>
      <c r="I2" s="1840"/>
      <c r="J2" s="1840"/>
      <c r="K2" s="1841"/>
      <c r="L2" s="1840"/>
      <c r="M2" s="1840"/>
    </row>
    <row r="3" spans="1:37" ht="18" customHeight="1" thickBot="1">
      <c r="A3" s="1849" t="s">
        <v>1517</v>
      </c>
      <c r="B3" s="1850">
        <f ca="1">IF(ISERROR(B2*10000/F43),0,ROUND(B2*10000/F43,0))</f>
        <v>3088</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3035</v>
      </c>
      <c r="E6" s="347" t="s">
        <v>1405</v>
      </c>
      <c r="F6" s="348">
        <f ca="1">INDIRECT("'数据-取费表'!u"&amp;$G$1)</f>
        <v>0.8</v>
      </c>
      <c r="G6" s="1851"/>
      <c r="H6" s="1291" t="s">
        <v>1035</v>
      </c>
      <c r="I6" s="3251" t="s">
        <v>1403</v>
      </c>
      <c r="J6" s="346">
        <f ca="1">ROUND(M6*M8*M7*(1-M9)/10000,0)</f>
        <v>0</v>
      </c>
      <c r="K6" s="164" t="s">
        <v>3034</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3068</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2147</v>
      </c>
      <c r="D14" s="2944" t="s">
        <v>1418</v>
      </c>
      <c r="E14" s="2942"/>
      <c r="F14" s="364"/>
      <c r="G14" s="1851"/>
      <c r="H14" s="1201" t="s">
        <v>1035</v>
      </c>
      <c r="I14" s="347" t="s">
        <v>1419</v>
      </c>
      <c r="J14" s="24">
        <f ca="1">C29</f>
        <v>3068</v>
      </c>
      <c r="K14" s="2949"/>
      <c r="L14" s="979"/>
      <c r="M14" s="980"/>
    </row>
    <row r="15" spans="1:37" s="1858" customFormat="1" ht="18" customHeight="1" thickBot="1">
      <c r="A15" s="1201" t="s">
        <v>1036</v>
      </c>
      <c r="B15" s="347" t="s">
        <v>1420</v>
      </c>
      <c r="C15" s="24">
        <f ca="1">ROUND(C14*F15,0)</f>
        <v>64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73</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26.8</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32</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2422</v>
      </c>
      <c r="D19" s="140" t="s">
        <v>1436</v>
      </c>
      <c r="E19" s="2948"/>
      <c r="F19" s="26"/>
      <c r="G19" s="1851"/>
      <c r="H19" s="1201" t="s">
        <v>1036</v>
      </c>
      <c r="I19" s="347" t="s">
        <v>1437</v>
      </c>
      <c r="J19" s="24">
        <f ca="1">IF(K19="按租金收入计税",ROUND(J5*M19,2),ROUND(C29*M19*0.7,2))</f>
        <v>25.77</v>
      </c>
      <c r="K19" s="1828" t="s">
        <v>1438</v>
      </c>
      <c r="L19" s="347" t="s">
        <v>1422</v>
      </c>
      <c r="M19" s="367">
        <f>IF(K19="按租金收入计税",'数据-取费表'!B51,'数据-取费表'!B50)</f>
        <v>1.2E-2</v>
      </c>
    </row>
    <row r="20" spans="1:37" s="1858" customFormat="1" ht="18" customHeight="1">
      <c r="A20" s="1201" t="s">
        <v>1039</v>
      </c>
      <c r="B20" s="347" t="s">
        <v>1439</v>
      </c>
      <c r="C20" s="24">
        <f ca="1">ROUND(C19*F20,0)</f>
        <v>48</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46</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-73</v>
      </c>
      <c r="K25" s="1345" t="s">
        <v>1464</v>
      </c>
      <c r="L25" s="1346"/>
      <c r="M25" s="1347"/>
    </row>
    <row r="26" spans="1:37">
      <c r="A26" s="1201" t="s">
        <v>1034</v>
      </c>
      <c r="B26" s="347" t="s">
        <v>1465</v>
      </c>
      <c r="C26" s="24">
        <f ca="1">ROUND((C19+C20)*F26,0)</f>
        <v>247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3068</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92</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37.9</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8" t="s">
        <v>3329</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3273.73</v>
      </c>
      <c r="G35" s="1851"/>
      <c r="H35" s="745"/>
      <c r="I35" s="1860"/>
      <c r="J35" s="1861"/>
      <c r="K35" s="1862"/>
      <c r="L35" s="1859"/>
      <c r="M35" s="1859"/>
    </row>
    <row r="36" spans="1:18" ht="18" customHeight="1">
      <c r="A36" s="1352" t="s">
        <v>1039</v>
      </c>
      <c r="B36" s="347" t="s">
        <v>1449</v>
      </c>
      <c r="C36" s="24">
        <f ca="1">ROUND(C29*F36,1)</f>
        <v>46</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6.1</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121</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2627</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8.0000000000000002E-3</v>
      </c>
      <c r="G42" s="1851"/>
      <c r="H42" s="732"/>
      <c r="I42" s="1860"/>
      <c r="J42" s="1861"/>
      <c r="K42" s="751"/>
      <c r="L42" s="732"/>
      <c r="M42" s="732"/>
    </row>
    <row r="43" spans="1:18" ht="18" customHeight="1" thickBot="1">
      <c r="A43" s="380" t="s">
        <v>1033</v>
      </c>
      <c r="B43" s="381" t="s">
        <v>1487</v>
      </c>
      <c r="C43" s="382">
        <f ca="1">ROUND(C40*10000/F43,0)</f>
        <v>3059</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-8589</v>
      </c>
      <c r="D46" s="1872" t="str">
        <f>C2</f>
        <v>万元</v>
      </c>
      <c r="E46" s="1866"/>
      <c r="F46" s="1866"/>
      <c r="I46" s="1873" t="s">
        <v>1521</v>
      </c>
      <c r="J46" s="1874"/>
      <c r="K46" s="1875"/>
      <c r="L46" s="1876">
        <f ca="1">IF(M47="住宅",0,IF(L48&gt;J51,L60,J60))</f>
        <v>25</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2627</v>
      </c>
      <c r="R47" s="1886" t="s">
        <v>1529</v>
      </c>
    </row>
    <row r="48" spans="1:18" s="1842" customFormat="1" ht="28.5" thickBot="1">
      <c r="A48" s="1360" t="s">
        <v>1135</v>
      </c>
      <c r="B48" s="345" t="s">
        <v>1401</v>
      </c>
      <c r="C48" s="2947">
        <f ca="1">C49+C53+C55</f>
        <v>0</v>
      </c>
      <c r="D48" s="1362"/>
      <c r="E48" s="1363"/>
      <c r="F48" s="1181"/>
      <c r="G48" s="792"/>
      <c r="H48" s="793"/>
      <c r="I48" s="1887" t="s">
        <v>1530</v>
      </c>
      <c r="J48" s="1888" t="s">
        <v>3133</v>
      </c>
      <c r="K48" s="1889" t="s">
        <v>1531</v>
      </c>
      <c r="L48" s="1890">
        <f ca="1">INDIRECT("'数据-取费表'!f"&amp;$G$1)</f>
        <v>45.61</v>
      </c>
      <c r="O48" s="1884" t="s">
        <v>1041</v>
      </c>
      <c r="P48" s="1885" t="s">
        <v>1532</v>
      </c>
      <c r="Q48" s="1886">
        <f ca="1">J60</f>
        <v>25</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2019</v>
      </c>
      <c r="K49" s="1889" t="s">
        <v>1535</v>
      </c>
      <c r="L49" s="1893"/>
      <c r="O49" s="1894" t="s">
        <v>1042</v>
      </c>
      <c r="P49" s="1885" t="s">
        <v>1536</v>
      </c>
      <c r="Q49" s="1886">
        <f ca="1">C29</f>
        <v>3068</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-2689</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2652</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3068</v>
      </c>
      <c r="D56" s="1914"/>
      <c r="E56" s="1915"/>
      <c r="F56" s="1907"/>
      <c r="I56" s="1916" t="s">
        <v>1554</v>
      </c>
      <c r="J56" s="1917"/>
      <c r="K56" s="1887" t="s">
        <v>1555</v>
      </c>
      <c r="L56" s="1890" t="str">
        <f ca="1">IF(L48&lt;J51,"——",L48-J53)</f>
        <v>——</v>
      </c>
      <c r="O56" s="1884" t="s">
        <v>1040</v>
      </c>
      <c r="P56" s="1885" t="s">
        <v>1528</v>
      </c>
      <c r="Q56" s="1886">
        <f ca="1">C40+J29</f>
        <v>2627</v>
      </c>
      <c r="R56" s="1886" t="s">
        <v>1529</v>
      </c>
    </row>
    <row r="57" spans="1:18" s="1842" customFormat="1" ht="24.75" thickBot="1">
      <c r="A57" s="1918"/>
      <c r="B57" s="1169" t="s">
        <v>1478</v>
      </c>
      <c r="C57" s="282">
        <f ca="1">C29</f>
        <v>3068</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311</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258.7</v>
      </c>
      <c r="D59" s="1182" t="s">
        <v>1430</v>
      </c>
      <c r="E59" s="1183" t="s">
        <v>1431</v>
      </c>
      <c r="F59" s="368" t="str">
        <f ca="1">IF(项目基本情况!B11="企业","",IF(INDIRECT("'数据-取费表'!c"&amp;$G$1)="住宅",5%,IF(F49*F50*F51/12/(1+'数据-取费表'!C42)&gt;20000,12%,7%)))</f>
        <v/>
      </c>
      <c r="I59" s="1922" t="s">
        <v>1563</v>
      </c>
      <c r="J59" s="1923">
        <f ca="1">IF(OR(M47="住宅",J51&lt;L48,J56="是"),"——",ROUND(C29*J58,0))</f>
        <v>1227</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25</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257.70999999999998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2627</v>
      </c>
      <c r="R62" s="1886" t="s">
        <v>1047</v>
      </c>
    </row>
    <row r="63" spans="1:18" s="1842" customFormat="1" ht="13.5" thickBot="1">
      <c r="A63" s="372"/>
      <c r="B63" s="1175"/>
      <c r="C63" s="29"/>
      <c r="D63" s="1185"/>
      <c r="E63" s="1169" t="s">
        <v>1447</v>
      </c>
      <c r="F63" s="348">
        <f t="shared" ca="1" si="0"/>
        <v>3273.73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46</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6.1</v>
      </c>
      <c r="D65" s="1183" t="s">
        <v>1454</v>
      </c>
      <c r="E65" s="1169" t="s">
        <v>1422</v>
      </c>
      <c r="F65" s="376">
        <f t="shared" ca="1" si="0"/>
        <v>2E-3</v>
      </c>
      <c r="I65" s="1929" t="s">
        <v>1579</v>
      </c>
      <c r="J65" s="1930">
        <v>40</v>
      </c>
      <c r="K65" s="1930">
        <v>30</v>
      </c>
      <c r="L65" s="1930">
        <v>50</v>
      </c>
      <c r="M65" s="1932">
        <v>0.02</v>
      </c>
      <c r="O65" s="1884" t="s">
        <v>1040</v>
      </c>
      <c r="P65" s="1885" t="s">
        <v>1528</v>
      </c>
      <c r="Q65" s="1886">
        <f ca="1">C40+J29</f>
        <v>2627</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-311</v>
      </c>
      <c r="D67" s="1182" t="s">
        <v>1464</v>
      </c>
      <c r="E67" s="1187"/>
      <c r="F67" s="1188"/>
      <c r="O67" s="1894" t="s">
        <v>1042</v>
      </c>
      <c r="P67" s="1885" t="s">
        <v>1562</v>
      </c>
      <c r="Q67" s="1933">
        <f ca="1">L51</f>
        <v>-2689</v>
      </c>
      <c r="R67" s="1886" t="s">
        <v>1582</v>
      </c>
    </row>
    <row r="68" spans="1:18" s="1842" customFormat="1" ht="16.5" thickBot="1">
      <c r="A68" s="1166" t="s">
        <v>1032</v>
      </c>
      <c r="B68" s="1167" t="s">
        <v>1485</v>
      </c>
      <c r="C68" s="346">
        <f ca="1">ROUND(C67*(1-((1+F70)/(1+F68))^F69)/(F68-F70),0)</f>
        <v>-5962</v>
      </c>
      <c r="D68" s="1184" t="s">
        <v>1469</v>
      </c>
      <c r="E68" s="1169" t="s">
        <v>1470</v>
      </c>
      <c r="F68" s="357">
        <f ca="1">F40</f>
        <v>4.4999999999999998E-2</v>
      </c>
      <c r="O68" s="1894" t="s">
        <v>1043</v>
      </c>
      <c r="P68" s="1934" t="s">
        <v>1583</v>
      </c>
      <c r="Q68" s="1886">
        <f ca="1">ROUND(Q69-Q70*Q71,0)</f>
        <v>-140</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121</v>
      </c>
      <c r="R69" s="1886" t="s">
        <v>1529</v>
      </c>
    </row>
    <row r="70" spans="1:18" s="1842" customFormat="1" ht="13.5" thickBot="1">
      <c r="A70" s="1173"/>
      <c r="B70" s="1174"/>
      <c r="C70" s="355"/>
      <c r="D70" s="1185"/>
      <c r="E70" s="1169" t="s">
        <v>1477</v>
      </c>
      <c r="F70" s="1275"/>
      <c r="O70" s="1894" t="s">
        <v>1049</v>
      </c>
      <c r="P70" s="1934" t="s">
        <v>1585</v>
      </c>
      <c r="Q70" s="1886">
        <f ca="1">C13</f>
        <v>3068</v>
      </c>
      <c r="R70" s="1886" t="s">
        <v>1529</v>
      </c>
    </row>
    <row r="71" spans="1:18" s="1842" customFormat="1" ht="13.5" thickBot="1">
      <c r="A71" s="1190" t="s">
        <v>1033</v>
      </c>
      <c r="B71" s="1191" t="s">
        <v>1487</v>
      </c>
      <c r="C71" s="382">
        <f ca="1">ROUND(C68*10000/F71,0)</f>
        <v>-6942</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261</v>
      </c>
      <c r="D75" s="1842"/>
      <c r="E75" s="1842"/>
      <c r="F75" s="1842"/>
      <c r="K75" s="1868"/>
      <c r="L75" s="1842"/>
      <c r="O75" s="1884" t="s">
        <v>1046</v>
      </c>
      <c r="P75" s="1885" t="s">
        <v>1549</v>
      </c>
      <c r="Q75" s="1886">
        <f ca="1">Q65+Q66</f>
        <v>2627</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-1.157</v>
      </c>
    </row>
    <row r="80" spans="1:18">
      <c r="B80" s="386" t="s">
        <v>1511</v>
      </c>
      <c r="C80" s="318">
        <f ca="1">ROUND(C75/C39,3)</f>
        <v>2.157</v>
      </c>
    </row>
    <row r="81" spans="2:3">
      <c r="B81" s="314" t="s">
        <v>1512</v>
      </c>
      <c r="C81" s="282"/>
    </row>
    <row r="82" spans="2:3">
      <c r="B82" s="317" t="s">
        <v>1513</v>
      </c>
      <c r="C82" s="319">
        <f ca="1">1-C83</f>
        <v>-0.16799999999999993</v>
      </c>
    </row>
    <row r="83" spans="2:3">
      <c r="B83" s="317" t="s">
        <v>1514</v>
      </c>
      <c r="C83" s="318">
        <f ca="1">ROUND(C13/C40,3)</f>
        <v>1.1679999999999999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3080</v>
      </c>
      <c r="D1" s="1820" t="s">
        <v>3131</v>
      </c>
      <c r="E1" s="1821" t="s">
        <v>1387</v>
      </c>
      <c r="F1" s="1283">
        <f ca="1">J53</f>
        <v>45.11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2498</v>
      </c>
      <c r="C2" s="1845" t="s">
        <v>1516</v>
      </c>
      <c r="D2" s="1845"/>
      <c r="E2" s="1846"/>
      <c r="F2" s="1847"/>
      <c r="G2" s="1848"/>
      <c r="H2" s="1840"/>
      <c r="I2" s="1840"/>
      <c r="J2" s="1840"/>
      <c r="K2" s="1841"/>
      <c r="L2" s="1840"/>
      <c r="M2" s="1840"/>
    </row>
    <row r="3" spans="1:37" ht="18" customHeight="1" thickBot="1">
      <c r="A3" s="1849" t="s">
        <v>1517</v>
      </c>
      <c r="B3" s="1850">
        <f ca="1">IF(ISERROR(B2*10000/F43),0,ROUND(B2*10000/F43,0))</f>
        <v>3984</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3035</v>
      </c>
      <c r="E6" s="347" t="s">
        <v>1405</v>
      </c>
      <c r="F6" s="348">
        <f ca="1">INDIRECT("'数据-取费表'!u"&amp;$G$1)</f>
        <v>1</v>
      </c>
      <c r="G6" s="1851"/>
      <c r="H6" s="1291" t="s">
        <v>1035</v>
      </c>
      <c r="I6" s="3251" t="s">
        <v>1403</v>
      </c>
      <c r="J6" s="346">
        <f ca="1">ROUND(M6*M8*M7*(1-M9)/10000,0)</f>
        <v>0</v>
      </c>
      <c r="K6" s="164" t="s">
        <v>3034</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6269.49</v>
      </c>
      <c r="G7" s="1851"/>
      <c r="H7" s="349"/>
      <c r="I7" s="3252"/>
      <c r="J7" s="351"/>
      <c r="K7" s="352"/>
      <c r="L7" s="347" t="s">
        <v>1406</v>
      </c>
      <c r="M7" s="348">
        <f ca="1">F7</f>
        <v>6269.49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2988" t="s">
        <v>3330</v>
      </c>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2240</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1567</v>
      </c>
      <c r="D14" s="2944" t="s">
        <v>1418</v>
      </c>
      <c r="E14" s="2942"/>
      <c r="F14" s="364"/>
      <c r="G14" s="1851"/>
      <c r="H14" s="1201" t="s">
        <v>1035</v>
      </c>
      <c r="I14" s="347" t="s">
        <v>1419</v>
      </c>
      <c r="J14" s="24">
        <f ca="1">C29</f>
        <v>2240</v>
      </c>
      <c r="K14" s="2949"/>
      <c r="L14" s="979"/>
      <c r="M14" s="980"/>
    </row>
    <row r="15" spans="1:37" s="1858" customFormat="1" ht="18" customHeight="1" thickBot="1">
      <c r="A15" s="1201" t="s">
        <v>1036</v>
      </c>
      <c r="B15" s="347" t="s">
        <v>1420</v>
      </c>
      <c r="C15" s="24">
        <f ca="1">ROUND(C14*F15,0)</f>
        <v>47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53</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19.5</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1768</v>
      </c>
      <c r="D19" s="140" t="s">
        <v>1436</v>
      </c>
      <c r="E19" s="2948"/>
      <c r="F19" s="26"/>
      <c r="G19" s="1851"/>
      <c r="H19" s="1201" t="s">
        <v>1036</v>
      </c>
      <c r="I19" s="347" t="s">
        <v>1437</v>
      </c>
      <c r="J19" s="24">
        <f ca="1">IF(K19="按租金收入计税",ROUND(J5*M19,2),ROUND(C29*M19*0.7,2))</f>
        <v>18.82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35</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33.6</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-53</v>
      </c>
      <c r="K25" s="1345" t="s">
        <v>1464</v>
      </c>
      <c r="L25" s="1346"/>
      <c r="M25" s="1347"/>
    </row>
    <row r="26" spans="1:37">
      <c r="A26" s="1201" t="s">
        <v>1034</v>
      </c>
      <c r="B26" s="347" t="s">
        <v>1465</v>
      </c>
      <c r="C26" s="24">
        <f ca="1">ROUND((C19+C20)*F26,0)</f>
        <v>180</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2240</v>
      </c>
      <c r="D29" s="1342"/>
      <c r="E29" s="1340"/>
      <c r="F29" s="1343"/>
      <c r="G29" s="1854"/>
      <c r="H29" s="380" t="s">
        <v>1033</v>
      </c>
      <c r="I29" s="381" t="s">
        <v>1479</v>
      </c>
      <c r="J29" s="382">
        <f ca="1">ROUND(J26/(1+F40)^F41,0)</f>
        <v>0</v>
      </c>
      <c r="K29" s="383" t="s">
        <v>1480</v>
      </c>
      <c r="L29" s="384"/>
      <c r="M29" s="385">
        <f ca="1">INDIRECT("'数据-取费表'!k"&amp;$G$1)</f>
        <v>6269.49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75</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34.5</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8" t="s">
        <v>3329</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2389.8900000000003</v>
      </c>
      <c r="G35" s="1851"/>
      <c r="H35" s="745"/>
      <c r="I35" s="1860"/>
      <c r="J35" s="1861"/>
      <c r="K35" s="1862"/>
      <c r="L35" s="1859"/>
      <c r="M35" s="1859"/>
    </row>
    <row r="36" spans="1:18" ht="18" customHeight="1">
      <c r="A36" s="1352" t="s">
        <v>1039</v>
      </c>
      <c r="B36" s="347" t="s">
        <v>1449</v>
      </c>
      <c r="C36" s="24">
        <f ca="1">ROUND(C29*F36,1)</f>
        <v>33.6</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120</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2480</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3956</v>
      </c>
      <c r="D43" s="383" t="s">
        <v>1488</v>
      </c>
      <c r="E43" s="384" t="s">
        <v>1489</v>
      </c>
      <c r="F43" s="385">
        <f ca="1">INDIRECT("'数据-取费表'!k"&amp;$G$1)</f>
        <v>6269.49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-6517</v>
      </c>
      <c r="D46" s="1872" t="str">
        <f>C2</f>
        <v>万元</v>
      </c>
      <c r="E46" s="1866"/>
      <c r="F46" s="1866"/>
      <c r="I46" s="1873" t="s">
        <v>1521</v>
      </c>
      <c r="J46" s="1874"/>
      <c r="K46" s="1875"/>
      <c r="L46" s="1876">
        <f ca="1">IF(M47="住宅",0,IF(L48&gt;J51,L60,J60))</f>
        <v>18</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2480</v>
      </c>
      <c r="R47" s="1886" t="s">
        <v>1529</v>
      </c>
    </row>
    <row r="48" spans="1:18" s="1842" customFormat="1" ht="28.5" thickBot="1">
      <c r="A48" s="1360" t="s">
        <v>1135</v>
      </c>
      <c r="B48" s="345" t="s">
        <v>1401</v>
      </c>
      <c r="C48" s="2947">
        <f ca="1">C49+C53+C55</f>
        <v>0</v>
      </c>
      <c r="D48" s="1362"/>
      <c r="E48" s="1363"/>
      <c r="F48" s="1181"/>
      <c r="G48" s="792"/>
      <c r="H48" s="793"/>
      <c r="I48" s="1887" t="s">
        <v>1530</v>
      </c>
      <c r="J48" s="1888" t="s">
        <v>3133</v>
      </c>
      <c r="K48" s="1889" t="s">
        <v>1531</v>
      </c>
      <c r="L48" s="1890">
        <f ca="1">INDIRECT("'数据-取费表'!f"&amp;$G$1)</f>
        <v>45.61</v>
      </c>
      <c r="O48" s="1884" t="s">
        <v>1041</v>
      </c>
      <c r="P48" s="1885" t="s">
        <v>1532</v>
      </c>
      <c r="Q48" s="1886">
        <f ca="1">J60</f>
        <v>18</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2019</v>
      </c>
      <c r="K49" s="1889" t="s">
        <v>1535</v>
      </c>
      <c r="L49" s="1893"/>
      <c r="O49" s="1894" t="s">
        <v>1042</v>
      </c>
      <c r="P49" s="1885" t="s">
        <v>1536</v>
      </c>
      <c r="Q49" s="1886">
        <f ca="1">C29</f>
        <v>2240</v>
      </c>
      <c r="R49" s="1886" t="s">
        <v>1529</v>
      </c>
    </row>
    <row r="50" spans="1:18" s="1842" customFormat="1" ht="13.5" thickBot="1">
      <c r="A50" s="1195"/>
      <c r="B50" s="1198"/>
      <c r="C50" s="1368"/>
      <c r="D50" s="1172"/>
      <c r="E50" s="1277" t="s">
        <v>1406</v>
      </c>
      <c r="F50" s="1278">
        <f ca="1">F7</f>
        <v>6269.49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-1354</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2498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2240</v>
      </c>
      <c r="D56" s="1914"/>
      <c r="E56" s="1915"/>
      <c r="F56" s="1907"/>
      <c r="I56" s="1916" t="s">
        <v>1554</v>
      </c>
      <c r="J56" s="1917" t="s">
        <v>3134</v>
      </c>
      <c r="K56" s="1887" t="s">
        <v>1555</v>
      </c>
      <c r="L56" s="1890" t="str">
        <f ca="1">IF(L48&lt;J51,"——",L48-J53)</f>
        <v>——</v>
      </c>
      <c r="O56" s="1884" t="s">
        <v>1040</v>
      </c>
      <c r="P56" s="1885" t="s">
        <v>1528</v>
      </c>
      <c r="Q56" s="1886">
        <f ca="1">C40+J29</f>
        <v>2480</v>
      </c>
      <c r="R56" s="1886" t="s">
        <v>1529</v>
      </c>
    </row>
    <row r="57" spans="1:18" s="1842" customFormat="1" ht="24.75" thickBot="1">
      <c r="A57" s="1918"/>
      <c r="B57" s="1169" t="s">
        <v>1478</v>
      </c>
      <c r="C57" s="282">
        <f ca="1">C29</f>
        <v>2240</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227</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188.9</v>
      </c>
      <c r="D59" s="1182" t="s">
        <v>1430</v>
      </c>
      <c r="E59" s="1183" t="s">
        <v>1431</v>
      </c>
      <c r="F59" s="368" t="str">
        <f ca="1">IF(项目基本情况!B11="企业","",IF(INDIRECT("'数据-取费表'!c"&amp;$G$1)="住宅",5%,IF(F49*F50*F51/12/(1+'数据-取费表'!C42)&gt;20000,12%,7%)))</f>
        <v/>
      </c>
      <c r="I59" s="1922" t="s">
        <v>1563</v>
      </c>
      <c r="J59" s="1923">
        <f ca="1">IF(OR(M47="住宅",J51&lt;L48,J56="是"),"——",ROUND(C29*J58,0))</f>
        <v>896</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18</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188.16</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2480</v>
      </c>
      <c r="R62" s="1886" t="s">
        <v>1047</v>
      </c>
    </row>
    <row r="63" spans="1:18" s="1842" customFormat="1" ht="13.5" thickBot="1">
      <c r="A63" s="372"/>
      <c r="B63" s="1175"/>
      <c r="C63" s="29"/>
      <c r="D63" s="1185"/>
      <c r="E63" s="1169" t="s">
        <v>1447</v>
      </c>
      <c r="F63" s="348">
        <f t="shared" ca="1" si="0"/>
        <v>2389.8900000000003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33.6</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v>
      </c>
      <c r="D65" s="1183" t="s">
        <v>1454</v>
      </c>
      <c r="E65" s="1169" t="s">
        <v>1422</v>
      </c>
      <c r="F65" s="376">
        <f t="shared" ca="1" si="0"/>
        <v>2E-3</v>
      </c>
      <c r="I65" s="1929" t="s">
        <v>1579</v>
      </c>
      <c r="J65" s="1930">
        <v>40</v>
      </c>
      <c r="K65" s="1930">
        <v>30</v>
      </c>
      <c r="L65" s="1930">
        <v>50</v>
      </c>
      <c r="M65" s="1932">
        <v>0.02</v>
      </c>
      <c r="O65" s="1884" t="s">
        <v>1040</v>
      </c>
      <c r="P65" s="1885" t="s">
        <v>1528</v>
      </c>
      <c r="Q65" s="1886">
        <f ca="1">C40+J29</f>
        <v>2480</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-227</v>
      </c>
      <c r="D67" s="1182" t="s">
        <v>1464</v>
      </c>
      <c r="E67" s="1187"/>
      <c r="F67" s="1188"/>
      <c r="O67" s="1894" t="s">
        <v>1042</v>
      </c>
      <c r="P67" s="1885" t="s">
        <v>1562</v>
      </c>
      <c r="Q67" s="1933">
        <f ca="1">L51</f>
        <v>-1354</v>
      </c>
      <c r="R67" s="1886" t="s">
        <v>1582</v>
      </c>
    </row>
    <row r="68" spans="1:18" s="1842" customFormat="1" ht="16.5" thickBot="1">
      <c r="A68" s="1166" t="s">
        <v>1032</v>
      </c>
      <c r="B68" s="1167" t="s">
        <v>1485</v>
      </c>
      <c r="C68" s="346">
        <f ca="1">ROUND(C67*(1-((1+F70)/(1+F68))^F69)/(F68-F70),0)</f>
        <v>-4037</v>
      </c>
      <c r="D68" s="1184" t="s">
        <v>1469</v>
      </c>
      <c r="E68" s="1169" t="s">
        <v>1470</v>
      </c>
      <c r="F68" s="357">
        <f ca="1">F40</f>
        <v>0.05</v>
      </c>
      <c r="O68" s="1894" t="s">
        <v>1043</v>
      </c>
      <c r="P68" s="1934" t="s">
        <v>1583</v>
      </c>
      <c r="Q68" s="1886">
        <f ca="1">ROUND(Q69-Q70*Q71,0)</f>
        <v>-70</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120</v>
      </c>
      <c r="R69" s="1886" t="s">
        <v>1529</v>
      </c>
    </row>
    <row r="70" spans="1:18" s="1842" customFormat="1" ht="13.5" thickBot="1">
      <c r="A70" s="1173"/>
      <c r="B70" s="1174"/>
      <c r="C70" s="355"/>
      <c r="D70" s="1185"/>
      <c r="E70" s="1169" t="s">
        <v>1477</v>
      </c>
      <c r="F70" s="1275"/>
      <c r="O70" s="1894" t="s">
        <v>1049</v>
      </c>
      <c r="P70" s="1934" t="s">
        <v>1585</v>
      </c>
      <c r="Q70" s="1886">
        <f ca="1">C13</f>
        <v>2240</v>
      </c>
      <c r="R70" s="1886" t="s">
        <v>1529</v>
      </c>
    </row>
    <row r="71" spans="1:18" s="1842" customFormat="1" ht="13.5" thickBot="1">
      <c r="A71" s="1190" t="s">
        <v>1033</v>
      </c>
      <c r="B71" s="1191" t="s">
        <v>1487</v>
      </c>
      <c r="C71" s="382">
        <f ca="1">ROUND(C68*10000/F71,0)</f>
        <v>-6439</v>
      </c>
      <c r="D71" s="1192" t="s">
        <v>1488</v>
      </c>
      <c r="E71" s="1193" t="s">
        <v>1489</v>
      </c>
      <c r="F71" s="385">
        <f ca="1">F43</f>
        <v>6269.49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190</v>
      </c>
      <c r="D75" s="1842"/>
      <c r="E75" s="1842"/>
      <c r="F75" s="1842"/>
      <c r="K75" s="1868"/>
      <c r="L75" s="1842"/>
      <c r="O75" s="1884" t="s">
        <v>1046</v>
      </c>
      <c r="P75" s="1885" t="s">
        <v>1549</v>
      </c>
      <c r="Q75" s="1886">
        <f ca="1">Q65+Q66</f>
        <v>2480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-0.58299999999999996</v>
      </c>
    </row>
    <row r="80" spans="1:18">
      <c r="B80" s="386" t="s">
        <v>1511</v>
      </c>
      <c r="C80" s="318">
        <f ca="1">ROUND(C75/C39,3)</f>
        <v>1.583</v>
      </c>
    </row>
    <row r="81" spans="2:3">
      <c r="B81" s="314" t="s">
        <v>1512</v>
      </c>
      <c r="C81" s="282"/>
    </row>
    <row r="82" spans="2:3">
      <c r="B82" s="317" t="s">
        <v>1513</v>
      </c>
      <c r="C82" s="319">
        <f ca="1">1-C83</f>
        <v>9.6999999999999975E-2</v>
      </c>
    </row>
    <row r="83" spans="2:3">
      <c r="B83" s="317" t="s">
        <v>1514</v>
      </c>
      <c r="C83" s="318">
        <f ca="1">ROUND(C13/C40,3)</f>
        <v>0.90300000000000002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2530</v>
      </c>
      <c r="B1" s="2562"/>
      <c r="C1" s="2562"/>
      <c r="D1" s="2562"/>
      <c r="E1" s="2563"/>
    </row>
    <row r="2" spans="1:6" ht="15.75">
      <c r="A2" s="2564" t="s">
        <v>2333</v>
      </c>
      <c r="B2" s="2565">
        <f ca="1">SUMIF(B6:B13,"&lt;&gt;#ref!",B6:B13)</f>
        <v>31637</v>
      </c>
      <c r="C2" s="2566" t="s">
        <v>2523</v>
      </c>
      <c r="D2" s="2567" t="s">
        <v>2524</v>
      </c>
      <c r="E2" s="2568">
        <f>SUM(E6:E13)</f>
        <v>32573.119999999999</v>
      </c>
    </row>
    <row r="3" spans="1:6" ht="15.75">
      <c r="A3" s="2564" t="s">
        <v>1395</v>
      </c>
      <c r="B3" s="2565">
        <f ca="1">ROUND(B2*10000/E2,0)</f>
        <v>9713</v>
      </c>
      <c r="C3" s="2566" t="s">
        <v>2531</v>
      </c>
      <c r="D3" s="2569"/>
      <c r="E3" s="2570"/>
    </row>
    <row r="4" spans="1:6" ht="15.75">
      <c r="A4" s="2571"/>
      <c r="B4" s="2569"/>
      <c r="C4" s="2569"/>
      <c r="D4" s="2569"/>
      <c r="E4" s="2570"/>
    </row>
    <row r="5" spans="1:6" ht="15">
      <c r="A5" s="2572" t="s">
        <v>2525</v>
      </c>
      <c r="B5" s="3254" t="s">
        <v>2526</v>
      </c>
      <c r="C5" s="3254"/>
      <c r="D5" s="2573"/>
      <c r="E5" s="2574" t="s">
        <v>2527</v>
      </c>
      <c r="F5" s="2575" t="s">
        <v>2528</v>
      </c>
    </row>
    <row r="6" spans="1:6">
      <c r="A6" s="2576" t="str">
        <f>'数据-取费表'!AN6</f>
        <v>收益法（办公）</v>
      </c>
      <c r="B6" s="2575">
        <f ca="1">IF(F6="是",'数据-取费表'!AO6,0)</f>
        <v>26487</v>
      </c>
      <c r="C6" s="2566" t="s">
        <v>2523</v>
      </c>
      <c r="D6" s="2569"/>
      <c r="E6" s="2577">
        <f>IF(OR(A6=0,F6="否"),0,'数据-取费表'!K6+'数据-取费表'!S6)</f>
        <v>17111.939999999999</v>
      </c>
      <c r="F6" s="2578" t="s">
        <v>2529</v>
      </c>
    </row>
    <row r="7" spans="1:6">
      <c r="A7" s="2576" t="str">
        <f>'数据-取费表'!AN7</f>
        <v>收益法 (车库)</v>
      </c>
      <c r="B7" s="2575">
        <f ca="1">IF(F7="是",'数据-取费表'!AO7,0)</f>
        <v>2652</v>
      </c>
      <c r="C7" s="2566" t="s">
        <v>2523</v>
      </c>
      <c r="D7" s="2569"/>
      <c r="E7" s="2577">
        <f>IF(OR(A7=0,F7="否"),0,'数据-取费表'!K7+'数据-取费表'!S7)</f>
        <v>8936.99</v>
      </c>
      <c r="F7" s="2578" t="s">
        <v>2529</v>
      </c>
    </row>
    <row r="8" spans="1:6">
      <c r="A8" s="2576" t="str">
        <f>'数据-取费表'!AN8</f>
        <v>收益法（仓储）</v>
      </c>
      <c r="B8" s="2575">
        <f ca="1">IF(F8="是",'数据-取费表'!AO8,0)</f>
        <v>2498</v>
      </c>
      <c r="C8" s="2566" t="s">
        <v>2523</v>
      </c>
      <c r="D8" s="2569"/>
      <c r="E8" s="2577">
        <f>IF(OR(A8=0,F8="否"),0,'数据-取费表'!K8+'数据-取费表'!S8)</f>
        <v>6524.19</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1" t="s">
        <v>1079</v>
      </c>
      <c r="E2" s="1301" t="s">
        <v>1080</v>
      </c>
      <c r="F2" s="1301" t="s">
        <v>1081</v>
      </c>
      <c r="G2" s="1301" t="s">
        <v>1082</v>
      </c>
      <c r="H2" s="1301" t="s">
        <v>1083</v>
      </c>
      <c r="I2" s="1302" t="s">
        <v>1084</v>
      </c>
    </row>
    <row r="3" spans="1:9">
      <c r="A3" s="3261"/>
      <c r="B3" s="3262" t="s">
        <v>1085</v>
      </c>
      <c r="C3" s="3262"/>
      <c r="D3" s="1303"/>
      <c r="E3" s="1301"/>
      <c r="F3" s="1304"/>
      <c r="G3" s="1304"/>
      <c r="H3" s="1305"/>
      <c r="I3" s="1306">
        <f>ROUND(D3*E3*F3*G3*H3/10000,0)</f>
        <v>0</v>
      </c>
    </row>
    <row r="4" spans="1:9">
      <c r="A4" s="3261"/>
      <c r="B4" s="3262" t="s">
        <v>1086</v>
      </c>
      <c r="C4" s="3262"/>
      <c r="D4" s="1303"/>
      <c r="E4" s="1301"/>
      <c r="F4" s="1304"/>
      <c r="G4" s="1304"/>
      <c r="H4" s="1305"/>
      <c r="I4" s="1306">
        <f t="shared" ref="I4:I9" si="0">ROUND(D4*E4*F4*G4*H4/10000,0)</f>
        <v>0</v>
      </c>
    </row>
    <row r="5" spans="1:9">
      <c r="A5" s="3261"/>
      <c r="B5" s="3262" t="s">
        <v>1087</v>
      </c>
      <c r="C5" s="3262"/>
      <c r="D5" s="1303"/>
      <c r="E5" s="1301"/>
      <c r="F5" s="1304"/>
      <c r="G5" s="1304"/>
      <c r="H5" s="1305"/>
      <c r="I5" s="1306">
        <f t="shared" si="0"/>
        <v>0</v>
      </c>
    </row>
    <row r="6" spans="1:9">
      <c r="A6" s="3261"/>
      <c r="B6" s="3262" t="s">
        <v>1088</v>
      </c>
      <c r="C6" s="3262"/>
      <c r="D6" s="1303"/>
      <c r="E6" s="1301"/>
      <c r="F6" s="1304"/>
      <c r="G6" s="1304"/>
      <c r="H6" s="1305"/>
      <c r="I6" s="1306">
        <f t="shared" si="0"/>
        <v>0</v>
      </c>
    </row>
    <row r="7" spans="1:9">
      <c r="A7" s="3261"/>
      <c r="B7" s="3262" t="s">
        <v>1089</v>
      </c>
      <c r="C7" s="3262"/>
      <c r="D7" s="1303"/>
      <c r="E7" s="1301"/>
      <c r="F7" s="1304"/>
      <c r="G7" s="1304"/>
      <c r="H7" s="1305"/>
      <c r="I7" s="1306">
        <f t="shared" si="0"/>
        <v>0</v>
      </c>
    </row>
    <row r="8" spans="1:9">
      <c r="A8" s="3261"/>
      <c r="B8" s="3262" t="s">
        <v>1090</v>
      </c>
      <c r="C8" s="3262"/>
      <c r="D8" s="1303"/>
      <c r="E8" s="1301"/>
      <c r="F8" s="1304"/>
      <c r="G8" s="1304"/>
      <c r="H8" s="1305"/>
      <c r="I8" s="1306">
        <f t="shared" si="0"/>
        <v>0</v>
      </c>
    </row>
    <row r="9" spans="1:9">
      <c r="A9" s="3261"/>
      <c r="B9" s="3262" t="s">
        <v>1091</v>
      </c>
      <c r="C9" s="3262"/>
      <c r="D9" s="1303"/>
      <c r="E9" s="1301"/>
      <c r="F9" s="1304"/>
      <c r="G9" s="1304"/>
      <c r="H9" s="1305"/>
      <c r="I9" s="1306">
        <f t="shared" si="0"/>
        <v>0</v>
      </c>
    </row>
    <row r="10" spans="1:9">
      <c r="A10" s="3261"/>
      <c r="B10" s="3263" t="s">
        <v>1092</v>
      </c>
      <c r="C10" s="3263"/>
      <c r="D10" s="1307"/>
      <c r="E10" s="1307" t="e">
        <f>ROUND(D1*10000/D10/H9,0)</f>
        <v>#DIV/0!</v>
      </c>
      <c r="F10" s="1308"/>
      <c r="G10" s="1308"/>
      <c r="H10" s="1309"/>
      <c r="I10" s="1310">
        <f>SUM(I3:I9)</f>
        <v>0</v>
      </c>
    </row>
    <row r="11" spans="1:9" ht="14.25">
      <c r="A11" s="3261" t="s">
        <v>1093</v>
      </c>
      <c r="B11" s="3262" t="s">
        <v>1094</v>
      </c>
      <c r="C11" s="3262"/>
      <c r="D11" s="1303" t="s">
        <v>1095</v>
      </c>
      <c r="E11" s="1303" t="s">
        <v>1096</v>
      </c>
      <c r="F11" s="1304" t="s">
        <v>1097</v>
      </c>
      <c r="G11" s="1304" t="s">
        <v>1083</v>
      </c>
      <c r="H11" s="1311" t="s">
        <v>1098</v>
      </c>
      <c r="I11" s="1302" t="s">
        <v>1084</v>
      </c>
    </row>
    <row r="12" spans="1:9">
      <c r="A12" s="3261"/>
      <c r="B12" s="3262" t="s">
        <v>1099</v>
      </c>
      <c r="C12" s="3262"/>
      <c r="D12" s="1303"/>
      <c r="E12" s="1303"/>
      <c r="F12" s="1304"/>
      <c r="G12" s="1305"/>
      <c r="H12" s="1312"/>
      <c r="I12" s="1302">
        <f>ROUND(D12*E12*F12*G12/10000,0)</f>
        <v>0</v>
      </c>
    </row>
    <row r="13" spans="1:9">
      <c r="A13" s="3261"/>
      <c r="B13" s="3262" t="s">
        <v>1100</v>
      </c>
      <c r="C13" s="3262"/>
      <c r="D13" s="1303"/>
      <c r="E13" s="1303"/>
      <c r="F13" s="1304"/>
      <c r="G13" s="1305"/>
      <c r="H13" s="1312"/>
      <c r="I13" s="1302">
        <f>ROUND(D13*E13*F13*G13/10000,0)</f>
        <v>0</v>
      </c>
    </row>
    <row r="14" spans="1:9">
      <c r="A14" s="3261"/>
      <c r="B14" s="3262" t="s">
        <v>1101</v>
      </c>
      <c r="C14" s="3262"/>
      <c r="D14" s="1303"/>
      <c r="E14" s="1303"/>
      <c r="F14" s="1304"/>
      <c r="G14" s="1305"/>
      <c r="H14" s="1312"/>
      <c r="I14" s="1302">
        <f>ROUND(D14*E14*F14*G14/10000,0)</f>
        <v>0</v>
      </c>
    </row>
    <row r="15" spans="1:9">
      <c r="A15" s="3261"/>
      <c r="B15" s="3263" t="s">
        <v>1092</v>
      </c>
      <c r="C15" s="3263"/>
      <c r="D15" s="1307"/>
      <c r="E15" s="1307">
        <f>SUM(E12:E14)</f>
        <v>0</v>
      </c>
      <c r="F15" s="1308"/>
      <c r="G15" s="1305"/>
      <c r="H15" s="1312"/>
      <c r="I15" s="1313">
        <f>SUM(I12:I14)</f>
        <v>0</v>
      </c>
    </row>
    <row r="16" spans="1:9" ht="24">
      <c r="A16" s="3261" t="s">
        <v>1102</v>
      </c>
      <c r="B16" s="3262" t="s">
        <v>1103</v>
      </c>
      <c r="C16" s="3262"/>
      <c r="D16" s="1303" t="s">
        <v>1079</v>
      </c>
      <c r="E16" s="1314" t="s">
        <v>1104</v>
      </c>
      <c r="F16" s="1304" t="s">
        <v>1105</v>
      </c>
      <c r="G16" s="1305" t="s">
        <v>1083</v>
      </c>
      <c r="H16" s="1311" t="s">
        <v>1098</v>
      </c>
      <c r="I16" s="1302" t="s">
        <v>1084</v>
      </c>
    </row>
    <row r="17" spans="1:9" ht="14.25">
      <c r="A17" s="3261"/>
      <c r="B17" s="3262" t="s">
        <v>1106</v>
      </c>
      <c r="C17" s="3262"/>
      <c r="D17" s="1303"/>
      <c r="E17" s="1303"/>
      <c r="F17" s="1304"/>
      <c r="G17" s="1305"/>
      <c r="H17" s="1315"/>
      <c r="I17" s="1316">
        <f>ROUND(D17*E17*F17*G17/10000,0)</f>
        <v>0</v>
      </c>
    </row>
    <row r="18" spans="1:9" ht="14.25">
      <c r="A18" s="3261"/>
      <c r="B18" s="3262" t="s">
        <v>1107</v>
      </c>
      <c r="C18" s="3262"/>
      <c r="D18" s="1303"/>
      <c r="E18" s="1303"/>
      <c r="F18" s="1304"/>
      <c r="G18" s="1305"/>
      <c r="H18" s="1315"/>
      <c r="I18" s="1316">
        <f>ROUND(D18*E18*F18*G18/10000,0)</f>
        <v>0</v>
      </c>
    </row>
    <row r="19" spans="1:9" ht="14.25">
      <c r="A19" s="3261"/>
      <c r="B19" s="3262" t="s">
        <v>1108</v>
      </c>
      <c r="C19" s="3262"/>
      <c r="D19" s="1303"/>
      <c r="E19" s="1303"/>
      <c r="F19" s="1304"/>
      <c r="G19" s="1305"/>
      <c r="H19" s="1315"/>
      <c r="I19" s="1316">
        <f>ROUND(D19*E19*F19*G19/10000,0)</f>
        <v>0</v>
      </c>
    </row>
    <row r="20" spans="1:9">
      <c r="A20" s="3261"/>
      <c r="B20" s="3263" t="s">
        <v>1092</v>
      </c>
      <c r="C20" s="3263"/>
      <c r="D20" s="1307">
        <f>SUM(D17:D19)</f>
        <v>0</v>
      </c>
      <c r="E20" s="1307"/>
      <c r="F20" s="1308"/>
      <c r="G20" s="1305"/>
      <c r="H20" s="1312"/>
      <c r="I20" s="1313">
        <f>SUM(I17:I19)</f>
        <v>0</v>
      </c>
    </row>
    <row r="21" spans="1:9">
      <c r="A21" s="3261"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58">
        <f>C27-C30-C31-C32</f>
        <v>0</v>
      </c>
      <c r="F26" s="3258"/>
      <c r="G26" s="3258"/>
      <c r="H26" s="1737" t="s">
        <v>1340</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0"/>
      <c r="F32" s="3260"/>
      <c r="G32" s="3260"/>
    </row>
    <row r="33" spans="1:7" hidden="1">
      <c r="A33" s="3255" t="s">
        <v>1129</v>
      </c>
      <c r="B33" s="3256"/>
      <c r="C33" s="3256"/>
      <c r="D33" s="3257"/>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2" t="s">
        <v>2533</v>
      </c>
      <c r="C1" s="1634" t="s">
        <v>2534</v>
      </c>
      <c r="D1" s="1621"/>
      <c r="E1" s="2583"/>
      <c r="F1" s="2584" t="s">
        <v>2535</v>
      </c>
      <c r="G1" s="1631" t="s">
        <v>2536</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2538</v>
      </c>
      <c r="D3" s="399">
        <f>IF(D1="",'数据-汇总表'!E3,SUMIF('数据-汇总表'!$C19:$C33,D1,'数据-汇总表'!$E19:$E33))</f>
        <v>32573.120000000003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2539</v>
      </c>
      <c r="B4" s="402"/>
      <c r="C4" s="3179" t="s">
        <v>2540</v>
      </c>
      <c r="D4" s="3207"/>
      <c r="E4" s="3208" t="s">
        <v>2541</v>
      </c>
      <c r="F4" s="3209"/>
      <c r="G4" s="3179" t="s">
        <v>2542</v>
      </c>
      <c r="H4" s="3207"/>
      <c r="I4" s="3179" t="s">
        <v>2543</v>
      </c>
      <c r="J4" s="3207"/>
      <c r="K4" s="2596" t="s">
        <v>2544</v>
      </c>
      <c r="L4" s="1130"/>
      <c r="M4" s="1131"/>
      <c r="N4" s="1131"/>
      <c r="O4" s="1131"/>
      <c r="P4" s="3210" t="s">
        <v>2545</v>
      </c>
      <c r="Q4" s="3211"/>
      <c r="R4" s="3186" t="s">
        <v>2541</v>
      </c>
      <c r="S4" s="3187"/>
      <c r="T4" s="3186" t="s">
        <v>2542</v>
      </c>
      <c r="U4" s="3187"/>
      <c r="V4" s="3200" t="s">
        <v>2543</v>
      </c>
      <c r="W4" s="3200"/>
      <c r="X4" s="1813"/>
      <c r="Y4" s="3186" t="s">
        <v>2545</v>
      </c>
      <c r="Z4" s="3187"/>
      <c r="AA4" s="3204" t="s">
        <v>2541</v>
      </c>
      <c r="AB4" s="3204" t="s">
        <v>2542</v>
      </c>
      <c r="AC4" s="3204" t="s">
        <v>2543</v>
      </c>
    </row>
    <row r="5" spans="1:29" ht="15">
      <c r="A5" s="404"/>
      <c r="B5" s="405"/>
      <c r="C5" s="3190" t="s">
        <v>2546</v>
      </c>
      <c r="D5" s="3191"/>
      <c r="E5" s="3277" t="s">
        <v>2547</v>
      </c>
      <c r="F5" s="3217"/>
      <c r="G5" s="3190" t="s">
        <v>2548</v>
      </c>
      <c r="H5" s="3191"/>
      <c r="I5" s="3190" t="s">
        <v>2549</v>
      </c>
      <c r="J5" s="3191"/>
      <c r="K5" s="2597"/>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2550</v>
      </c>
      <c r="D6" s="3244"/>
      <c r="E6" s="3246" t="s">
        <v>2550</v>
      </c>
      <c r="F6" s="3247"/>
      <c r="G6" s="3243" t="s">
        <v>2550</v>
      </c>
      <c r="H6" s="3244"/>
      <c r="I6" s="3243" t="s">
        <v>2550</v>
      </c>
      <c r="J6" s="3244"/>
      <c r="K6" s="2597" t="s">
        <v>2551</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2552</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4" t="s">
        <v>2553</v>
      </c>
      <c r="Q7" s="3195"/>
      <c r="R7" s="770" t="s">
        <v>23</v>
      </c>
      <c r="S7" s="771">
        <f t="shared" ref="S7:S15" si="0">F7</f>
        <v>0</v>
      </c>
      <c r="T7" s="770" t="s">
        <v>23</v>
      </c>
      <c r="U7" s="771">
        <f t="shared" ref="U7:U15" si="1">H7</f>
        <v>0</v>
      </c>
      <c r="V7" s="770" t="s">
        <v>23</v>
      </c>
      <c r="W7" s="771">
        <f t="shared" ref="W7:W15" si="2">J7</f>
        <v>0</v>
      </c>
      <c r="X7" s="772"/>
      <c r="Y7" s="3184" t="s">
        <v>2553</v>
      </c>
      <c r="Z7" s="3185"/>
      <c r="AA7" s="773" t="e">
        <f>D7/F7</f>
        <v>#DIV/0!</v>
      </c>
      <c r="AB7" s="773" t="e">
        <f>D7/H7</f>
        <v>#DIV/0!</v>
      </c>
      <c r="AC7" s="773" t="e">
        <f>D7/J7</f>
        <v>#DIV/0!</v>
      </c>
    </row>
    <row r="8" spans="1:29" s="117" customFormat="1" ht="15.75" thickBot="1">
      <c r="A8" s="408" t="s">
        <v>2554</v>
      </c>
      <c r="B8" s="409"/>
      <c r="C8" s="414" t="s">
        <v>2555</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4" t="s">
        <v>2556</v>
      </c>
      <c r="Q8" s="3185"/>
      <c r="R8" s="770" t="s">
        <v>23</v>
      </c>
      <c r="S8" s="771">
        <f t="shared" si="0"/>
        <v>0</v>
      </c>
      <c r="T8" s="770" t="s">
        <v>23</v>
      </c>
      <c r="U8" s="771">
        <f t="shared" si="1"/>
        <v>0</v>
      </c>
      <c r="V8" s="770" t="s">
        <v>23</v>
      </c>
      <c r="W8" s="771">
        <f t="shared" si="2"/>
        <v>0</v>
      </c>
      <c r="X8" s="772"/>
      <c r="Y8" s="3184" t="s">
        <v>2556</v>
      </c>
      <c r="Z8" s="3185"/>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2563</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2564</v>
      </c>
      <c r="Q15" s="1810" t="str">
        <f t="shared" si="6"/>
        <v>居住社区成熟度</v>
      </c>
      <c r="R15" s="774" t="s">
        <v>21</v>
      </c>
      <c r="S15" s="775">
        <f t="shared" si="0"/>
        <v>100</v>
      </c>
      <c r="T15" s="774" t="s">
        <v>21</v>
      </c>
      <c r="U15" s="775">
        <f t="shared" si="1"/>
        <v>100</v>
      </c>
      <c r="V15" s="774" t="s">
        <v>21</v>
      </c>
      <c r="W15" s="775">
        <f t="shared" si="2"/>
        <v>100</v>
      </c>
      <c r="X15" s="1813"/>
      <c r="Y15" s="3201" t="s">
        <v>2564</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2565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2567</v>
      </c>
      <c r="B32" s="71" t="s">
        <v>2568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9" t="s">
        <v>2569</v>
      </c>
      <c r="Q32" s="1810" t="str">
        <f t="shared" si="11"/>
        <v>建筑类型</v>
      </c>
      <c r="R32" s="774" t="s">
        <v>21</v>
      </c>
      <c r="S32" s="775">
        <f t="shared" si="12"/>
        <v>100</v>
      </c>
      <c r="T32" s="774" t="s">
        <v>21</v>
      </c>
      <c r="U32" s="775">
        <f t="shared" si="13"/>
        <v>100</v>
      </c>
      <c r="V32" s="774" t="s">
        <v>21</v>
      </c>
      <c r="W32" s="775">
        <f t="shared" si="14"/>
        <v>100</v>
      </c>
      <c r="X32" s="1813"/>
      <c r="Y32" s="3203" t="s">
        <v>2569</v>
      </c>
      <c r="Z32" s="1814" t="str">
        <f t="shared" si="18"/>
        <v>建筑类型</v>
      </c>
      <c r="AA32" s="1811">
        <f t="shared" si="15"/>
        <v>1</v>
      </c>
      <c r="AB32" s="1811">
        <f t="shared" si="16"/>
        <v>1</v>
      </c>
      <c r="AC32" s="1811">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2571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2572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2573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0" t="s">
        <v>2569</v>
      </c>
      <c r="Q38" s="1810" t="str">
        <f t="shared" si="11"/>
        <v>物业管理</v>
      </c>
      <c r="R38" s="774" t="s">
        <v>21</v>
      </c>
      <c r="S38" s="775">
        <f t="shared" si="12"/>
        <v>100</v>
      </c>
      <c r="T38" s="774" t="s">
        <v>21</v>
      </c>
      <c r="U38" s="775">
        <f t="shared" si="13"/>
        <v>100</v>
      </c>
      <c r="V38" s="774" t="s">
        <v>21</v>
      </c>
      <c r="W38" s="775">
        <f t="shared" si="14"/>
        <v>100</v>
      </c>
      <c r="X38" s="1813"/>
      <c r="Y38" s="3203" t="s">
        <v>2569</v>
      </c>
      <c r="Z38" s="1814" t="str">
        <f t="shared" si="18"/>
        <v>物业管理</v>
      </c>
      <c r="AA38" s="1811">
        <f t="shared" si="15"/>
        <v>1</v>
      </c>
      <c r="AB38" s="1811">
        <f t="shared" si="16"/>
        <v>1</v>
      </c>
      <c r="AC38" s="1811">
        <f t="shared" si="17"/>
        <v>1</v>
      </c>
    </row>
    <row r="39" spans="1:29" ht="15">
      <c r="A39" s="472"/>
      <c r="B39" s="422" t="s">
        <v>2576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2580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2581</v>
      </c>
      <c r="B47" s="480"/>
      <c r="C47" s="1407" t="s">
        <v>19</v>
      </c>
      <c r="D47" s="1408"/>
      <c r="E47" s="1409"/>
      <c r="F47" s="1410"/>
      <c r="G47" s="1411"/>
      <c r="H47" s="1412"/>
      <c r="I47" s="1409"/>
      <c r="J47" s="1412"/>
      <c r="K47" s="2621"/>
      <c r="L47" s="1143"/>
      <c r="M47" s="1144"/>
      <c r="N47" s="1131"/>
      <c r="O47" s="1144"/>
      <c r="P47" s="3182" t="str">
        <f>A47</f>
        <v>成交单价（元/平方米）</v>
      </c>
      <c r="Q47" s="3182"/>
      <c r="R47" s="3223">
        <f>E47</f>
        <v>0</v>
      </c>
      <c r="S47" s="3223"/>
      <c r="T47" s="3223">
        <f>G47</f>
        <v>0</v>
      </c>
      <c r="U47" s="3223"/>
      <c r="V47" s="3223">
        <f>I47</f>
        <v>0</v>
      </c>
      <c r="W47" s="3223"/>
      <c r="X47" s="759"/>
      <c r="Y47" s="781"/>
      <c r="Z47" s="759"/>
      <c r="AA47" s="759"/>
      <c r="AB47" s="759"/>
      <c r="AC47" s="759"/>
    </row>
    <row r="48" spans="1:29" ht="15.75" thickBot="1">
      <c r="A48" s="486" t="s">
        <v>2582</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2583</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2587</v>
      </c>
      <c r="B57" s="759"/>
      <c r="C57" s="764"/>
      <c r="D57" s="764"/>
      <c r="E57" s="764"/>
      <c r="F57" s="765"/>
      <c r="G57" s="765"/>
      <c r="H57" s="764"/>
      <c r="I57" s="764"/>
      <c r="J57" s="764"/>
      <c r="K57" s="1160"/>
      <c r="L57" s="1161"/>
      <c r="M57" s="1159"/>
      <c r="N57" s="1159"/>
      <c r="O57" s="1159"/>
      <c r="P57" s="2626"/>
      <c r="Q57" s="504"/>
    </row>
    <row r="58" spans="1:29" s="508" customFormat="1" ht="15">
      <c r="A58" s="505" t="s">
        <v>2588</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2589</v>
      </c>
      <c r="B60" s="516"/>
      <c r="C60" s="517"/>
      <c r="D60" s="518"/>
      <c r="E60" s="518"/>
      <c r="F60" s="518"/>
      <c r="G60" s="518"/>
      <c r="H60" s="518"/>
      <c r="I60" s="518"/>
      <c r="J60" s="518"/>
      <c r="K60" s="518"/>
      <c r="L60" s="518"/>
      <c r="M60" s="519"/>
      <c r="N60" s="518"/>
      <c r="O60" s="519"/>
      <c r="P60" s="2628"/>
      <c r="Q60" s="504"/>
    </row>
    <row r="61" spans="1:29" s="117" customFormat="1" ht="15">
      <c r="A61" s="521" t="s">
        <v>2590</v>
      </c>
      <c r="B61" s="510"/>
      <c r="C61" s="522" t="s">
        <v>2591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2592</v>
      </c>
      <c r="B63" s="528" t="s">
        <v>2558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2608</v>
      </c>
      <c r="D82" s="539" t="s">
        <v>2609</v>
      </c>
      <c r="E82" s="539" t="s">
        <v>2610</v>
      </c>
      <c r="F82" s="539" t="s">
        <v>2611</v>
      </c>
      <c r="G82" s="539" t="s">
        <v>2612</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2615</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2567</v>
      </c>
      <c r="B100" s="528" t="s">
        <v>2616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2619</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2620</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2623</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2578</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2626</v>
      </c>
    </row>
    <row r="137" spans="1:17" ht="15">
      <c r="B137" s="2638" t="s">
        <v>2627</v>
      </c>
      <c r="C137" s="2639"/>
      <c r="D137" s="2639"/>
      <c r="E137" s="2639"/>
      <c r="F137" s="2639"/>
      <c r="G137" s="2640"/>
      <c r="H137" s="2641"/>
      <c r="I137" s="2642" t="s">
        <v>2628</v>
      </c>
      <c r="J137" s="2639"/>
      <c r="K137" s="2643"/>
    </row>
    <row r="138" spans="1:17" ht="15">
      <c r="B138" s="2644"/>
      <c r="C138" s="146" t="s">
        <v>2629</v>
      </c>
      <c r="D138" s="146" t="s">
        <v>2630</v>
      </c>
      <c r="E138" s="2645" t="s">
        <v>2631</v>
      </c>
      <c r="F138" s="2646" t="s">
        <v>2632</v>
      </c>
      <c r="G138" s="146" t="s">
        <v>2630</v>
      </c>
      <c r="H138" s="147" t="s">
        <v>2631</v>
      </c>
      <c r="I138" s="2647"/>
      <c r="J138" s="146" t="s">
        <v>2633</v>
      </c>
      <c r="K138" s="147" t="s">
        <v>2634</v>
      </c>
    </row>
    <row r="139" spans="1:17" ht="15">
      <c r="B139" s="1084">
        <v>6</v>
      </c>
      <c r="C139" s="1085">
        <v>96</v>
      </c>
      <c r="D139" s="2648" t="s">
        <v>2635</v>
      </c>
      <c r="E139" s="1086">
        <v>100</v>
      </c>
      <c r="F139" s="1087">
        <v>102.5</v>
      </c>
      <c r="G139" s="2648" t="s">
        <v>2635</v>
      </c>
      <c r="H139" s="1088">
        <v>105</v>
      </c>
      <c r="I139" s="2649" t="s">
        <v>2636</v>
      </c>
      <c r="J139" s="1085">
        <v>20</v>
      </c>
      <c r="K139" s="1089">
        <f>C145/(J139-2)</f>
        <v>4.0555555555555553E-3</v>
      </c>
    </row>
    <row r="140" spans="1:17" ht="15">
      <c r="B140" s="1090">
        <v>5</v>
      </c>
      <c r="C140" s="1091">
        <v>100</v>
      </c>
      <c r="D140" s="1091"/>
      <c r="E140" s="1092"/>
      <c r="F140" s="1093">
        <v>102</v>
      </c>
      <c r="G140" s="1091"/>
      <c r="H140" s="1094"/>
      <c r="I140" s="2650" t="s">
        <v>2637</v>
      </c>
      <c r="J140" s="315">
        <f>ROUNDUP((J139-1)/2,0)</f>
        <v>10</v>
      </c>
      <c r="K140" s="1095">
        <v>100</v>
      </c>
    </row>
    <row r="141" spans="1:17" ht="15">
      <c r="B141" s="1090">
        <v>4</v>
      </c>
      <c r="C141" s="1091">
        <v>102</v>
      </c>
      <c r="D141" s="1091"/>
      <c r="E141" s="1092"/>
      <c r="F141" s="1093">
        <v>101.5</v>
      </c>
      <c r="G141" s="1091"/>
      <c r="H141" s="1094"/>
      <c r="I141" s="2650" t="s">
        <v>2638</v>
      </c>
      <c r="J141" s="315">
        <v>1</v>
      </c>
      <c r="K141" s="1096">
        <f>ROUND(100+(J141-J140)*K139*100,1)</f>
        <v>96.4</v>
      </c>
    </row>
    <row r="142" spans="1:17" ht="15">
      <c r="B142" s="1090">
        <v>3</v>
      </c>
      <c r="C142" s="1091">
        <v>103</v>
      </c>
      <c r="D142" s="1091"/>
      <c r="E142" s="1092"/>
      <c r="F142" s="1093">
        <v>101</v>
      </c>
      <c r="G142" s="1091"/>
      <c r="H142" s="1094"/>
      <c r="I142" s="2650" t="s">
        <v>2639</v>
      </c>
      <c r="J142" s="315">
        <f>J139</f>
        <v>20</v>
      </c>
      <c r="K142" s="1097">
        <v>95</v>
      </c>
    </row>
    <row r="143" spans="1:17" ht="15">
      <c r="B143" s="1090">
        <v>2</v>
      </c>
      <c r="C143" s="1091">
        <v>100</v>
      </c>
      <c r="D143" s="1091"/>
      <c r="E143" s="1092"/>
      <c r="F143" s="1093">
        <v>100.5</v>
      </c>
      <c r="G143" s="1091"/>
      <c r="H143" s="1094"/>
      <c r="I143" s="2650" t="s">
        <v>2640</v>
      </c>
      <c r="J143" s="1091">
        <v>15</v>
      </c>
      <c r="K143" s="1096">
        <f>ROUND(100+(J143-J140)*K139*100,1)</f>
        <v>102</v>
      </c>
    </row>
    <row r="144" spans="1:17" ht="15">
      <c r="B144" s="1090">
        <v>1</v>
      </c>
      <c r="C144" s="1091">
        <v>98</v>
      </c>
      <c r="D144" s="2651" t="s">
        <v>2641</v>
      </c>
      <c r="E144" s="1092">
        <v>102</v>
      </c>
      <c r="F144" s="1098">
        <v>100</v>
      </c>
      <c r="G144" s="2651" t="s">
        <v>2641</v>
      </c>
      <c r="H144" s="1094">
        <v>105</v>
      </c>
      <c r="I144" s="2650" t="s">
        <v>2640</v>
      </c>
      <c r="J144" s="1091">
        <v>18</v>
      </c>
      <c r="K144" s="1096">
        <f>ROUND(100+(J144-J140)*K139*100,1)</f>
        <v>103.2</v>
      </c>
    </row>
    <row r="145" spans="2:11" ht="15.75" thickBot="1">
      <c r="B145" s="2652" t="s">
        <v>2642</v>
      </c>
      <c r="C145" s="1099">
        <f>ROUND(MAX(C139:C144)/MIN(C139:C144)-1,3)</f>
        <v>7.2999999999999995E-2</v>
      </c>
      <c r="D145" s="1100"/>
      <c r="E145" s="1100"/>
      <c r="F145" s="2653" t="s">
        <v>2643</v>
      </c>
      <c r="G145" s="2654"/>
      <c r="H145" s="2655"/>
      <c r="I145" s="2656" t="s">
        <v>2640</v>
      </c>
      <c r="J145" s="1101">
        <v>8</v>
      </c>
      <c r="K145" s="1102">
        <f>ROUND(100+(J145-J140)*K139*100,1)</f>
        <v>99.2</v>
      </c>
    </row>
    <row r="147" spans="2:11">
      <c r="B147" s="2637" t="s">
        <v>2644</v>
      </c>
    </row>
    <row r="148" spans="2:11">
      <c r="B148" s="2637"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2" t="s">
        <v>2646</v>
      </c>
      <c r="C1" s="1634" t="s">
        <v>2534</v>
      </c>
      <c r="D1" s="1621"/>
      <c r="E1" s="2657"/>
      <c r="F1" s="2584"/>
      <c r="G1" s="1631" t="s">
        <v>2647</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2648</v>
      </c>
      <c r="D3" s="399">
        <f>IF(D1="",'数据-汇总表'!E3,SUMIF('数据-汇总表'!$C19:$C33,D1,'数据-汇总表'!$E19:$E33))</f>
        <v>32573.120000000003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0" t="s">
        <v>2652</v>
      </c>
      <c r="AC4" s="3204" t="s">
        <v>2653</v>
      </c>
    </row>
    <row r="5" spans="1:29" ht="15">
      <c r="A5" s="404"/>
      <c r="B5" s="405"/>
      <c r="C5" s="3190" t="s">
        <v>2546</v>
      </c>
      <c r="D5" s="3191"/>
      <c r="E5" s="3277" t="s">
        <v>2547</v>
      </c>
      <c r="F5" s="3217"/>
      <c r="G5" s="3190" t="s">
        <v>2548</v>
      </c>
      <c r="H5" s="3191"/>
      <c r="I5" s="3190" t="s">
        <v>2549</v>
      </c>
      <c r="J5" s="3191"/>
      <c r="K5" s="610"/>
      <c r="L5" s="1130"/>
      <c r="M5" s="1131"/>
      <c r="N5" s="1131"/>
      <c r="O5" s="1131"/>
      <c r="P5" s="3212"/>
      <c r="Q5" s="3213"/>
      <c r="R5" s="3188"/>
      <c r="S5" s="3189"/>
      <c r="T5" s="3188"/>
      <c r="U5" s="3189"/>
      <c r="V5" s="3200"/>
      <c r="W5" s="3200"/>
      <c r="X5" s="1813"/>
      <c r="Y5" s="3188"/>
      <c r="Z5" s="3189"/>
      <c r="AA5" s="3205"/>
      <c r="AB5" s="3200"/>
      <c r="AC5" s="3205"/>
    </row>
    <row r="6" spans="1:29" ht="15.75" thickBot="1">
      <c r="A6" s="406"/>
      <c r="B6" s="407"/>
      <c r="C6" s="3243" t="s">
        <v>2550</v>
      </c>
      <c r="D6" s="3244"/>
      <c r="E6" s="3246" t="s">
        <v>2550</v>
      </c>
      <c r="F6" s="3247"/>
      <c r="G6" s="3243" t="s">
        <v>2550</v>
      </c>
      <c r="H6" s="3244"/>
      <c r="I6" s="3243" t="s">
        <v>2550</v>
      </c>
      <c r="J6" s="3244"/>
      <c r="K6" s="610" t="s">
        <v>2551</v>
      </c>
      <c r="L6" s="1130"/>
      <c r="M6" s="1131"/>
      <c r="N6" s="1131"/>
      <c r="O6" s="1131"/>
      <c r="P6" s="3214"/>
      <c r="Q6" s="3215"/>
      <c r="R6" s="3188"/>
      <c r="S6" s="3189"/>
      <c r="T6" s="3198"/>
      <c r="U6" s="3199"/>
      <c r="V6" s="3200"/>
      <c r="W6" s="3200"/>
      <c r="X6" s="1813"/>
      <c r="Y6" s="3198"/>
      <c r="Z6" s="3199"/>
      <c r="AA6" s="3206"/>
      <c r="AB6" s="3200"/>
      <c r="AC6" s="3206"/>
    </row>
    <row r="7" spans="1:29" s="117" customFormat="1" ht="15.75" thickBot="1">
      <c r="A7" s="408" t="s">
        <v>2552</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2553</v>
      </c>
      <c r="Q7" s="3195"/>
      <c r="R7" s="770" t="s">
        <v>17</v>
      </c>
      <c r="S7" s="771">
        <f t="shared" ref="S7:S15" si="0">F7</f>
        <v>0</v>
      </c>
      <c r="T7" s="770" t="s">
        <v>17</v>
      </c>
      <c r="U7" s="771">
        <f t="shared" ref="U7:U15" si="1">H7</f>
        <v>0</v>
      </c>
      <c r="V7" s="770" t="s">
        <v>17</v>
      </c>
      <c r="W7" s="771">
        <f t="shared" ref="W7:W15" si="2">J7</f>
        <v>0</v>
      </c>
      <c r="X7" s="772"/>
      <c r="Y7" s="3184" t="s">
        <v>2553</v>
      </c>
      <c r="Z7" s="3185"/>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2556</v>
      </c>
      <c r="Q8" s="3185"/>
      <c r="R8" s="770" t="s">
        <v>17</v>
      </c>
      <c r="S8" s="771">
        <f t="shared" si="0"/>
        <v>0</v>
      </c>
      <c r="T8" s="770" t="s">
        <v>17</v>
      </c>
      <c r="U8" s="771">
        <f t="shared" si="1"/>
        <v>0</v>
      </c>
      <c r="V8" s="770" t="s">
        <v>17</v>
      </c>
      <c r="W8" s="771">
        <f t="shared" si="2"/>
        <v>0</v>
      </c>
      <c r="X8" s="772"/>
      <c r="Y8" s="3184" t="s">
        <v>2556</v>
      </c>
      <c r="Z8" s="3185"/>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2563</v>
      </c>
      <c r="B15" s="69" t="s">
        <v>2657</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2564</v>
      </c>
      <c r="Q15" s="1810" t="str">
        <f t="shared" si="6"/>
        <v>商业繁华度</v>
      </c>
      <c r="R15" s="774" t="s">
        <v>17</v>
      </c>
      <c r="S15" s="775">
        <f t="shared" si="0"/>
        <v>100</v>
      </c>
      <c r="T15" s="774" t="s">
        <v>17</v>
      </c>
      <c r="U15" s="775">
        <f t="shared" si="1"/>
        <v>100</v>
      </c>
      <c r="V15" s="774" t="s">
        <v>17</v>
      </c>
      <c r="W15" s="775">
        <f t="shared" si="2"/>
        <v>100</v>
      </c>
      <c r="X15" s="1813"/>
      <c r="Y15" s="3201"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2658</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2659</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2661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2662</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2567</v>
      </c>
      <c r="B32" s="71" t="s">
        <v>2664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9" t="s">
        <v>2569</v>
      </c>
      <c r="Q32" s="1810" t="str">
        <f t="shared" si="11"/>
        <v>商业类型</v>
      </c>
      <c r="R32" s="774" t="s">
        <v>17</v>
      </c>
      <c r="S32" s="775">
        <f t="shared" si="12"/>
        <v>100</v>
      </c>
      <c r="T32" s="774" t="s">
        <v>17</v>
      </c>
      <c r="U32" s="775">
        <f t="shared" si="13"/>
        <v>100</v>
      </c>
      <c r="V32" s="774" t="s">
        <v>17</v>
      </c>
      <c r="W32" s="775">
        <f t="shared" si="14"/>
        <v>100</v>
      </c>
      <c r="X32" s="1813"/>
      <c r="Y32" s="3203" t="s">
        <v>2569</v>
      </c>
      <c r="Z32" s="1814" t="str">
        <f t="shared" si="15"/>
        <v>商业类型</v>
      </c>
      <c r="AA32" s="1811">
        <f t="shared" si="3"/>
        <v>1</v>
      </c>
      <c r="AB32" s="1811">
        <f t="shared" si="4"/>
        <v>1</v>
      </c>
      <c r="AC32" s="1811">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2571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2665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0" t="s">
        <v>2569</v>
      </c>
      <c r="Q38" s="1810" t="str">
        <f t="shared" si="11"/>
        <v>业态</v>
      </c>
      <c r="R38" s="774" t="s">
        <v>17</v>
      </c>
      <c r="S38" s="775">
        <f t="shared" si="12"/>
        <v>100</v>
      </c>
      <c r="T38" s="774" t="s">
        <v>17</v>
      </c>
      <c r="U38" s="775">
        <f t="shared" si="13"/>
        <v>100</v>
      </c>
      <c r="V38" s="774" t="s">
        <v>17</v>
      </c>
      <c r="W38" s="775">
        <f t="shared" si="14"/>
        <v>100</v>
      </c>
      <c r="X38" s="1813"/>
      <c r="Y38" s="3203" t="s">
        <v>2569</v>
      </c>
      <c r="Z38" s="1814" t="str">
        <f t="shared" si="15"/>
        <v>业态</v>
      </c>
      <c r="AA38" s="1811">
        <f t="shared" si="3"/>
        <v>1</v>
      </c>
      <c r="AB38" s="1811">
        <f t="shared" si="4"/>
        <v>1</v>
      </c>
      <c r="AC38" s="1811">
        <f t="shared" si="5"/>
        <v>1</v>
      </c>
    </row>
    <row r="39" spans="1:29" ht="15">
      <c r="A39" s="472"/>
      <c r="B39" s="422" t="s">
        <v>2669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2672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2580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2581</v>
      </c>
      <c r="B47" s="480"/>
      <c r="C47" s="1407" t="s">
        <v>1</v>
      </c>
      <c r="D47" s="1408"/>
      <c r="E47" s="1409"/>
      <c r="F47" s="1410"/>
      <c r="G47" s="1411"/>
      <c r="H47" s="1412"/>
      <c r="I47" s="1409"/>
      <c r="J47" s="1412"/>
      <c r="K47" s="783"/>
      <c r="L47" s="1143"/>
      <c r="M47" s="1144"/>
      <c r="N47" s="1131"/>
      <c r="O47" s="1144"/>
      <c r="P47" s="3182" t="str">
        <f>A47</f>
        <v>成交单价（元/平方米）</v>
      </c>
      <c r="Q47" s="3182"/>
      <c r="R47" s="3200">
        <f>E47</f>
        <v>0</v>
      </c>
      <c r="S47" s="3200"/>
      <c r="T47" s="3200">
        <f>G47</f>
        <v>0</v>
      </c>
      <c r="U47" s="3200"/>
      <c r="V47" s="3200">
        <f>I47</f>
        <v>0</v>
      </c>
      <c r="W47" s="3200"/>
      <c r="X47" s="759"/>
      <c r="Y47" s="781"/>
      <c r="Z47" s="759"/>
      <c r="AA47" s="759"/>
      <c r="AB47" s="759"/>
      <c r="AC47" s="759"/>
    </row>
    <row r="48" spans="1:29" ht="15.75" thickBot="1">
      <c r="A48" s="486" t="s">
        <v>2673</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2674</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2552</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2589</v>
      </c>
      <c r="B60" s="516"/>
      <c r="C60" s="517"/>
      <c r="D60" s="518"/>
      <c r="E60" s="518"/>
      <c r="F60" s="518"/>
      <c r="G60" s="518"/>
      <c r="H60" s="518"/>
      <c r="I60" s="518"/>
      <c r="J60" s="518"/>
      <c r="K60" s="518"/>
      <c r="L60" s="518"/>
      <c r="M60" s="519"/>
      <c r="N60" s="518"/>
      <c r="O60" s="519"/>
      <c r="P60" s="2628"/>
      <c r="Q60" s="504"/>
    </row>
    <row r="61" spans="1:29" s="117" customFormat="1" ht="15">
      <c r="A61" s="521" t="s">
        <v>2554</v>
      </c>
      <c r="B61" s="510"/>
      <c r="C61" s="522" t="s">
        <v>2656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2592</v>
      </c>
      <c r="B63" s="528" t="s">
        <v>2558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2659</v>
      </c>
      <c r="C82" s="660" t="s">
        <v>2679</v>
      </c>
      <c r="D82" s="660" t="s">
        <v>2680</v>
      </c>
      <c r="E82" s="660" t="s">
        <v>2681</v>
      </c>
      <c r="F82" s="660" t="s">
        <v>2682</v>
      </c>
      <c r="G82" s="660" t="s">
        <v>2683</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2567</v>
      </c>
      <c r="B100" s="528" t="s">
        <v>2685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2620</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2622</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2688</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2689</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69" t="s">
        <v>2706</v>
      </c>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2648</v>
      </c>
      <c r="D3" s="399">
        <f>IF(D1="",'数据-汇总表'!E3,SUMIF('数据-汇总表'!$C19:$C33,D1,'数据-汇总表'!$E19:$E33))</f>
        <v>32573.120000000003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5" t="s">
        <v>2652</v>
      </c>
      <c r="AC4" s="3204" t="s">
        <v>2653</v>
      </c>
    </row>
    <row r="5" spans="1:29" ht="15">
      <c r="A5" s="404"/>
      <c r="B5" s="405"/>
      <c r="C5" s="3190" t="s">
        <v>2546</v>
      </c>
      <c r="D5" s="3191"/>
      <c r="E5" s="3277" t="s">
        <v>2547</v>
      </c>
      <c r="F5" s="3217"/>
      <c r="G5" s="3190" t="s">
        <v>2548</v>
      </c>
      <c r="H5" s="3191"/>
      <c r="I5" s="3190" t="s">
        <v>2549</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2550</v>
      </c>
      <c r="D6" s="3244"/>
      <c r="E6" s="3246" t="s">
        <v>2550</v>
      </c>
      <c r="F6" s="3247"/>
      <c r="G6" s="3243" t="s">
        <v>2550</v>
      </c>
      <c r="H6" s="3244"/>
      <c r="I6" s="3243" t="s">
        <v>2550</v>
      </c>
      <c r="J6" s="3244"/>
      <c r="K6" s="610" t="s">
        <v>2551</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2552</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2553</v>
      </c>
      <c r="Q7" s="3195"/>
      <c r="R7" s="770" t="s">
        <v>17</v>
      </c>
      <c r="S7" s="771">
        <f t="shared" ref="S7:S15" si="0">F7</f>
        <v>0</v>
      </c>
      <c r="T7" s="770" t="s">
        <v>17</v>
      </c>
      <c r="U7" s="771">
        <f t="shared" ref="U7:U15" si="1">H7</f>
        <v>0</v>
      </c>
      <c r="V7" s="770" t="s">
        <v>17</v>
      </c>
      <c r="W7" s="771">
        <f t="shared" ref="W7:W15" si="2">J7</f>
        <v>0</v>
      </c>
      <c r="X7" s="772"/>
      <c r="Y7" s="3184" t="s">
        <v>2553</v>
      </c>
      <c r="Z7" s="3185"/>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2556</v>
      </c>
      <c r="Q8" s="3185"/>
      <c r="R8" s="770" t="s">
        <v>17</v>
      </c>
      <c r="S8" s="771">
        <f t="shared" si="0"/>
        <v>0</v>
      </c>
      <c r="T8" s="770" t="s">
        <v>17</v>
      </c>
      <c r="U8" s="771">
        <f t="shared" si="1"/>
        <v>0</v>
      </c>
      <c r="V8" s="770" t="s">
        <v>17</v>
      </c>
      <c r="W8" s="771">
        <f t="shared" si="2"/>
        <v>0</v>
      </c>
      <c r="X8" s="772"/>
      <c r="Y8" s="3184" t="s">
        <v>2556</v>
      </c>
      <c r="Z8" s="3185"/>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2564</v>
      </c>
      <c r="Q15" s="1810" t="str">
        <f t="shared" si="6"/>
        <v>产业集聚程度</v>
      </c>
      <c r="R15" s="774" t="s">
        <v>17</v>
      </c>
      <c r="S15" s="775">
        <f t="shared" si="0"/>
        <v>100</v>
      </c>
      <c r="T15" s="774" t="s">
        <v>17</v>
      </c>
      <c r="U15" s="775">
        <f t="shared" si="1"/>
        <v>100</v>
      </c>
      <c r="V15" s="774" t="s">
        <v>17</v>
      </c>
      <c r="W15" s="775">
        <f t="shared" si="2"/>
        <v>100</v>
      </c>
      <c r="X15" s="1813"/>
      <c r="Y15" s="3201"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2692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2693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2694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8" t="s">
        <v>2569</v>
      </c>
      <c r="Q29" s="1810" t="str">
        <f t="shared" si="11"/>
        <v>建筑类型</v>
      </c>
      <c r="R29" s="774" t="s">
        <v>17</v>
      </c>
      <c r="S29" s="775">
        <f t="shared" si="12"/>
        <v>100</v>
      </c>
      <c r="T29" s="774" t="s">
        <v>17</v>
      </c>
      <c r="U29" s="775">
        <f t="shared" si="13"/>
        <v>100</v>
      </c>
      <c r="V29" s="774" t="s">
        <v>17</v>
      </c>
      <c r="W29" s="775">
        <f t="shared" si="14"/>
        <v>100</v>
      </c>
      <c r="X29" s="1813"/>
      <c r="Y29" s="3203" t="s">
        <v>2569</v>
      </c>
      <c r="Z29" s="1814" t="str">
        <f t="shared" si="15"/>
        <v>建筑类型</v>
      </c>
      <c r="AA29" s="1811">
        <f t="shared" si="3"/>
        <v>1</v>
      </c>
      <c r="AB29" s="1811">
        <f t="shared" si="4"/>
        <v>1</v>
      </c>
      <c r="AC29" s="1811">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2569</v>
      </c>
      <c r="Q35" s="1810" t="str">
        <f t="shared" si="11"/>
        <v>市政基础设施</v>
      </c>
      <c r="R35" s="774" t="s">
        <v>17</v>
      </c>
      <c r="S35" s="775">
        <f t="shared" si="12"/>
        <v>100</v>
      </c>
      <c r="T35" s="774" t="s">
        <v>17</v>
      </c>
      <c r="U35" s="775">
        <f t="shared" si="13"/>
        <v>100</v>
      </c>
      <c r="V35" s="774" t="s">
        <v>17</v>
      </c>
      <c r="W35" s="775">
        <f t="shared" si="14"/>
        <v>100</v>
      </c>
      <c r="X35" s="1813"/>
      <c r="Y35" s="3203"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2581</v>
      </c>
      <c r="B41" s="480"/>
      <c r="C41" s="1407" t="s">
        <v>1</v>
      </c>
      <c r="D41" s="1408"/>
      <c r="E41" s="1409"/>
      <c r="F41" s="1410"/>
      <c r="G41" s="1411"/>
      <c r="H41" s="1412"/>
      <c r="I41" s="1409"/>
      <c r="J41" s="1412"/>
      <c r="K41" s="783"/>
      <c r="L41" s="1143"/>
      <c r="M41" s="1144"/>
      <c r="N41" s="1131"/>
      <c r="O41" s="1144"/>
      <c r="P41" s="3182" t="str">
        <f>A41</f>
        <v>成交单价（元/平方米）</v>
      </c>
      <c r="Q41" s="3182"/>
      <c r="R41" s="3223">
        <f>E41</f>
        <v>0</v>
      </c>
      <c r="S41" s="3223"/>
      <c r="T41" s="3223">
        <f>G41</f>
        <v>0</v>
      </c>
      <c r="U41" s="3223"/>
      <c r="V41" s="3223">
        <f>I41</f>
        <v>0</v>
      </c>
      <c r="W41" s="3223"/>
      <c r="X41" s="759"/>
      <c r="Y41" s="781"/>
      <c r="Z41" s="759"/>
      <c r="AA41" s="759"/>
      <c r="AB41" s="759"/>
      <c r="AC41" s="759"/>
    </row>
    <row r="42" spans="1:29" ht="15.75" thickBot="1">
      <c r="A42" s="486" t="s">
        <v>2673</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2674</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2678</v>
      </c>
      <c r="B51" s="759"/>
      <c r="C51" s="764"/>
      <c r="D51" s="764"/>
      <c r="E51" s="764"/>
      <c r="F51" s="765"/>
      <c r="G51" s="765"/>
      <c r="H51" s="764"/>
      <c r="I51" s="764"/>
      <c r="J51" s="764"/>
      <c r="K51" s="1160"/>
      <c r="L51" s="1161"/>
      <c r="M51" s="1159"/>
      <c r="N51" s="1159"/>
      <c r="O51" s="1159"/>
      <c r="P51" s="503"/>
      <c r="Q51" s="504"/>
    </row>
    <row r="52" spans="1:17" s="508" customFormat="1" ht="15">
      <c r="A52" s="505" t="s">
        <v>2552</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2592</v>
      </c>
      <c r="B57" s="528" t="s">
        <v>2558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2567</v>
      </c>
      <c r="B88" s="528" t="s">
        <v>2616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2620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4"/>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2648</v>
      </c>
      <c r="D3" s="399">
        <f>SUMIF('数据-汇总表'!$C19:$C33,D1,'数据-汇总表'!$E19:$E33)</f>
        <v>0</v>
      </c>
      <c r="E3" s="400" t="s">
        <v>2712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5" t="s">
        <v>2652</v>
      </c>
      <c r="AC4" s="3204" t="s">
        <v>2653</v>
      </c>
    </row>
    <row r="5" spans="1:29" ht="15">
      <c r="A5" s="404"/>
      <c r="B5" s="405"/>
      <c r="C5" s="3190" t="s">
        <v>2546</v>
      </c>
      <c r="D5" s="3191"/>
      <c r="E5" s="3277" t="s">
        <v>2547</v>
      </c>
      <c r="F5" s="3217"/>
      <c r="G5" s="3190" t="s">
        <v>2548</v>
      </c>
      <c r="H5" s="3191"/>
      <c r="I5" s="3190" t="s">
        <v>2549</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2550</v>
      </c>
      <c r="D6" s="3244"/>
      <c r="E6" s="3246" t="s">
        <v>2550</v>
      </c>
      <c r="F6" s="3247"/>
      <c r="G6" s="3243" t="s">
        <v>2550</v>
      </c>
      <c r="H6" s="3244"/>
      <c r="I6" s="3243" t="s">
        <v>2550</v>
      </c>
      <c r="J6" s="3244"/>
      <c r="K6" s="610" t="s">
        <v>2551</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2552</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2553</v>
      </c>
      <c r="Q7" s="3195"/>
      <c r="R7" s="770" t="s">
        <v>17</v>
      </c>
      <c r="S7" s="771">
        <f t="shared" ref="S7:S14" si="0">F7</f>
        <v>0</v>
      </c>
      <c r="T7" s="770" t="s">
        <v>17</v>
      </c>
      <c r="U7" s="771">
        <f t="shared" ref="U7:U14" si="1">H7</f>
        <v>0</v>
      </c>
      <c r="V7" s="770" t="s">
        <v>17</v>
      </c>
      <c r="W7" s="771">
        <f t="shared" ref="W7:W14" si="2">J7</f>
        <v>0</v>
      </c>
      <c r="X7" s="772"/>
      <c r="Y7" s="3184" t="s">
        <v>2553</v>
      </c>
      <c r="Z7" s="3185"/>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2556</v>
      </c>
      <c r="Q8" s="3185"/>
      <c r="R8" s="770" t="s">
        <v>17</v>
      </c>
      <c r="S8" s="771">
        <f t="shared" si="0"/>
        <v>0</v>
      </c>
      <c r="T8" s="770" t="s">
        <v>17</v>
      </c>
      <c r="U8" s="771">
        <f t="shared" si="1"/>
        <v>0</v>
      </c>
      <c r="V8" s="770" t="s">
        <v>17</v>
      </c>
      <c r="W8" s="771">
        <f t="shared" si="2"/>
        <v>0</v>
      </c>
      <c r="X8" s="772"/>
      <c r="Y8" s="3184" t="s">
        <v>2556</v>
      </c>
      <c r="Z8" s="3185"/>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2559</v>
      </c>
      <c r="Q9" s="1795" t="str">
        <f t="shared" ref="Q9:Q14" si="6">B9</f>
        <v>用途</v>
      </c>
      <c r="R9" s="770" t="s">
        <v>17</v>
      </c>
      <c r="S9" s="771">
        <f t="shared" si="0"/>
        <v>100</v>
      </c>
      <c r="T9" s="770" t="s">
        <v>17</v>
      </c>
      <c r="U9" s="771">
        <f t="shared" si="1"/>
        <v>100</v>
      </c>
      <c r="V9" s="770" t="s">
        <v>17</v>
      </c>
      <c r="W9" s="771">
        <f t="shared" si="2"/>
        <v>100</v>
      </c>
      <c r="X9" s="772"/>
      <c r="Y9" s="3034"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2564</v>
      </c>
      <c r="Q14" s="1810" t="str">
        <f t="shared" si="6"/>
        <v>交通便捷度</v>
      </c>
      <c r="R14" s="774" t="s">
        <v>17</v>
      </c>
      <c r="S14" s="775">
        <f t="shared" si="0"/>
        <v>100</v>
      </c>
      <c r="T14" s="774" t="s">
        <v>17</v>
      </c>
      <c r="U14" s="775">
        <f t="shared" si="1"/>
        <v>100</v>
      </c>
      <c r="V14" s="774" t="s">
        <v>17</v>
      </c>
      <c r="W14" s="775">
        <f t="shared" si="2"/>
        <v>100</v>
      </c>
      <c r="X14" s="1813"/>
      <c r="Y14" s="3201"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2692</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2693</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2714</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8"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2569</v>
      </c>
      <c r="Q32" s="1810" t="str">
        <f t="shared" si="11"/>
        <v>车位类型</v>
      </c>
      <c r="R32" s="774" t="s">
        <v>17</v>
      </c>
      <c r="S32" s="775">
        <f t="shared" si="12"/>
        <v>100</v>
      </c>
      <c r="T32" s="774" t="s">
        <v>17</v>
      </c>
      <c r="U32" s="775">
        <f t="shared" si="13"/>
        <v>100</v>
      </c>
      <c r="V32" s="774" t="s">
        <v>17</v>
      </c>
      <c r="W32" s="775">
        <f t="shared" si="14"/>
        <v>100</v>
      </c>
      <c r="X32" s="1813"/>
      <c r="Y32" s="3203"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2724</v>
      </c>
      <c r="B37" s="2695" t="s">
        <v>2725</v>
      </c>
      <c r="C37" s="1407" t="s">
        <v>1</v>
      </c>
      <c r="D37" s="1408"/>
      <c r="E37" s="1409"/>
      <c r="F37" s="1410"/>
      <c r="G37" s="1411"/>
      <c r="H37" s="1412"/>
      <c r="I37" s="1409"/>
      <c r="J37" s="1412"/>
      <c r="K37" s="619"/>
      <c r="L37" s="1143"/>
      <c r="M37" s="1144"/>
      <c r="N37" s="1131"/>
      <c r="O37" s="1144"/>
      <c r="P37" s="3182" t="str">
        <f>A37</f>
        <v>成交单价</v>
      </c>
      <c r="Q37" s="3182"/>
      <c r="R37" s="3223">
        <f>E37</f>
        <v>0</v>
      </c>
      <c r="S37" s="3223"/>
      <c r="T37" s="3223">
        <f>G37</f>
        <v>0</v>
      </c>
      <c r="U37" s="3223"/>
      <c r="V37" s="3223">
        <f>I37</f>
        <v>0</v>
      </c>
      <c r="W37" s="3223"/>
      <c r="X37" s="759"/>
      <c r="Y37" s="781"/>
      <c r="Z37" s="759"/>
      <c r="AA37" s="759"/>
      <c r="AB37" s="759"/>
      <c r="AC37" s="759"/>
    </row>
    <row r="38" spans="1:29" ht="15.75" thickBot="1">
      <c r="A38" s="486" t="s">
        <v>2726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2727</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2732</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2554</v>
      </c>
      <c r="B51" s="510"/>
      <c r="C51" s="522" t="s">
        <v>2656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2592</v>
      </c>
      <c r="B53" s="528" t="s">
        <v>2558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2607</v>
      </c>
      <c r="C65" s="578" t="s">
        <v>2601</v>
      </c>
      <c r="D65" s="578" t="s">
        <v>2602</v>
      </c>
      <c r="E65" s="578" t="s">
        <v>2603</v>
      </c>
      <c r="F65" s="578" t="s">
        <v>2604</v>
      </c>
      <c r="G65" s="578" t="s">
        <v>2605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2693</v>
      </c>
      <c r="C67" s="660" t="s">
        <v>2679</v>
      </c>
      <c r="D67" s="660" t="s">
        <v>2680</v>
      </c>
      <c r="E67" s="660" t="s">
        <v>2681</v>
      </c>
      <c r="F67" s="660" t="s">
        <v>2682</v>
      </c>
      <c r="G67" s="660" t="s">
        <v>2683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2613</v>
      </c>
      <c r="C69" s="578" t="s">
        <v>2601</v>
      </c>
      <c r="D69" s="578" t="s">
        <v>2602</v>
      </c>
      <c r="E69" s="578" t="s">
        <v>2603</v>
      </c>
      <c r="F69" s="578" t="s">
        <v>2604</v>
      </c>
      <c r="G69" s="578" t="s">
        <v>2605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2567</v>
      </c>
      <c r="B79" s="528" t="s">
        <v>2734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2620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2740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5" t="s">
        <v>2652</v>
      </c>
      <c r="AC4" s="3204" t="s">
        <v>2653</v>
      </c>
    </row>
    <row r="5" spans="1:29" ht="15">
      <c r="A5" s="404"/>
      <c r="B5" s="405"/>
      <c r="C5" s="3190" t="s">
        <v>2546</v>
      </c>
      <c r="D5" s="3191"/>
      <c r="E5" s="3277" t="s">
        <v>2547</v>
      </c>
      <c r="F5" s="3217"/>
      <c r="G5" s="3190" t="s">
        <v>2548</v>
      </c>
      <c r="H5" s="3191"/>
      <c r="I5" s="3190" t="s">
        <v>2549</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2550</v>
      </c>
      <c r="D6" s="3244"/>
      <c r="E6" s="3246" t="s">
        <v>2550</v>
      </c>
      <c r="F6" s="3247"/>
      <c r="G6" s="3243" t="s">
        <v>2550</v>
      </c>
      <c r="H6" s="3244"/>
      <c r="I6" s="3243" t="s">
        <v>2550</v>
      </c>
      <c r="J6" s="3244"/>
      <c r="K6" s="610" t="s">
        <v>2551</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2552</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4" t="s">
        <v>2553</v>
      </c>
      <c r="Q7" s="3195"/>
      <c r="R7" s="770" t="s">
        <v>17</v>
      </c>
      <c r="S7" s="771">
        <f t="shared" ref="S7:S14" si="0">F7</f>
        <v>0</v>
      </c>
      <c r="T7" s="770" t="s">
        <v>17</v>
      </c>
      <c r="U7" s="771">
        <f t="shared" ref="U7:U14" si="1">H7</f>
        <v>0</v>
      </c>
      <c r="V7" s="770" t="s">
        <v>17</v>
      </c>
      <c r="W7" s="771">
        <f t="shared" ref="W7:W14" si="2">J7</f>
        <v>0</v>
      </c>
      <c r="X7" s="772"/>
      <c r="Y7" s="3184" t="s">
        <v>2553</v>
      </c>
      <c r="Z7" s="3185"/>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2556</v>
      </c>
      <c r="Q8" s="3185"/>
      <c r="R8" s="770" t="s">
        <v>17</v>
      </c>
      <c r="S8" s="771">
        <f t="shared" si="0"/>
        <v>0</v>
      </c>
      <c r="T8" s="770" t="s">
        <v>17</v>
      </c>
      <c r="U8" s="771">
        <f t="shared" si="1"/>
        <v>0</v>
      </c>
      <c r="V8" s="770" t="s">
        <v>17</v>
      </c>
      <c r="W8" s="771">
        <f t="shared" si="2"/>
        <v>0</v>
      </c>
      <c r="X8" s="772"/>
      <c r="Y8" s="3184" t="s">
        <v>2556</v>
      </c>
      <c r="Z8" s="3185"/>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2559</v>
      </c>
      <c r="Q9" s="1795" t="str">
        <f t="shared" ref="Q9:Q14" si="6">B9</f>
        <v>用途</v>
      </c>
      <c r="R9" s="770" t="s">
        <v>17</v>
      </c>
      <c r="S9" s="771">
        <f t="shared" si="0"/>
        <v>100</v>
      </c>
      <c r="T9" s="770" t="s">
        <v>17</v>
      </c>
      <c r="U9" s="771">
        <f t="shared" si="1"/>
        <v>100</v>
      </c>
      <c r="V9" s="770" t="s">
        <v>17</v>
      </c>
      <c r="W9" s="771">
        <f t="shared" si="2"/>
        <v>100</v>
      </c>
      <c r="X9" s="772"/>
      <c r="Y9" s="303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2564</v>
      </c>
      <c r="Q14" s="1810" t="str">
        <f t="shared" si="6"/>
        <v>交通便捷度</v>
      </c>
      <c r="R14" s="774" t="s">
        <v>17</v>
      </c>
      <c r="S14" s="775">
        <f t="shared" si="0"/>
        <v>100</v>
      </c>
      <c r="T14" s="774" t="s">
        <v>17</v>
      </c>
      <c r="U14" s="775">
        <f t="shared" si="1"/>
        <v>100</v>
      </c>
      <c r="V14" s="774" t="s">
        <v>17</v>
      </c>
      <c r="W14" s="775">
        <f t="shared" si="2"/>
        <v>100</v>
      </c>
      <c r="X14" s="1813"/>
      <c r="Y14" s="3201"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2692</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2693</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2714</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8"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2569</v>
      </c>
      <c r="Q32" s="1810">
        <f t="shared" si="11"/>
        <v>111</v>
      </c>
      <c r="R32" s="774" t="s">
        <v>17</v>
      </c>
      <c r="S32" s="775">
        <f t="shared" si="12"/>
        <v>100</v>
      </c>
      <c r="T32" s="774" t="s">
        <v>17</v>
      </c>
      <c r="U32" s="775">
        <f t="shared" si="13"/>
        <v>100</v>
      </c>
      <c r="V32" s="774" t="s">
        <v>17</v>
      </c>
      <c r="W32" s="775">
        <f t="shared" si="14"/>
        <v>100</v>
      </c>
      <c r="X32" s="1813"/>
      <c r="Y32" s="3203" t="s">
        <v>2569</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2581</v>
      </c>
      <c r="B35" s="480"/>
      <c r="C35" s="1407" t="s">
        <v>1</v>
      </c>
      <c r="D35" s="1408"/>
      <c r="E35" s="1409"/>
      <c r="F35" s="1410"/>
      <c r="G35" s="1411"/>
      <c r="H35" s="1412"/>
      <c r="I35" s="1409"/>
      <c r="J35" s="1412"/>
      <c r="K35" s="783"/>
      <c r="L35" s="1143"/>
      <c r="M35" s="1144"/>
      <c r="N35" s="1131"/>
      <c r="O35" s="1144"/>
      <c r="P35" s="3182" t="str">
        <f>A35</f>
        <v>成交单价（元/平方米）</v>
      </c>
      <c r="Q35" s="3182"/>
      <c r="R35" s="3223">
        <f>E35</f>
        <v>0</v>
      </c>
      <c r="S35" s="3223"/>
      <c r="T35" s="3223">
        <f>G35</f>
        <v>0</v>
      </c>
      <c r="U35" s="3223"/>
      <c r="V35" s="3223">
        <f>I35</f>
        <v>0</v>
      </c>
      <c r="W35" s="3223"/>
      <c r="X35" s="759"/>
      <c r="Y35" s="781"/>
      <c r="Z35" s="759"/>
      <c r="AA35" s="759"/>
      <c r="AB35" s="759"/>
      <c r="AC35" s="759"/>
    </row>
    <row r="36" spans="1:29" ht="15.75" thickBot="1">
      <c r="A36" s="486" t="s">
        <v>2673</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2674</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2592</v>
      </c>
      <c r="B51" s="528" t="s">
        <v>2558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2567</v>
      </c>
      <c r="B77" s="528" t="s">
        <v>2620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2649</v>
      </c>
      <c r="B4" s="402"/>
      <c r="C4" s="3179" t="s">
        <v>2650</v>
      </c>
      <c r="D4" s="3207"/>
      <c r="E4" s="3208" t="s">
        <v>2651</v>
      </c>
      <c r="F4" s="3209"/>
      <c r="G4" s="3179" t="s">
        <v>2652</v>
      </c>
      <c r="H4" s="3207"/>
      <c r="I4" s="3179" t="s">
        <v>2653</v>
      </c>
      <c r="J4" s="3207"/>
      <c r="K4" s="610" t="s">
        <v>2654</v>
      </c>
      <c r="L4" s="1130"/>
      <c r="M4" s="1131"/>
      <c r="N4" s="1131"/>
      <c r="O4" s="1131"/>
      <c r="P4" s="3210" t="s">
        <v>2655</v>
      </c>
      <c r="Q4" s="3211"/>
      <c r="R4" s="3186" t="s">
        <v>2651</v>
      </c>
      <c r="S4" s="3187"/>
      <c r="T4" s="3186" t="s">
        <v>2652</v>
      </c>
      <c r="U4" s="3187"/>
      <c r="V4" s="3200" t="s">
        <v>2653</v>
      </c>
      <c r="W4" s="3200"/>
      <c r="X4" s="1813"/>
      <c r="Y4" s="3186" t="s">
        <v>2655</v>
      </c>
      <c r="Z4" s="3187"/>
      <c r="AA4" s="3204" t="s">
        <v>2651</v>
      </c>
      <c r="AB4" s="3205" t="s">
        <v>2652</v>
      </c>
      <c r="AC4" s="3204" t="s">
        <v>2653</v>
      </c>
    </row>
    <row r="5" spans="1:30" ht="15">
      <c r="A5" s="404"/>
      <c r="B5" s="405"/>
      <c r="C5" s="3190" t="s">
        <v>2546</v>
      </c>
      <c r="D5" s="3191"/>
      <c r="E5" s="3277" t="s">
        <v>2547</v>
      </c>
      <c r="F5" s="3217"/>
      <c r="G5" s="3190" t="s">
        <v>2548</v>
      </c>
      <c r="H5" s="3191"/>
      <c r="I5" s="3190" t="s">
        <v>2549</v>
      </c>
      <c r="J5" s="3191"/>
      <c r="K5" s="610"/>
      <c r="L5" s="1130"/>
      <c r="M5" s="1131"/>
      <c r="N5" s="1131"/>
      <c r="O5" s="1131"/>
      <c r="P5" s="3212"/>
      <c r="Q5" s="3213"/>
      <c r="R5" s="3188"/>
      <c r="S5" s="3189"/>
      <c r="T5" s="3188"/>
      <c r="U5" s="3189"/>
      <c r="V5" s="3200"/>
      <c r="W5" s="3200"/>
      <c r="X5" s="1813"/>
      <c r="Y5" s="3188"/>
      <c r="Z5" s="3189"/>
      <c r="AA5" s="3205"/>
      <c r="AB5" s="3205"/>
      <c r="AC5" s="3205"/>
    </row>
    <row r="6" spans="1:30" ht="15.75" thickBot="1">
      <c r="A6" s="406"/>
      <c r="B6" s="407"/>
      <c r="C6" s="3243" t="s">
        <v>2550</v>
      </c>
      <c r="D6" s="3244"/>
      <c r="E6" s="3246" t="s">
        <v>2550</v>
      </c>
      <c r="F6" s="3247"/>
      <c r="G6" s="3243" t="s">
        <v>2550</v>
      </c>
      <c r="H6" s="3244"/>
      <c r="I6" s="3243" t="s">
        <v>2550</v>
      </c>
      <c r="J6" s="3244"/>
      <c r="K6" s="610" t="s">
        <v>2551</v>
      </c>
      <c r="L6" s="1130"/>
      <c r="M6" s="1131"/>
      <c r="N6" s="1131"/>
      <c r="O6" s="1131"/>
      <c r="P6" s="3214"/>
      <c r="Q6" s="3215"/>
      <c r="R6" s="3188"/>
      <c r="S6" s="3189"/>
      <c r="T6" s="3198"/>
      <c r="U6" s="3199"/>
      <c r="V6" s="3200"/>
      <c r="W6" s="3200"/>
      <c r="X6" s="1813"/>
      <c r="Y6" s="3198"/>
      <c r="Z6" s="3199"/>
      <c r="AA6" s="3206"/>
      <c r="AB6" s="3206"/>
      <c r="AC6" s="3206"/>
    </row>
    <row r="7" spans="1:30" s="117" customFormat="1" ht="15.75" thickBot="1">
      <c r="A7" s="408" t="s">
        <v>2552</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4" t="s">
        <v>2553</v>
      </c>
      <c r="Q7" s="3195"/>
      <c r="R7" s="770" t="s">
        <v>17</v>
      </c>
      <c r="S7" s="771">
        <f t="shared" ref="S7:S15" si="0">F7</f>
        <v>0</v>
      </c>
      <c r="T7" s="770" t="s">
        <v>17</v>
      </c>
      <c r="U7" s="771">
        <f t="shared" ref="U7:U15" si="1">H7</f>
        <v>0</v>
      </c>
      <c r="V7" s="770" t="s">
        <v>17</v>
      </c>
      <c r="W7" s="771">
        <f t="shared" ref="W7:W15" si="2">J7</f>
        <v>0</v>
      </c>
      <c r="X7" s="772"/>
      <c r="Y7" s="3184" t="s">
        <v>2553</v>
      </c>
      <c r="Z7" s="3185"/>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2556</v>
      </c>
      <c r="Q8" s="3185"/>
      <c r="R8" s="770" t="s">
        <v>17</v>
      </c>
      <c r="S8" s="771">
        <f t="shared" si="0"/>
        <v>0</v>
      </c>
      <c r="T8" s="770" t="s">
        <v>17</v>
      </c>
      <c r="U8" s="771">
        <f t="shared" si="1"/>
        <v>0</v>
      </c>
      <c r="V8" s="770" t="s">
        <v>17</v>
      </c>
      <c r="W8" s="771">
        <f t="shared" si="2"/>
        <v>0</v>
      </c>
      <c r="X8" s="772"/>
      <c r="Y8" s="3184" t="s">
        <v>2556</v>
      </c>
      <c r="Z8" s="3185"/>
      <c r="AA8" s="773" t="e">
        <f t="shared" ref="AA8:AA45" si="3">D8/F8</f>
        <v>#DIV/0!</v>
      </c>
      <c r="AB8" s="773" t="e">
        <f t="shared" ref="AB8:AB45" si="4">D8/H8</f>
        <v>#DIV/0!</v>
      </c>
      <c r="AC8" s="773" t="e">
        <f t="shared" ref="AC8:AC45" si="5">D8/J8</f>
        <v>#DIV/0!</v>
      </c>
    </row>
    <row r="9" spans="1:30" s="117" customFormat="1">
      <c r="A9" s="415" t="s">
        <v>2557</v>
      </c>
      <c r="B9" s="71" t="s">
        <v>2558</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2559</v>
      </c>
      <c r="Q9" s="1795"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0" t="s">
        <v>2751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2563</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2564</v>
      </c>
      <c r="Q15" s="1810" t="str">
        <f t="shared" si="6"/>
        <v>居住社区成熟度</v>
      </c>
      <c r="R15" s="774" t="s">
        <v>17</v>
      </c>
      <c r="S15" s="775">
        <f t="shared" si="0"/>
        <v>100</v>
      </c>
      <c r="T15" s="774" t="s">
        <v>17</v>
      </c>
      <c r="U15" s="775">
        <f t="shared" si="1"/>
        <v>100</v>
      </c>
      <c r="V15" s="774" t="s">
        <v>17</v>
      </c>
      <c r="W15" s="775">
        <f t="shared" si="2"/>
        <v>100</v>
      </c>
      <c r="X15" s="1813"/>
      <c r="Y15" s="3201" t="s">
        <v>2564</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2657</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2691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2713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2752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2753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2658</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2"/>
      <c r="Z31" s="1814" t="str">
        <f t="shared" ref="Z31:Z45" si="13">Q31</f>
        <v>临街状况</v>
      </c>
      <c r="AA31" s="1811">
        <f t="shared" si="3"/>
        <v>1</v>
      </c>
      <c r="AB31" s="1811">
        <f t="shared" si="4"/>
        <v>1</v>
      </c>
      <c r="AC31" s="1811">
        <f t="shared" si="5"/>
        <v>1</v>
      </c>
    </row>
    <row r="32" spans="1:29" ht="27">
      <c r="A32" s="428"/>
      <c r="B32" s="1384"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8" t="s">
        <v>2569</v>
      </c>
      <c r="Q36" s="1810">
        <f t="shared" si="8"/>
        <v>111</v>
      </c>
      <c r="R36" s="774" t="s">
        <v>17</v>
      </c>
      <c r="S36" s="775">
        <f t="shared" si="10"/>
        <v>100</v>
      </c>
      <c r="T36" s="774" t="s">
        <v>17</v>
      </c>
      <c r="U36" s="775">
        <f t="shared" si="11"/>
        <v>100</v>
      </c>
      <c r="V36" s="774" t="s">
        <v>17</v>
      </c>
      <c r="W36" s="775">
        <f t="shared" si="12"/>
        <v>100</v>
      </c>
      <c r="X36" s="1813"/>
      <c r="Y36" s="3203" t="s">
        <v>2569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2756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03" t="s">
        <v>2569</v>
      </c>
      <c r="Q42" s="1810" t="str">
        <f t="shared" si="14"/>
        <v>工程地质条件</v>
      </c>
      <c r="R42" s="774" t="s">
        <v>17</v>
      </c>
      <c r="S42" s="775">
        <f t="shared" si="10"/>
        <v>100</v>
      </c>
      <c r="T42" s="774" t="s">
        <v>17</v>
      </c>
      <c r="U42" s="775">
        <f t="shared" si="11"/>
        <v>100</v>
      </c>
      <c r="V42" s="774" t="s">
        <v>17</v>
      </c>
      <c r="W42" s="775">
        <f t="shared" si="12"/>
        <v>100</v>
      </c>
      <c r="X42" s="1813"/>
      <c r="Y42" s="3203" t="s">
        <v>2569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2724</v>
      </c>
      <c r="B46" s="2704" t="s">
        <v>2760</v>
      </c>
      <c r="C46" s="682" t="s">
        <v>1</v>
      </c>
      <c r="D46" s="481"/>
      <c r="E46" s="482"/>
      <c r="F46" s="483"/>
      <c r="G46" s="484"/>
      <c r="H46" s="485"/>
      <c r="I46" s="482"/>
      <c r="J46" s="485"/>
      <c r="K46" s="783"/>
      <c r="L46" s="1143"/>
      <c r="M46" s="1144"/>
      <c r="N46" s="1131"/>
      <c r="O46" s="1144"/>
      <c r="P46" s="3182" t="str">
        <f>A46</f>
        <v>成交单价</v>
      </c>
      <c r="Q46" s="3182"/>
      <c r="R46" s="3200">
        <f>E46</f>
        <v>0</v>
      </c>
      <c r="S46" s="3200"/>
      <c r="T46" s="3200">
        <f>G46</f>
        <v>0</v>
      </c>
      <c r="U46" s="3200"/>
      <c r="V46" s="3200">
        <f>I46</f>
        <v>0</v>
      </c>
      <c r="W46" s="3200"/>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3"/>
      <c r="M48" s="1144"/>
      <c r="N48" s="1144"/>
      <c r="O48" s="1144"/>
      <c r="P48" s="3219" t="str">
        <f>A48</f>
        <v>估价对象XX用房的比较价值（楼面单价，元/平方米）</v>
      </c>
      <c r="Q48" s="3220"/>
      <c r="R48" s="3221" t="e">
        <f>ROUND(AVERAGE(R47:V47),0)</f>
        <v>#DIV/0!</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2762</v>
      </c>
      <c r="B55" s="685" t="s">
        <v>2763</v>
      </c>
      <c r="C55" s="2705" t="s">
        <v>2764</v>
      </c>
      <c r="D55" s="2706" t="s">
        <v>2765</v>
      </c>
      <c r="E55" s="686" t="s">
        <v>2766</v>
      </c>
      <c r="F55" s="1107" t="s">
        <v>2767</v>
      </c>
      <c r="G55" s="3179" t="s">
        <v>2768</v>
      </c>
      <c r="H55" s="3180"/>
      <c r="I55" s="144" t="s">
        <v>2769</v>
      </c>
      <c r="J55" s="2707">
        <f>项目基本情况!F35</f>
        <v>0</v>
      </c>
      <c r="K55" s="2708" t="s">
        <v>2770</v>
      </c>
      <c r="L55" s="1106"/>
      <c r="M55" s="1144"/>
      <c r="N55" s="1144"/>
      <c r="O55" s="1144"/>
    </row>
    <row r="56" spans="1:15" s="692" customFormat="1">
      <c r="A56" s="688" t="s">
        <v>2771</v>
      </c>
      <c r="B56" s="689" t="e">
        <f>C48</f>
        <v>#DIV/0!</v>
      </c>
      <c r="C56" s="690">
        <v>1</v>
      </c>
      <c r="D56" s="1163">
        <v>1</v>
      </c>
      <c r="E56" s="690">
        <f>'数据-汇总表'!E8+'数据-汇总表'!E9</f>
        <v>16443.89</v>
      </c>
      <c r="F56" s="1103" t="e">
        <f t="shared" ref="F56:F65" si="15">ROUND(B56*E56/10000,0)</f>
        <v>#DIV/0!</v>
      </c>
      <c r="G56" s="3181"/>
      <c r="H56" s="3182"/>
      <c r="I56" s="1108">
        <v>1</v>
      </c>
      <c r="J56" s="1111">
        <v>1</v>
      </c>
      <c r="K56" s="1145"/>
      <c r="L56" s="941"/>
      <c r="M56" s="941"/>
      <c r="N56" s="941"/>
      <c r="O56" s="941"/>
    </row>
    <row r="57" spans="1:15" s="692" customFormat="1">
      <c r="A57" s="693" t="s">
        <v>2772</v>
      </c>
      <c r="B57" s="262" t="e">
        <f>ROUND($C$48*C57*D57,0)</f>
        <v>#DIV/0!</v>
      </c>
      <c r="C57" s="200">
        <f t="shared" ref="C57:C65" si="16">IF($C$55="北京市系数",I57,J57)</f>
        <v>0.7</v>
      </c>
      <c r="D57" s="1164">
        <v>0.25</v>
      </c>
      <c r="E57" s="694"/>
      <c r="F57" s="1103" t="e">
        <f t="shared" si="15"/>
        <v>#DIV/0!</v>
      </c>
      <c r="G57" s="3183" t="s">
        <v>2773</v>
      </c>
      <c r="H57" s="1104" t="str">
        <f>项目基本情况!B37</f>
        <v>五级</v>
      </c>
      <c r="I57" s="1108">
        <f>SUMIF(修正!A45:A56,H57,修正!B45:B56)</f>
        <v>0.7</v>
      </c>
      <c r="J57" s="1112"/>
      <c r="K57" s="1144"/>
      <c r="L57" s="941"/>
      <c r="M57" s="941"/>
      <c r="N57" s="941"/>
      <c r="O57" s="941"/>
    </row>
    <row r="58" spans="1:15" s="692" customFormat="1">
      <c r="A58" s="693" t="s">
        <v>2774</v>
      </c>
      <c r="B58" s="262" t="e">
        <f t="shared" ref="B58:B65" si="17">ROUND($C$48*C58*D58,0)</f>
        <v>#DIV/0!</v>
      </c>
      <c r="C58" s="200">
        <f t="shared" si="16"/>
        <v>0.4</v>
      </c>
      <c r="D58" s="1164">
        <v>0.25</v>
      </c>
      <c r="E58" s="694"/>
      <c r="F58" s="1103" t="e">
        <f t="shared" si="15"/>
        <v>#DIV/0!</v>
      </c>
      <c r="G58" s="3183"/>
      <c r="H58" s="1104" t="str">
        <f>项目基本情况!B37</f>
        <v>五级</v>
      </c>
      <c r="I58" s="1108">
        <f>SUMIF(修正!A45:A56,H58,修正!C45:C56)</f>
        <v>0.4</v>
      </c>
      <c r="J58" s="1112"/>
      <c r="K58" s="1145"/>
      <c r="L58" s="941"/>
      <c r="M58" s="941"/>
      <c r="N58" s="941"/>
      <c r="O58" s="941"/>
    </row>
    <row r="59" spans="1:15" s="692" customFormat="1">
      <c r="A59" s="693" t="s">
        <v>2775</v>
      </c>
      <c r="B59" s="262" t="e">
        <f t="shared" si="17"/>
        <v>#DIV/0!</v>
      </c>
      <c r="C59" s="200">
        <f t="shared" si="16"/>
        <v>0.28000000000000003</v>
      </c>
      <c r="D59" s="1164">
        <v>0.25</v>
      </c>
      <c r="E59" s="694"/>
      <c r="F59" s="1103" t="e">
        <f t="shared" si="15"/>
        <v>#DIV/0!</v>
      </c>
      <c r="G59" s="3183"/>
      <c r="H59" s="1104" t="str">
        <f>项目基本情况!B37</f>
        <v>五级</v>
      </c>
      <c r="I59" s="1108">
        <f>SUMIF(修正!A45:A56,H59,修正!D45:D56)</f>
        <v>0.28000000000000003</v>
      </c>
      <c r="J59" s="1112"/>
      <c r="K59" s="1144"/>
      <c r="L59" s="941"/>
      <c r="M59" s="941"/>
      <c r="N59" s="941"/>
      <c r="O59" s="941"/>
    </row>
    <row r="60" spans="1:15" s="692" customFormat="1">
      <c r="A60" s="693" t="s">
        <v>2776</v>
      </c>
      <c r="B60" s="262" t="e">
        <f t="shared" si="17"/>
        <v>#DIV/0!</v>
      </c>
      <c r="C60" s="200">
        <f t="shared" si="16"/>
        <v>0.25</v>
      </c>
      <c r="D60" s="1164">
        <v>0.25</v>
      </c>
      <c r="E60" s="694"/>
      <c r="F60" s="1103" t="e">
        <f t="shared" si="15"/>
        <v>#DIV/0!</v>
      </c>
      <c r="G60" s="3183"/>
      <c r="H60" s="1104" t="str">
        <f>项目基本情况!B37</f>
        <v>五级</v>
      </c>
      <c r="I60" s="1108">
        <f>SUMIF(修正!A45:A56,H60,修正!E45:E56)</f>
        <v>0.25</v>
      </c>
      <c r="J60" s="1112"/>
      <c r="K60" s="1145"/>
      <c r="L60" s="941"/>
      <c r="M60" s="941"/>
      <c r="N60" s="941"/>
      <c r="O60" s="941"/>
    </row>
    <row r="61" spans="1:15" s="692" customFormat="1">
      <c r="A61" s="693" t="s">
        <v>2777</v>
      </c>
      <c r="B61" s="262" t="e">
        <f t="shared" si="17"/>
        <v>#DIV/0!</v>
      </c>
      <c r="C61" s="200">
        <f t="shared" si="16"/>
        <v>0.25</v>
      </c>
      <c r="D61" s="1164">
        <v>0.25</v>
      </c>
      <c r="E61" s="261">
        <f>'数据-汇总表'!E11</f>
        <v>0</v>
      </c>
      <c r="F61" s="1103" t="e">
        <f t="shared" si="15"/>
        <v>#DIV/0!</v>
      </c>
      <c r="G61" s="2709" t="s">
        <v>2778</v>
      </c>
      <c r="H61" s="1104" t="str">
        <f>项目基本情况!C37</f>
        <v>五级</v>
      </c>
      <c r="I61" s="1108">
        <f>SUMIF(修正!A45:A56,H61,修正!F45:F56)</f>
        <v>0.25</v>
      </c>
      <c r="J61" s="1112"/>
      <c r="K61" s="1144"/>
      <c r="L61" s="941"/>
      <c r="M61" s="941"/>
      <c r="N61" s="941"/>
      <c r="O61" s="941"/>
    </row>
    <row r="62" spans="1:15" s="692" customFormat="1">
      <c r="A62" s="693" t="s">
        <v>2779</v>
      </c>
      <c r="B62" s="262" t="e">
        <f t="shared" si="17"/>
        <v>#DIV/0!</v>
      </c>
      <c r="C62" s="200">
        <f t="shared" si="16"/>
        <v>0.25</v>
      </c>
      <c r="D62" s="1164">
        <v>0.25</v>
      </c>
      <c r="E62" s="261">
        <f>'数据-汇总表'!E12</f>
        <v>6269.49</v>
      </c>
      <c r="F62" s="1103" t="e">
        <f t="shared" si="15"/>
        <v>#DIV/0!</v>
      </c>
      <c r="G62" s="1109" t="s">
        <v>2780</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2781</v>
      </c>
      <c r="B63" s="262" t="e">
        <f t="shared" si="17"/>
        <v>#DIV/0!</v>
      </c>
      <c r="C63" s="200">
        <f t="shared" si="16"/>
        <v>0.2</v>
      </c>
      <c r="D63" s="1164">
        <v>0.25</v>
      </c>
      <c r="E63" s="261">
        <f>'数据-汇总表'!E13</f>
        <v>8588.09</v>
      </c>
      <c r="F63" s="1103" t="e">
        <f t="shared" si="15"/>
        <v>#DIV/0!</v>
      </c>
      <c r="G63" s="1109" t="s">
        <v>2782</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2783</v>
      </c>
      <c r="B64" s="262" t="e">
        <f t="shared" si="17"/>
        <v>#DIV/0!</v>
      </c>
      <c r="C64" s="200">
        <f t="shared" si="16"/>
        <v>0.2</v>
      </c>
      <c r="D64" s="1164">
        <v>0.25</v>
      </c>
      <c r="E64" s="261">
        <f>'数据-汇总表'!E14</f>
        <v>0</v>
      </c>
      <c r="F64" s="1103" t="e">
        <f t="shared" si="15"/>
        <v>#DIV/0!</v>
      </c>
      <c r="G64" s="2709" t="s">
        <v>2773</v>
      </c>
      <c r="H64" s="1104" t="str">
        <f>项目基本情况!B37</f>
        <v>五级</v>
      </c>
      <c r="I64" s="1108">
        <f>SUMIF(修正!A45:A56,H64,修正!H45:H56)</f>
        <v>0.2</v>
      </c>
      <c r="J64" s="1112"/>
      <c r="K64" s="1145"/>
      <c r="L64" s="941"/>
      <c r="M64" s="941"/>
      <c r="N64" s="941"/>
      <c r="O64" s="941"/>
    </row>
    <row r="65" spans="1:17" s="692" customFormat="1" ht="15" thickBot="1">
      <c r="A65" s="693" t="s">
        <v>2784</v>
      </c>
      <c r="B65" s="262" t="e">
        <f t="shared" si="17"/>
        <v>#DIV/0!</v>
      </c>
      <c r="C65" s="200">
        <f t="shared" si="16"/>
        <v>0.2</v>
      </c>
      <c r="D65" s="1164">
        <v>0.25</v>
      </c>
      <c r="E65" s="261">
        <f>'数据-汇总表'!E15</f>
        <v>0</v>
      </c>
      <c r="F65" s="1103" t="e">
        <f t="shared" si="15"/>
        <v>#DIV/0!</v>
      </c>
      <c r="G65" s="2710" t="s">
        <v>2778</v>
      </c>
      <c r="H65" s="1114" t="str">
        <f>项目基本情况!C37</f>
        <v>五级</v>
      </c>
      <c r="I65" s="1110">
        <f>SUMIF(修正!A45:A56,H65,修正!H45:H56)</f>
        <v>0.2</v>
      </c>
      <c r="J65" s="1113"/>
      <c r="K65" s="1144"/>
      <c r="L65" s="941"/>
      <c r="M65" s="941"/>
      <c r="N65" s="941"/>
      <c r="O65" s="941"/>
    </row>
    <row r="66" spans="1:17" s="692" customFormat="1" ht="13.5" thickBot="1">
      <c r="A66" s="695" t="s">
        <v>2785</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2678</v>
      </c>
      <c r="B69" s="759"/>
      <c r="C69" s="764"/>
      <c r="D69" s="764"/>
      <c r="E69" s="764"/>
      <c r="F69" s="765"/>
      <c r="G69" s="765"/>
      <c r="H69" s="764"/>
      <c r="I69" s="764"/>
      <c r="J69" s="1159"/>
      <c r="K69" s="1160"/>
      <c r="L69" s="1161"/>
      <c r="M69" s="1159"/>
      <c r="N69" s="1159"/>
      <c r="O69" s="1159"/>
      <c r="P69" s="503"/>
      <c r="Q69" s="504"/>
    </row>
    <row r="70" spans="1:17" s="508" customFormat="1" ht="15">
      <c r="A70" s="2711" t="s">
        <v>2786</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2589</v>
      </c>
      <c r="B72" s="516"/>
      <c r="C72" s="517"/>
      <c r="D72" s="518"/>
      <c r="E72" s="518"/>
      <c r="F72" s="518"/>
      <c r="G72" s="518"/>
      <c r="H72" s="518"/>
      <c r="I72" s="518"/>
      <c r="J72" s="518"/>
      <c r="K72" s="518"/>
      <c r="L72" s="518"/>
      <c r="M72" s="519"/>
      <c r="N72" s="518"/>
      <c r="O72" s="1162"/>
      <c r="P72" s="504"/>
      <c r="Q72" s="504"/>
    </row>
    <row r="73" spans="1:17" s="117" customFormat="1" ht="15">
      <c r="A73" s="521" t="s">
        <v>2554</v>
      </c>
      <c r="B73" s="510"/>
      <c r="C73" s="522" t="s">
        <v>2656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2592</v>
      </c>
      <c r="B75" s="528" t="s">
        <v>2558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2807</v>
      </c>
      <c r="B1" s="241"/>
      <c r="C1" s="245" t="s">
        <v>2808</v>
      </c>
      <c r="D1" s="388">
        <f>SUM(D29:D30,D33:D39)</f>
        <v>31301.47</v>
      </c>
      <c r="E1" s="2717"/>
      <c r="F1" s="2717"/>
      <c r="G1" s="2717"/>
      <c r="H1" s="2717"/>
      <c r="I1" s="2717"/>
      <c r="J1" s="2717"/>
      <c r="K1" s="1370"/>
      <c r="L1" s="2718" t="s">
        <v>2809</v>
      </c>
      <c r="M1" s="1080">
        <f>SUMPRODUCT((区片价!B5:B9=I2)*(区片价!C3:F3=E2)*(区片价!C5:F9))</f>
        <v>0</v>
      </c>
      <c r="N1" s="1083">
        <f>SUMPRODUCT((因素修正幅度!B5:B9=I2)*(因素修正幅度!C3:F3=E2)*(因素修正幅度!C5:F9))</f>
        <v>0</v>
      </c>
      <c r="O1" s="2719"/>
      <c r="P1" s="2719"/>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25.5">
      <c r="A2" s="245" t="s">
        <v>2815</v>
      </c>
      <c r="B2" s="248">
        <f ca="1">C26</f>
        <v>5745</v>
      </c>
      <c r="C2" s="2721" t="s">
        <v>2816</v>
      </c>
      <c r="D2" s="2722" t="s">
        <v>2817</v>
      </c>
      <c r="E2" s="2723" t="s">
        <v>6</v>
      </c>
      <c r="F2" s="2722" t="s">
        <v>2818</v>
      </c>
      <c r="G2" s="2724" t="str">
        <f>IF(E2="商业",项目基本情况!B37,IF(E2="办公",项目基本情况!C37,IF(E2="住宅",项目基本情况!D37,项目基本情况!E37)))</f>
        <v>五级</v>
      </c>
      <c r="H2" s="2722" t="s">
        <v>2819</v>
      </c>
      <c r="I2" s="2724" t="str">
        <f>IF(E2="商业",项目基本情况!B38,IF(E2="办公",项目基本情况!C38,IF(E2="住宅",项目基本情况!D38,项目基本情况!E38)))</f>
        <v>Ⅴ-永丰产业基地</v>
      </c>
      <c r="J2" s="2725"/>
      <c r="K2" s="1370"/>
      <c r="L2" s="2726"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5262</v>
      </c>
      <c r="U2" s="1603"/>
      <c r="V2" s="1602">
        <f ca="1">ROUND(T2*U2/10000,0)</f>
        <v>0</v>
      </c>
      <c r="W2" s="1606"/>
      <c r="X2" s="1606"/>
      <c r="Y2" s="1606"/>
      <c r="Z2" s="1606"/>
      <c r="AA2" s="1606"/>
      <c r="AB2" s="1606"/>
      <c r="AC2" s="1607"/>
      <c r="AD2" s="1608"/>
      <c r="AE2" s="1608"/>
      <c r="AF2" s="1608"/>
      <c r="AG2" s="1608"/>
      <c r="AH2" s="1608"/>
      <c r="AI2" s="1608"/>
      <c r="AJ2" s="1609"/>
    </row>
    <row r="3" spans="1:36" ht="15.75">
      <c r="A3" s="247" t="s">
        <v>2821</v>
      </c>
      <c r="B3" s="248">
        <f ca="1">ROUND(B2*10000/D1,0)</f>
        <v>1835</v>
      </c>
      <c r="C3" s="2721" t="s">
        <v>2822</v>
      </c>
      <c r="D3" s="2722" t="s">
        <v>2823</v>
      </c>
      <c r="E3" s="2727" t="s">
        <v>3056</v>
      </c>
      <c r="F3" s="2728" t="s">
        <v>2824</v>
      </c>
      <c r="G3" s="913">
        <f>IF(F3="宗地容积率",'数据-汇总表'!I4,IF(F3="估价对象容积率",'数据-汇总表'!I6,'数据-汇总表'!I7))</f>
        <v>1.39</v>
      </c>
      <c r="H3" s="198" t="s">
        <v>2825</v>
      </c>
      <c r="I3" s="944"/>
      <c r="J3" s="2725" t="s">
        <v>2826</v>
      </c>
      <c r="K3" s="1370"/>
      <c r="L3" s="2726" t="s">
        <v>2827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0"/>
      <c r="L4" s="2726" t="s">
        <v>2828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2829</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2830</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2445</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2831</v>
      </c>
      <c r="B6" s="2740" t="s">
        <v>2832</v>
      </c>
      <c r="C6" s="915">
        <f>SUMIF(L1:L12,G2,M1:M12)</f>
        <v>2320</v>
      </c>
      <c r="D6" s="2741" t="s">
        <v>2833</v>
      </c>
      <c r="E6" s="2742"/>
      <c r="F6" s="2742"/>
      <c r="G6" s="2743"/>
      <c r="H6" s="2743"/>
      <c r="I6" s="2743"/>
      <c r="J6" s="2744"/>
      <c r="K6" s="1842"/>
      <c r="L6" s="2726" t="s">
        <v>2834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2082</v>
      </c>
      <c r="U6" s="1603"/>
      <c r="V6" s="1602">
        <f t="shared" ca="1" si="1"/>
        <v>0</v>
      </c>
      <c r="W6" s="1606"/>
      <c r="X6" s="1606"/>
      <c r="Y6" s="1606"/>
      <c r="Z6" s="1606"/>
      <c r="AA6" s="1606"/>
      <c r="AB6" s="1606"/>
      <c r="AC6" s="2735"/>
      <c r="AD6" s="2736"/>
      <c r="AE6" s="2736"/>
      <c r="AF6" s="2736"/>
      <c r="AG6" s="2736"/>
      <c r="AH6" s="2736"/>
      <c r="AI6" s="2736"/>
      <c r="AJ6" s="2737"/>
    </row>
    <row r="7" spans="1:36" ht="24">
      <c r="A7" s="3285" t="str">
        <f>IF(E2="商业",IF(C8="不临58条商业街","",2),"")</f>
        <v/>
      </c>
      <c r="B7" s="2745" t="s">
        <v>2835</v>
      </c>
      <c r="C7" s="916" t="e">
        <f>IF(C8="不临58条商业街",1,ROUND(1+(1.6*E8+1.2*E9+0.8*E10+0.4*E11)*C9,4))</f>
        <v>#DIV/0!</v>
      </c>
      <c r="D7" s="2746" t="s">
        <v>2836</v>
      </c>
      <c r="E7" s="945"/>
      <c r="F7" s="2747"/>
      <c r="G7" s="2748"/>
      <c r="H7" s="2748"/>
      <c r="I7" s="2748"/>
      <c r="J7" s="2749"/>
      <c r="K7" s="1842"/>
      <c r="L7" s="2726" t="s">
        <v>2837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1831</v>
      </c>
      <c r="U7" s="1603"/>
      <c r="V7" s="1602">
        <f t="shared" ca="1" si="1"/>
        <v>0</v>
      </c>
      <c r="W7" s="1816" t="s">
        <v>2838</v>
      </c>
      <c r="X7" s="1604" t="str">
        <f>G2</f>
        <v>五级</v>
      </c>
      <c r="Y7" s="1604" t="s">
        <v>2839</v>
      </c>
      <c r="Z7" s="1605">
        <f>G3</f>
        <v>1.39</v>
      </c>
      <c r="AA7" s="1606"/>
      <c r="AB7" s="1606"/>
      <c r="AC7" s="1607"/>
      <c r="AD7" s="1608"/>
      <c r="AE7" s="1608"/>
      <c r="AF7" s="1608"/>
      <c r="AG7" s="1608"/>
      <c r="AH7" s="1608"/>
      <c r="AI7" s="1608"/>
      <c r="AJ7" s="1609"/>
    </row>
    <row r="8" spans="1:36" ht="15">
      <c r="A8" s="3286"/>
      <c r="B8" s="198" t="s">
        <v>2840</v>
      </c>
      <c r="C8" s="2750"/>
      <c r="D8" s="917" t="s">
        <v>139</v>
      </c>
      <c r="E8" s="918" t="e">
        <f>ROUND(C11/E7,4)</f>
        <v>#DIV/0!</v>
      </c>
      <c r="F8" s="2751" t="s">
        <v>2841</v>
      </c>
      <c r="G8" s="2752"/>
      <c r="H8" s="2752"/>
      <c r="I8" s="2752"/>
      <c r="J8" s="2753"/>
      <c r="K8" s="1370"/>
      <c r="L8" s="2726" t="s">
        <v>2842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8" t="s">
        <v>2843</v>
      </c>
      <c r="X8" s="3279"/>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286"/>
      <c r="B9" s="198" t="s">
        <v>2856</v>
      </c>
      <c r="C9" s="919">
        <f>SUMIF(修正!C59:C119,C8,修正!E59:E119)</f>
        <v>0</v>
      </c>
      <c r="D9" s="200" t="s">
        <v>140</v>
      </c>
      <c r="E9" s="200" t="e">
        <f>ROUND(C11/E7,4)</f>
        <v>#DIV/0!</v>
      </c>
      <c r="F9" s="2751" t="s">
        <v>2857</v>
      </c>
      <c r="G9" s="2752"/>
      <c r="H9" s="2752"/>
      <c r="I9" s="2752"/>
      <c r="J9" s="2753"/>
      <c r="K9" s="1370"/>
      <c r="L9" s="2726" t="s">
        <v>2858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80" t="s">
        <v>2859</v>
      </c>
      <c r="X9" s="1611" t="s">
        <v>2860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2861</v>
      </c>
      <c r="C10" s="200">
        <f>SUMIF(修正!C59:C119,C8,修正!F59:F119)</f>
        <v>0</v>
      </c>
      <c r="D10" s="200" t="s">
        <v>141</v>
      </c>
      <c r="E10" s="200" t="e">
        <f>ROUND(C11/E7,4)</f>
        <v>#DIV/0!</v>
      </c>
      <c r="F10" s="2751" t="s">
        <v>2862</v>
      </c>
      <c r="G10" s="2752"/>
      <c r="H10" s="2752"/>
      <c r="I10" s="2752"/>
      <c r="J10" s="2753"/>
      <c r="K10" s="1370"/>
      <c r="L10" s="2726" t="s">
        <v>2863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4" t="s">
        <v>2864</v>
      </c>
      <c r="C11" s="920">
        <f>C10/4</f>
        <v>0</v>
      </c>
      <c r="D11" s="920" t="s">
        <v>142</v>
      </c>
      <c r="E11" s="920" t="e">
        <f>ROUND(C11/E7,4)</f>
        <v>#DIV/0!</v>
      </c>
      <c r="F11" s="2755" t="s">
        <v>2865</v>
      </c>
      <c r="G11" s="2756"/>
      <c r="H11" s="2756"/>
      <c r="I11" s="2756"/>
      <c r="J11" s="2757"/>
      <c r="K11" s="1370"/>
      <c r="L11" s="2726" t="s">
        <v>2866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0" t="s">
        <v>2867</v>
      </c>
      <c r="X11" s="1614" t="s">
        <v>2868</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85" t="s">
        <v>2869</v>
      </c>
      <c r="B12" s="2758" t="s">
        <v>2870</v>
      </c>
      <c r="C12" s="916">
        <f>ROUND(C15*D15*E15*F15*G15*H15*I15*J15,4)</f>
        <v>1</v>
      </c>
      <c r="D12" s="2759" t="s">
        <v>2871</v>
      </c>
      <c r="E12" s="2760"/>
      <c r="F12" s="2760"/>
      <c r="G12" s="2761"/>
      <c r="H12" s="2761"/>
      <c r="I12" s="2761"/>
      <c r="J12" s="2762"/>
      <c r="K12" s="1370"/>
      <c r="L12" s="2763" t="s">
        <v>2872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0"/>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4" t="s">
        <v>2874</v>
      </c>
      <c r="C13" s="2765" t="s">
        <v>2875</v>
      </c>
      <c r="D13" s="1808" t="s">
        <v>2876</v>
      </c>
      <c r="E13" s="1808" t="s">
        <v>2877</v>
      </c>
      <c r="F13" s="30" t="s">
        <v>2878</v>
      </c>
      <c r="G13" s="2766" t="s">
        <v>2879</v>
      </c>
      <c r="H13" s="2766" t="s">
        <v>2879</v>
      </c>
      <c r="I13" s="2766" t="s">
        <v>2879</v>
      </c>
      <c r="J13" s="2767" t="s">
        <v>2879</v>
      </c>
      <c r="K13" s="1370"/>
      <c r="L13" s="1370"/>
      <c r="M13" s="1370"/>
      <c r="N13" s="1370"/>
      <c r="O13" s="1370"/>
      <c r="P13" s="1370"/>
      <c r="Q13" s="1370"/>
      <c r="R13" s="1602">
        <v>12</v>
      </c>
      <c r="S13" s="1603"/>
      <c r="T13" s="1602">
        <f t="shared" ca="1" si="0"/>
        <v>0</v>
      </c>
      <c r="U13" s="1603"/>
      <c r="V13" s="1602">
        <f t="shared" ca="1" si="1"/>
        <v>0</v>
      </c>
      <c r="W13" s="3280"/>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87"/>
      <c r="B14" s="2768"/>
      <c r="C14" s="2769"/>
      <c r="D14" s="2770"/>
      <c r="E14" s="2770"/>
      <c r="F14" s="2771"/>
      <c r="G14" s="2772" t="s">
        <v>2880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8"/>
      <c r="B15" s="2776" t="s">
        <v>2881</v>
      </c>
      <c r="C15" s="229">
        <f>IF(C14="有",1.1,1)</f>
        <v>1</v>
      </c>
      <c r="D15" s="229">
        <f>IF(D14="有",1.1,1)</f>
        <v>1</v>
      </c>
      <c r="E15" s="229">
        <f>IF(E14="有",1.1,1)</f>
        <v>1</v>
      </c>
      <c r="F15" s="229">
        <f>IF(F14="500米范围内",1.2,IF(F14="500-1000米",1.1,1))</f>
        <v>1</v>
      </c>
      <c r="G15" s="946">
        <v>1</v>
      </c>
      <c r="H15" s="946">
        <v>1</v>
      </c>
      <c r="I15" s="946">
        <v>1</v>
      </c>
      <c r="J15" s="947">
        <v>1</v>
      </c>
      <c r="K15" s="1370"/>
      <c r="L15" s="2777" t="s">
        <v>2817</v>
      </c>
      <c r="M15" s="917" t="s">
        <v>2882</v>
      </c>
      <c r="N15" s="917" t="s">
        <v>2883</v>
      </c>
      <c r="O15" s="917" t="s">
        <v>2884</v>
      </c>
      <c r="P15" s="2778" t="s">
        <v>2885</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5" t="s">
        <v>2886</v>
      </c>
      <c r="B16" s="2745" t="s">
        <v>2887</v>
      </c>
      <c r="C16" s="1801">
        <f>ROUND(SUM(G17:J17)/C17,0)</f>
        <v>33</v>
      </c>
      <c r="D16" s="2779" t="s">
        <v>2888</v>
      </c>
      <c r="E16" s="2780" t="s">
        <v>3322</v>
      </c>
      <c r="F16" s="2781" t="s">
        <v>3327</v>
      </c>
      <c r="G16" s="2782" t="s">
        <v>3326</v>
      </c>
      <c r="H16" s="2782"/>
      <c r="I16" s="2782"/>
      <c r="J16" s="2783"/>
      <c r="K16" s="1370"/>
      <c r="L16" s="2784" t="s">
        <v>2889</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6"/>
      <c r="B17" s="2785" t="s">
        <v>2890</v>
      </c>
      <c r="C17" s="921">
        <f>SUMPRODUCT((修正!A2:A5=E2)*(修正!B1:M1=G2)*(修正!B2:M5))</f>
        <v>1.5</v>
      </c>
      <c r="D17" s="2786" t="s">
        <v>2891</v>
      </c>
      <c r="E17" s="920" t="str">
        <f>IF(OR(G2="八级",G2="九级",G2="十级",G2="十一级",G2="十二级"),"五通一平","七通一平")</f>
        <v>七通一平</v>
      </c>
      <c r="F17" s="921" t="s">
        <v>2892</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2894</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2895</v>
      </c>
      <c r="C19" s="924">
        <f>ROUND(IF(H19="按公示增长率计算",SUMPRODUCT((地价!A3:A22=YEAR(G19)&amp;"-"&amp;ROUNDUP(MONTH(G19)/3,0))*(地价!X2:AB2=E2)*(地价!X3:AB22)),IF(H19="地价指数",M20/M19,(1+I19)^O19)),4)</f>
        <v>1.2557</v>
      </c>
      <c r="D19" s="2797" t="s">
        <v>2896</v>
      </c>
      <c r="E19" s="925">
        <v>41640</v>
      </c>
      <c r="F19" s="2797" t="s">
        <v>2897</v>
      </c>
      <c r="G19" s="926">
        <f>'数据-取费表'!B2</f>
        <v>43276</v>
      </c>
      <c r="H19" s="2798" t="s">
        <v>3323</v>
      </c>
      <c r="I19" s="927" t="str">
        <f>IF(H19="季度增幅（自定义）",SUMIF(N21:N24,E2,O21:O24),"")</f>
        <v/>
      </c>
      <c r="J19" s="2795"/>
      <c r="K19" s="1377"/>
      <c r="L19" s="2799" t="s">
        <v>2898</v>
      </c>
      <c r="M19" s="1734">
        <f>ROUND(SUMIF(地价!B2:F2,E2,地价!B22:F22),0)</f>
        <v>230</v>
      </c>
      <c r="N19" s="2800" t="s">
        <v>2899</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2900</v>
      </c>
      <c r="C20" s="929">
        <f ca="1">ROUND(POWER(1+G20,J20-I20)*(POWER(1+G20,I20)-1)/(POWER(1+G20,J20)-1),4)</f>
        <v>0.9758</v>
      </c>
      <c r="D20" s="2806" t="s">
        <v>2901</v>
      </c>
      <c r="E20" s="1768">
        <f ca="1">存贷款利率!D4/100</f>
        <v>4.3499999999999997E-2</v>
      </c>
      <c r="F20" s="2806" t="s">
        <v>2893</v>
      </c>
      <c r="G20" s="934">
        <f ca="1">SUMIF(M15:P15,E2,M17:P17)</f>
        <v>4.8000000000000001E-2</v>
      </c>
      <c r="H20" s="2806" t="s">
        <v>2902</v>
      </c>
      <c r="I20" s="935">
        <f>SUMIF('数据-取费表'!C6:C15,E2,'数据-取费表'!F6:F15)/COUNTIF('数据-取费表'!C6:C15,E2)</f>
        <v>45.609999999999992</v>
      </c>
      <c r="J20" s="936">
        <f>IF(E2="住宅",70,IF(E2="商业",40,50))</f>
        <v>50</v>
      </c>
      <c r="K20" s="1377"/>
      <c r="L20" s="2807" t="s">
        <v>2903</v>
      </c>
      <c r="M20" s="1735">
        <f>ROUND(SUMPRODUCT((地价!A4:A22=YEAR(G19)&amp;"-"&amp;ROUNDUP(MONTH(G19)/3,0))*(地价!B2:F2=E2)*(地价!B4:F22)),0)</f>
        <v>289</v>
      </c>
      <c r="N20" s="2808" t="s">
        <v>2904</v>
      </c>
      <c r="O20" s="2809" t="s">
        <v>2905</v>
      </c>
      <c r="P20" s="2810" t="s">
        <v>2906</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3324</v>
      </c>
      <c r="C21" s="937">
        <f>IF(B21="容积率修正",IF(G3&lt;=10,D22,J22),C23)</f>
        <v>1.0304</v>
      </c>
      <c r="D21" s="2813"/>
      <c r="E21" s="2813"/>
      <c r="F21" s="2813"/>
      <c r="G21" s="2813"/>
      <c r="H21" s="2813"/>
      <c r="I21" s="2813"/>
      <c r="J21" s="2814"/>
      <c r="K21" s="1377"/>
      <c r="N21" s="2815" t="s">
        <v>2907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2908</v>
      </c>
      <c r="B22" s="2816" t="s">
        <v>2909</v>
      </c>
      <c r="C22" s="1810" t="s">
        <v>2910</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2911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2912</v>
      </c>
      <c r="B23" s="2817" t="s">
        <v>2913</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2915</v>
      </c>
      <c r="C24" s="924">
        <f>SUMIF(A45:A88,E2,B45:B88)</f>
        <v>1.0079</v>
      </c>
      <c r="D24" s="2793"/>
      <c r="E24" s="2823"/>
      <c r="F24" s="2823"/>
      <c r="G24" s="2823"/>
      <c r="H24" s="2823"/>
      <c r="I24" s="2823"/>
      <c r="J24" s="2824"/>
      <c r="K24" s="1377"/>
      <c r="N24" s="2825" t="s">
        <v>2916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2917</v>
      </c>
      <c r="C25" s="930"/>
      <c r="D25" s="2748"/>
      <c r="E25" s="2748"/>
      <c r="F25" s="2827"/>
      <c r="G25" s="2748"/>
      <c r="H25" s="2748"/>
      <c r="I25" s="2748"/>
      <c r="J25" s="2749"/>
      <c r="K25" s="1370"/>
      <c r="N25" s="2828" t="s">
        <v>2918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2919</v>
      </c>
      <c r="C26" s="206">
        <f ca="1">E29+SUM(E33:E39)</f>
        <v>5745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2920</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2921</v>
      </c>
      <c r="C28" s="2840" t="s">
        <v>2922</v>
      </c>
      <c r="D28" s="2840" t="s">
        <v>2923</v>
      </c>
      <c r="E28" s="2841" t="s">
        <v>2924</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2925</v>
      </c>
      <c r="C29" s="206">
        <f ca="1">ROUND(C5*C18*C19*C20*C21*C24,0)</f>
        <v>2910</v>
      </c>
      <c r="D29" s="2845">
        <f>'数据-汇总表'!F19</f>
        <v>16443.89</v>
      </c>
      <c r="E29" s="942">
        <f ca="1">ROUND(C29*D29/10000,0)</f>
        <v>4785</v>
      </c>
      <c r="F29" s="2846" t="s">
        <v>2926</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2927</v>
      </c>
      <c r="C30" s="229">
        <f ca="1">ROUND(IF(E2="工业",C29*M39,C29*M38),0)</f>
        <v>437</v>
      </c>
      <c r="D30" s="2851"/>
      <c r="E30" s="942">
        <f ca="1">ROUND(C30*D30/10000,0)</f>
        <v>0</v>
      </c>
      <c r="F30" s="2852" t="s">
        <v>2928</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2929</v>
      </c>
      <c r="C31" s="2857" t="s">
        <v>2930</v>
      </c>
      <c r="D31" s="2761"/>
      <c r="E31" s="2857"/>
      <c r="F31" s="2857"/>
      <c r="G31" s="2759" t="s">
        <v>2931</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2922</v>
      </c>
      <c r="D32" s="498" t="s">
        <v>2923</v>
      </c>
      <c r="E32" s="498" t="s">
        <v>2924</v>
      </c>
      <c r="F32" s="388" t="s">
        <v>2932</v>
      </c>
      <c r="G32" s="2860" t="s">
        <v>2922</v>
      </c>
      <c r="H32" s="2860" t="s">
        <v>2923</v>
      </c>
      <c r="I32" s="2860" t="s">
        <v>2924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95" t="s">
        <v>2933</v>
      </c>
      <c r="B33" s="2861" t="s">
        <v>2934</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65" t="s">
        <v>2935</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65" t="s">
        <v>2936</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97"/>
      <c r="B36" s="2765" t="s">
        <v>2937</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2938</v>
      </c>
      <c r="C37" s="200">
        <f ca="1">ROUND(C5*C19*C20*C24*F37,0)</f>
        <v>706</v>
      </c>
      <c r="D37" s="2845"/>
      <c r="E37" s="200">
        <f t="shared" ca="1" si="7"/>
        <v>0</v>
      </c>
      <c r="F37" s="206">
        <f>SUMIF(修正!A45:A56,G2,修正!F45:F56)</f>
        <v>0.25</v>
      </c>
      <c r="G37" s="200">
        <f t="shared" ca="1" si="6"/>
        <v>177</v>
      </c>
      <c r="H37" s="200">
        <f t="shared" si="8"/>
        <v>0</v>
      </c>
      <c r="I37" s="200">
        <f t="shared" ca="1" si="9"/>
        <v>0</v>
      </c>
      <c r="J37" s="2862"/>
      <c r="K37" s="1370"/>
      <c r="L37" s="2864" t="s">
        <v>2939</v>
      </c>
      <c r="M37" s="2865"/>
      <c r="N37" s="1370"/>
      <c r="O37" s="1370"/>
      <c r="P37" s="1370"/>
      <c r="Q37" s="1370"/>
      <c r="R37" s="1370"/>
      <c r="S37" s="1370"/>
      <c r="T37" s="1370"/>
      <c r="U37" s="1370"/>
      <c r="V37" s="1370"/>
      <c r="W37" s="1370"/>
      <c r="X37" s="1370"/>
      <c r="Y37" s="1370"/>
      <c r="Z37" s="1371"/>
    </row>
    <row r="38" spans="1:37">
      <c r="A38" s="2863"/>
      <c r="B38" s="2765" t="s">
        <v>2940</v>
      </c>
      <c r="C38" s="200">
        <f ca="1">ROUND(C5*C19*C20*C24*F38,0)</f>
        <v>706</v>
      </c>
      <c r="D38" s="2845">
        <f>'数据-汇总表'!G20</f>
        <v>8588.09</v>
      </c>
      <c r="E38" s="200">
        <f t="shared" ca="1" si="7"/>
        <v>606</v>
      </c>
      <c r="F38" s="206">
        <f>SUMIF(修正!A45:A56,G2,修正!G45:G56)</f>
        <v>0.25</v>
      </c>
      <c r="G38" s="200">
        <f t="shared" ca="1" si="6"/>
        <v>177</v>
      </c>
      <c r="H38" s="200">
        <f t="shared" si="8"/>
        <v>8588.09</v>
      </c>
      <c r="I38" s="200">
        <f t="shared" ca="1" si="9"/>
        <v>152</v>
      </c>
      <c r="J38" s="2862"/>
      <c r="K38" s="1370"/>
      <c r="L38" s="1887" t="s">
        <v>2941</v>
      </c>
      <c r="M38" s="2866">
        <v>0.25</v>
      </c>
      <c r="N38" s="1370"/>
      <c r="O38" s="1370"/>
      <c r="P38" s="1370"/>
      <c r="Q38" s="1370"/>
      <c r="R38" s="1370"/>
      <c r="S38" s="1370"/>
      <c r="T38" s="1370"/>
      <c r="U38" s="1370"/>
      <c r="V38" s="1370"/>
      <c r="W38" s="1370"/>
      <c r="X38" s="1370"/>
      <c r="Y38" s="1370"/>
      <c r="Z38" s="1371"/>
    </row>
    <row r="39" spans="1:37" ht="13.5" thickBot="1">
      <c r="A39" s="2849"/>
      <c r="B39" s="2867" t="s">
        <v>2942</v>
      </c>
      <c r="C39" s="229">
        <f ca="1">ROUND(C5*C19*C20*C24*F39,0)</f>
        <v>565</v>
      </c>
      <c r="D39" s="2851">
        <f>'数据-汇总表'!G21</f>
        <v>6269.49</v>
      </c>
      <c r="E39" s="229">
        <f t="shared" ca="1" si="7"/>
        <v>354</v>
      </c>
      <c r="F39" s="932">
        <f>SUMIF(修正!A45:A56,G2,修正!H45:H56)</f>
        <v>0.2</v>
      </c>
      <c r="G39" s="229" t="e">
        <f t="shared" si="6"/>
        <v>#DIV/0!</v>
      </c>
      <c r="H39" s="229">
        <f t="shared" si="8"/>
        <v>6269.49</v>
      </c>
      <c r="I39" s="229" t="e">
        <f t="shared" si="9"/>
        <v>#DIV/0!</v>
      </c>
      <c r="J39" s="2868"/>
      <c r="K39" s="1370"/>
      <c r="L39" s="2869" t="s">
        <v>2885</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2943</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2944</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2945</v>
      </c>
      <c r="B47" s="1809" t="s">
        <v>2946</v>
      </c>
      <c r="C47" s="1809" t="s">
        <v>2947</v>
      </c>
      <c r="D47" s="1809" t="s">
        <v>2948</v>
      </c>
      <c r="E47" s="816" t="s">
        <v>2949</v>
      </c>
      <c r="F47" s="2879" t="s">
        <v>2950</v>
      </c>
      <c r="G47" s="1809" t="s">
        <v>754</v>
      </c>
      <c r="H47" s="2880" t="s">
        <v>2951</v>
      </c>
      <c r="I47" s="1809" t="s">
        <v>2952</v>
      </c>
      <c r="J47" s="603" t="s">
        <v>2601</v>
      </c>
      <c r="K47" s="603" t="s">
        <v>2602</v>
      </c>
      <c r="L47" s="603" t="s">
        <v>2603</v>
      </c>
      <c r="M47" s="603" t="s">
        <v>2604</v>
      </c>
      <c r="N47" s="603" t="s">
        <v>2605</v>
      </c>
      <c r="AA47" s="1371"/>
      <c r="AB47" s="1371"/>
      <c r="AC47" s="1371"/>
      <c r="AD47" s="1371"/>
      <c r="AE47" s="1371"/>
      <c r="AF47" s="1371"/>
      <c r="AG47" s="1371"/>
      <c r="AH47" s="1371"/>
      <c r="AI47" s="1371"/>
      <c r="AJ47" s="1371"/>
      <c r="AK47" s="1371"/>
    </row>
    <row r="48" spans="1:37" s="1370" customFormat="1" ht="38.25">
      <c r="A48" s="2878" t="s">
        <v>2953</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2954</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2955</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2956</v>
      </c>
      <c r="B51" s="2883" t="s">
        <v>2957</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2958</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2959</v>
      </c>
      <c r="B53" s="2884" t="s">
        <v>2960</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2961</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2962</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2963</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2964</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2945</v>
      </c>
      <c r="B58" s="1809"/>
      <c r="C58" s="1809" t="s">
        <v>2947</v>
      </c>
      <c r="D58" s="1809" t="s">
        <v>2948</v>
      </c>
      <c r="E58" s="816" t="s">
        <v>2949</v>
      </c>
      <c r="F58" s="2879" t="s">
        <v>2965</v>
      </c>
      <c r="G58" s="1809" t="s">
        <v>754</v>
      </c>
      <c r="H58" s="2880" t="s">
        <v>2951</v>
      </c>
      <c r="I58" s="1809" t="s">
        <v>2952</v>
      </c>
      <c r="J58" s="603" t="s">
        <v>2601</v>
      </c>
      <c r="K58" s="603" t="s">
        <v>2602</v>
      </c>
      <c r="L58" s="603" t="s">
        <v>2603</v>
      </c>
      <c r="M58" s="603" t="s">
        <v>2604</v>
      </c>
      <c r="N58" s="603" t="s">
        <v>2605</v>
      </c>
      <c r="AA58" s="1371"/>
      <c r="AB58" s="1371"/>
      <c r="AC58" s="1371"/>
      <c r="AD58" s="1371"/>
      <c r="AE58" s="1371"/>
      <c r="AF58" s="1371"/>
      <c r="AG58" s="1371"/>
      <c r="AH58" s="1371"/>
      <c r="AI58" s="1371"/>
      <c r="AJ58" s="1371"/>
      <c r="AK58" s="1371"/>
    </row>
    <row r="59" spans="1:37" s="1370" customFormat="1" ht="38.25">
      <c r="A59" s="2878" t="s">
        <v>2966</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2954</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2955</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2956</v>
      </c>
      <c r="B62" s="2883" t="s">
        <v>2957</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2958</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2959</v>
      </c>
      <c r="B64" s="2884" t="s">
        <v>2960</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2961</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2962</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2963</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2967</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2945</v>
      </c>
      <c r="B69" s="1809"/>
      <c r="C69" s="1809" t="s">
        <v>2947</v>
      </c>
      <c r="D69" s="1809" t="s">
        <v>2948</v>
      </c>
      <c r="E69" s="816" t="s">
        <v>2949</v>
      </c>
      <c r="F69" s="2879" t="s">
        <v>2965</v>
      </c>
      <c r="G69" s="1809" t="s">
        <v>754</v>
      </c>
      <c r="H69" s="2880" t="s">
        <v>2951</v>
      </c>
      <c r="I69" s="1809" t="s">
        <v>2952</v>
      </c>
      <c r="J69" s="603" t="s">
        <v>2601</v>
      </c>
      <c r="K69" s="603" t="s">
        <v>2602</v>
      </c>
      <c r="L69" s="603" t="s">
        <v>2603</v>
      </c>
      <c r="M69" s="603" t="s">
        <v>2604</v>
      </c>
      <c r="N69" s="603" t="s">
        <v>2605</v>
      </c>
      <c r="AA69" s="1371"/>
      <c r="AB69" s="1371"/>
      <c r="AC69" s="1371"/>
      <c r="AD69" s="1371"/>
      <c r="AE69" s="1371"/>
      <c r="AF69" s="1371"/>
      <c r="AG69" s="1371"/>
      <c r="AH69" s="1371"/>
      <c r="AI69" s="1371"/>
      <c r="AJ69" s="1371"/>
      <c r="AK69" s="1371"/>
    </row>
    <row r="70" spans="1:37" s="1370" customFormat="1" ht="51">
      <c r="A70" s="2878" t="s">
        <v>2968</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2954</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2955</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2969</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2961</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2962</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2959</v>
      </c>
      <c r="B76" s="2884" t="s">
        <v>2960</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2963</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2970</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2971</v>
      </c>
      <c r="B79" s="2875">
        <f>1+E81</f>
        <v>1.0079</v>
      </c>
      <c r="C79" s="811"/>
      <c r="D79" s="811"/>
      <c r="E79" s="812"/>
      <c r="F79" s="2877"/>
      <c r="G79" s="6"/>
      <c r="H79" s="6"/>
      <c r="I79" s="6"/>
      <c r="J79" s="7"/>
      <c r="K79" s="7"/>
      <c r="L79" s="7"/>
      <c r="M79" s="7"/>
      <c r="N79" s="7"/>
      <c r="Z79" s="2720"/>
      <c r="AA79" s="2796"/>
      <c r="AG79" s="1372"/>
      <c r="AK79" s="2796"/>
    </row>
    <row r="80" spans="1:37" ht="24.75">
      <c r="A80" s="2878" t="s">
        <v>2945</v>
      </c>
      <c r="B80" s="1809"/>
      <c r="C80" s="1809" t="s">
        <v>2947</v>
      </c>
      <c r="D80" s="1809" t="s">
        <v>2948</v>
      </c>
      <c r="E80" s="816" t="s">
        <v>2949</v>
      </c>
      <c r="F80" s="2879" t="s">
        <v>2965</v>
      </c>
      <c r="G80" s="1809" t="s">
        <v>754</v>
      </c>
      <c r="H80" s="2880" t="s">
        <v>2951</v>
      </c>
      <c r="I80" s="1809" t="s">
        <v>2952</v>
      </c>
      <c r="J80" s="603" t="s">
        <v>2601</v>
      </c>
      <c r="K80" s="603" t="s">
        <v>2602</v>
      </c>
      <c r="L80" s="603" t="s">
        <v>2603</v>
      </c>
      <c r="M80" s="603" t="s">
        <v>2604</v>
      </c>
      <c r="N80" s="603" t="s">
        <v>2605</v>
      </c>
      <c r="Z80" s="2720"/>
      <c r="AA80" s="2796"/>
      <c r="AG80" s="1372"/>
      <c r="AK80" s="2796"/>
    </row>
    <row r="81" spans="1:37" ht="38.25">
      <c r="A81" s="2878" t="s">
        <v>2972</v>
      </c>
      <c r="B81" s="2882" t="str">
        <f>估价对象房地状况!G15</f>
        <v>估价对象位于XX开发区，园区建设成熟度XX，产业集聚程度XX</v>
      </c>
      <c r="C81" s="2770" t="s">
        <v>3088</v>
      </c>
      <c r="D81" s="1286">
        <f t="shared" ref="D81:D88" si="25">SUMIF($J$80:$N$80,C81,J81:N81)</f>
        <v>6.4999999999999997E-3</v>
      </c>
      <c r="E81" s="818">
        <f>ROUND(SUM(D81:D88),4)</f>
        <v>7.9000000000000008E-3</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2954</v>
      </c>
      <c r="B82" s="2882" t="str">
        <f>估价对象房地状况!G16</f>
        <v>估价对象周边道路状况、公共交通通达情况、停车便捷程度，综合评价交通便捷度较好</v>
      </c>
      <c r="C82" s="2770" t="s">
        <v>3087</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2955</v>
      </c>
      <c r="B83" s="2882">
        <f>估价对象房地状况!G17</f>
        <v>0</v>
      </c>
      <c r="C83" s="2770" t="s">
        <v>3088</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4.25">
      <c r="A84" s="2878" t="s">
        <v>2969</v>
      </c>
      <c r="B84" s="2882">
        <f>估价对象房地状况!G22</f>
        <v>0</v>
      </c>
      <c r="C84" s="2770" t="s">
        <v>3325</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2961</v>
      </c>
      <c r="B85" s="1725" t="str">
        <f>估价对象房地状况!G19</f>
        <v>估价对象所在区域公共配套设施齐备情况</v>
      </c>
      <c r="C85" s="2770" t="s">
        <v>3087</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2962</v>
      </c>
      <c r="B86" s="1725" t="str">
        <f>估价对象房地状况!G20</f>
        <v>估价对象所在区域基础设施水平</v>
      </c>
      <c r="C86" s="2770" t="s">
        <v>3087</v>
      </c>
      <c r="D86" s="1286">
        <f t="shared" si="25"/>
        <v>0</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2959</v>
      </c>
      <c r="B87" s="2884" t="s">
        <v>2973</v>
      </c>
      <c r="C87" s="2770" t="s">
        <v>3088</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2974</v>
      </c>
      <c r="B88" s="2891" t="str">
        <f>估价对象房地状况!G18</f>
        <v>该园区内是否有污染型企业，绿化情况，卫生条件，整体环境状况判断</v>
      </c>
      <c r="C88" s="2770" t="s">
        <v>3087</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9" t="s">
        <v>2975</v>
      </c>
      <c r="B90" s="3289"/>
      <c r="C90" s="3289"/>
      <c r="D90" s="3289"/>
      <c r="E90" s="3289"/>
      <c r="F90" s="3289"/>
      <c r="G90" s="3289"/>
      <c r="H90" s="3289"/>
      <c r="I90" s="3289"/>
      <c r="J90" s="3289"/>
      <c r="K90" s="2892"/>
      <c r="L90" s="2892"/>
      <c r="M90" s="2892"/>
      <c r="N90" s="2892"/>
    </row>
    <row r="91" spans="1:37">
      <c r="A91" s="3291" t="s">
        <v>2976</v>
      </c>
      <c r="B91" s="3291" t="s">
        <v>2977</v>
      </c>
      <c r="C91" s="2846" t="s">
        <v>2978</v>
      </c>
      <c r="D91" s="2847"/>
      <c r="E91" s="2847"/>
      <c r="F91" s="2847"/>
      <c r="G91" s="2847"/>
      <c r="H91" s="2847"/>
      <c r="I91" s="2847"/>
      <c r="J91" s="2893"/>
      <c r="K91" s="2894"/>
      <c r="L91" s="2894"/>
      <c r="M91" s="2894"/>
      <c r="N91" s="2894"/>
    </row>
    <row r="92" spans="1:37">
      <c r="A92" s="3291"/>
      <c r="B92" s="3291"/>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92" t="s">
        <v>2979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3"/>
      <c r="B99" s="2895" t="s">
        <v>2860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2" t="s">
        <v>2980</v>
      </c>
      <c r="B101" s="2899" t="s">
        <v>2981</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93"/>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93"/>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93"/>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93"/>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93"/>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93"/>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93"/>
      <c r="B108" s="3149" t="s">
        <v>2982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4"/>
      <c r="B109" s="3150"/>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90" t="s">
        <v>2983</v>
      </c>
      <c r="B110" s="3290"/>
      <c r="C110" s="3290"/>
      <c r="D110" s="3290"/>
      <c r="E110" s="3290"/>
      <c r="F110" s="3290"/>
      <c r="G110" s="3290"/>
      <c r="H110" s="3290"/>
      <c r="I110" s="3290"/>
      <c r="J110" s="3290"/>
      <c r="K110" s="2901"/>
      <c r="L110" s="2901"/>
      <c r="M110" s="2901"/>
      <c r="N110" s="2901"/>
    </row>
    <row r="112" spans="1:14" ht="13.5" thickBot="1"/>
    <row r="113" spans="1:13" ht="25.5" thickBot="1">
      <c r="A113" s="900" t="s">
        <v>2984</v>
      </c>
      <c r="B113" s="1287">
        <f>G3</f>
        <v>1.39</v>
      </c>
      <c r="C113" s="901" t="s">
        <v>2985</v>
      </c>
      <c r="D113" s="902">
        <f>SUMPRODUCT((A115:A118=F113)*(B114:M114=H113)*B115:M118)</f>
        <v>0.68759999999999999</v>
      </c>
      <c r="E113" s="2724" t="s">
        <v>2817</v>
      </c>
      <c r="F113" s="2903" t="str">
        <f>E2</f>
        <v>工业</v>
      </c>
      <c r="G113" s="2724" t="s">
        <v>2818</v>
      </c>
      <c r="H113" s="2903" t="str">
        <f>G2</f>
        <v>五级</v>
      </c>
      <c r="I113" s="2724"/>
      <c r="J113" s="2904"/>
      <c r="K113" s="2904"/>
      <c r="L113" s="2904"/>
      <c r="M113" s="2904"/>
    </row>
    <row r="114" spans="1:13">
      <c r="A114" s="905"/>
      <c r="B114" s="2905" t="s">
        <v>2986</v>
      </c>
      <c r="C114" s="2905" t="s">
        <v>2987</v>
      </c>
      <c r="D114" s="2905" t="s">
        <v>2988</v>
      </c>
      <c r="E114" s="2906" t="s">
        <v>2989</v>
      </c>
      <c r="F114" s="2906" t="s">
        <v>2990</v>
      </c>
      <c r="G114" s="2906" t="s">
        <v>2991</v>
      </c>
      <c r="H114" s="2907" t="s">
        <v>2992</v>
      </c>
      <c r="I114" s="2907" t="s">
        <v>2993</v>
      </c>
      <c r="J114" s="2908" t="s">
        <v>2994</v>
      </c>
      <c r="K114" s="2908" t="s">
        <v>2995</v>
      </c>
      <c r="L114" s="2908" t="s">
        <v>2996</v>
      </c>
      <c r="M114" s="2909" t="s">
        <v>2997</v>
      </c>
    </row>
    <row r="115" spans="1:13">
      <c r="A115" s="906" t="s">
        <v>2882</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2883</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2884</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2885</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3006</v>
      </c>
    </row>
    <row r="2" spans="1:5" ht="15.75">
      <c r="A2" s="2910" t="s">
        <v>2998</v>
      </c>
      <c r="B2" s="2911">
        <f ca="1">SUMIF(B6:B13,"&lt;&gt;#ref!",B6:B13)</f>
        <v>5745</v>
      </c>
      <c r="C2" s="2910" t="s">
        <v>2999</v>
      </c>
      <c r="D2" s="2910" t="s">
        <v>3000</v>
      </c>
      <c r="E2" s="2911">
        <f ca="1">SUMIF(E6:E13,"&lt;&gt;#ref!",E6:E13)</f>
        <v>31301.47</v>
      </c>
    </row>
    <row r="3" spans="1:5" ht="15.75">
      <c r="A3" s="2910" t="s">
        <v>3001</v>
      </c>
      <c r="B3" s="2911">
        <f ca="1">ROUND(B2*10000/E2,0)</f>
        <v>1835</v>
      </c>
      <c r="C3" s="2910" t="s">
        <v>3007</v>
      </c>
      <c r="D3" s="2912"/>
      <c r="E3" s="2912"/>
    </row>
    <row r="4" spans="1:5" ht="15.75">
      <c r="A4" s="2913"/>
      <c r="B4" s="2912"/>
      <c r="C4" s="2912"/>
      <c r="D4" s="2912"/>
      <c r="E4" s="2912"/>
    </row>
    <row r="5" spans="1:5" ht="28.5">
      <c r="A5" s="2914" t="s">
        <v>3002</v>
      </c>
      <c r="B5" s="2910" t="s">
        <v>3003</v>
      </c>
      <c r="C5" s="2911"/>
      <c r="D5" s="2912"/>
      <c r="E5" s="2910" t="s">
        <v>3004</v>
      </c>
    </row>
    <row r="6" spans="1:5" ht="15.75">
      <c r="A6" s="2915" t="s">
        <v>3005</v>
      </c>
      <c r="B6" s="2911">
        <f ca="1">SUMIF(INDIRECT("'"&amp;A6&amp;"'"&amp;"!A:A"),"总价",INDIRECT("'"&amp;A6&amp;"'"&amp;"!B:B"))</f>
        <v>5745</v>
      </c>
      <c r="C6" s="2910" t="s">
        <v>2999</v>
      </c>
      <c r="D6" s="2912"/>
      <c r="E6" s="2575">
        <f ca="1">SUMIF(INDIRECT("'"&amp;A6&amp;"'"&amp;"!C:C"),"建筑面积",INDIRECT("'"&amp;A6&amp;"'"&amp;"!D:D"))</f>
        <v>31301.47</v>
      </c>
    </row>
    <row r="7" spans="1:5" ht="15.75">
      <c r="A7" s="2915"/>
      <c r="B7" s="2911" t="e">
        <f ca="1">SUMIF(INDIRECT("'"&amp;A7&amp;"'"&amp;"!A:A"),"总价",INDIRECT("'"&amp;A7&amp;"'"&amp;"!B:B"))</f>
        <v>#REF!</v>
      </c>
      <c r="C7" s="2910" t="s">
        <v>2999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2999</v>
      </c>
      <c r="D8" s="2912"/>
      <c r="E8" s="2575" t="e">
        <f t="shared" ca="1" si="0"/>
        <v>#REF!</v>
      </c>
    </row>
    <row r="9" spans="1:5" ht="15.75">
      <c r="A9" s="2915"/>
      <c r="B9" s="2911" t="e">
        <f t="shared" ca="1" si="1"/>
        <v>#REF!</v>
      </c>
      <c r="C9" s="2910" t="s">
        <v>2999</v>
      </c>
      <c r="D9" s="2912"/>
      <c r="E9" s="2575" t="e">
        <f t="shared" ca="1" si="0"/>
        <v>#REF!</v>
      </c>
    </row>
    <row r="10" spans="1:5" ht="15.75">
      <c r="A10" s="2915"/>
      <c r="B10" s="2911" t="e">
        <f t="shared" ca="1" si="1"/>
        <v>#REF!</v>
      </c>
      <c r="C10" s="2910" t="s">
        <v>2999</v>
      </c>
      <c r="D10" s="2912"/>
      <c r="E10" s="2575" t="e">
        <f t="shared" ca="1" si="0"/>
        <v>#REF!</v>
      </c>
    </row>
    <row r="11" spans="1:5" ht="15.75">
      <c r="A11" s="2915"/>
      <c r="B11" s="2911" t="e">
        <f t="shared" ca="1" si="1"/>
        <v>#REF!</v>
      </c>
      <c r="C11" s="2910" t="s">
        <v>2999</v>
      </c>
      <c r="D11" s="2912"/>
      <c r="E11" s="2575" t="e">
        <f t="shared" ca="1" si="0"/>
        <v>#REF!</v>
      </c>
    </row>
    <row r="12" spans="1:5" ht="15.75">
      <c r="A12" s="2915"/>
      <c r="B12" s="2911" t="e">
        <f t="shared" ca="1" si="1"/>
        <v>#REF!</v>
      </c>
      <c r="C12" s="2910" t="s">
        <v>2999</v>
      </c>
      <c r="D12" s="2912"/>
      <c r="E12" s="2575" t="e">
        <f t="shared" ca="1" si="0"/>
        <v>#REF!</v>
      </c>
    </row>
    <row r="13" spans="1:5" ht="15.75">
      <c r="A13" s="2915"/>
      <c r="B13" s="2911" t="e">
        <f t="shared" ca="1" si="1"/>
        <v>#REF!</v>
      </c>
      <c r="C13" s="2910" t="s">
        <v>2999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19570</v>
      </c>
      <c r="E5" s="1959"/>
    </row>
    <row r="6" spans="1:5" ht="15.75">
      <c r="A6" s="1959"/>
      <c r="B6" s="2992"/>
      <c r="C6" s="1962" t="s">
        <v>1624</v>
      </c>
      <c r="D6" s="1040" t="str">
        <f ca="1">NUMBERSTRING(INT(D5*10000),2)&amp;"元整"</f>
        <v>壹亿玖仟伍佰柒拾万元整</v>
      </c>
      <c r="E6" s="1959"/>
    </row>
    <row r="7" spans="1:5" ht="15.75">
      <c r="A7" s="1959"/>
      <c r="B7" s="2997"/>
      <c r="C7" s="1963" t="s">
        <v>1625</v>
      </c>
      <c r="D7" s="1041">
        <f ca="1">结果表!H102</f>
        <v>6008</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19570</v>
      </c>
      <c r="E13" s="1959"/>
    </row>
    <row r="14" spans="1:5" ht="15.75">
      <c r="A14" s="1959"/>
      <c r="B14" s="2992"/>
      <c r="C14" s="1962" t="s">
        <v>1624</v>
      </c>
      <c r="D14" s="1040" t="str">
        <f ca="1">NUMBERSTRING(INT(D13*10000),2)&amp;"元整"</f>
        <v>壹亿玖仟伍佰柒拾万元整</v>
      </c>
      <c r="E14" s="1959"/>
    </row>
    <row r="15" spans="1:5" ht="15">
      <c r="A15" s="1959"/>
      <c r="B15" s="2997"/>
      <c r="C15" s="1963" t="s">
        <v>1634</v>
      </c>
      <c r="D15" s="1052">
        <f ca="1">结果表!H108</f>
        <v>6008</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115" zoomScaleNormal="115"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3" t="s">
        <v>1151</v>
      </c>
      <c r="H1" s="3303"/>
      <c r="I1" s="3303"/>
      <c r="J1" s="3303"/>
      <c r="K1" s="3303"/>
      <c r="L1" s="3303"/>
      <c r="N1" s="3303" t="s">
        <v>1152</v>
      </c>
      <c r="O1" s="3303"/>
      <c r="P1" s="3303"/>
      <c r="Q1" s="3303"/>
      <c r="R1" s="1446"/>
      <c r="S1" s="3303" t="s">
        <v>1153</v>
      </c>
      <c r="T1" s="3303"/>
      <c r="U1" s="3303"/>
      <c r="V1" s="3303"/>
      <c r="X1" s="3302" t="s">
        <v>1154</v>
      </c>
      <c r="Y1" s="3303"/>
      <c r="Z1" s="3303"/>
      <c r="AA1" s="3303"/>
      <c r="AB1" s="3303"/>
      <c r="AD1" s="3302" t="s">
        <v>1155</v>
      </c>
      <c r="AE1" s="3303"/>
      <c r="AF1" s="3303"/>
      <c r="AG1" s="3303"/>
      <c r="AH1" s="330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3041</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3042</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3040</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3037</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3038</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00"/>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00"/>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1"/>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99">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00"/>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00"/>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1"/>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99">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00"/>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00"/>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1"/>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0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0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0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99">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00"/>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00"/>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01"/>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99">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00">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00">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01">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99">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00">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00">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01">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99">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00">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00">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01">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99">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00">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00">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01">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99">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00">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00">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01">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99">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00">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00">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01">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99">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00">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00">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01">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99">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00">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00">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01">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9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00">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00">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0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9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00">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00">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01">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3008</v>
      </c>
      <c r="C1" s="3310" t="s">
        <v>3009</v>
      </c>
      <c r="D1" s="3311"/>
      <c r="E1" s="3311"/>
      <c r="F1" s="3311"/>
      <c r="G1" s="3311"/>
      <c r="H1" s="3311"/>
      <c r="I1" s="3311"/>
      <c r="J1" s="3311"/>
      <c r="K1" s="3311"/>
      <c r="L1" s="3311"/>
      <c r="M1" s="3311"/>
      <c r="N1" s="3311"/>
      <c r="O1" s="3311"/>
      <c r="P1" s="3311"/>
      <c r="Q1" s="3311"/>
      <c r="R1" s="3311"/>
      <c r="S1" s="3312"/>
      <c r="T1" s="1204" t="s">
        <v>3010</v>
      </c>
    </row>
    <row r="2" spans="1:45" s="707" customFormat="1">
      <c r="A2" s="1205"/>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3018</v>
      </c>
      <c r="B17" s="2917"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3020</v>
      </c>
      <c r="E19" s="1792"/>
      <c r="F19" s="1792"/>
      <c r="G19" s="1792"/>
      <c r="H19" s="1280"/>
      <c r="I19" s="168"/>
      <c r="J19" s="168"/>
      <c r="K19" s="168"/>
      <c r="L19" s="168"/>
      <c r="M19" s="168"/>
      <c r="N19" s="168"/>
      <c r="O19" s="168"/>
      <c r="P19" s="168"/>
      <c r="Q19" s="168"/>
      <c r="R19" s="788"/>
      <c r="S19" s="138"/>
    </row>
    <row r="20" spans="1:45" ht="16.5" thickBot="1">
      <c r="A20" s="715" t="s">
        <v>3021</v>
      </c>
      <c r="B20" s="338" t="e">
        <f ca="1">IF(D20="——",S22,S22-F20)</f>
        <v>#REF!</v>
      </c>
      <c r="C20" s="168"/>
      <c r="D20" s="2919" t="s">
        <v>3022</v>
      </c>
      <c r="E20" s="1793"/>
      <c r="F20" s="1204" t="e">
        <f ca="1">SUMIF(INDIRECT("'"&amp;H20&amp;"'"&amp;"!A:A"),"承租人权益价值",INDIRECT("'"&amp;H20&amp;"'"&amp;"!c:c"))</f>
        <v>#REF!</v>
      </c>
      <c r="G20" s="1204" t="s">
        <v>3023</v>
      </c>
      <c r="H20" s="2920"/>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71" t="s">
        <v>33</v>
      </c>
      <c r="D22" s="3172"/>
      <c r="E22" s="3172"/>
      <c r="F22" s="3172"/>
      <c r="G22" s="3172"/>
      <c r="H22" s="3172"/>
      <c r="I22" s="3172"/>
      <c r="J22" s="3172"/>
      <c r="K22" s="3172"/>
      <c r="L22" s="3172"/>
      <c r="M22" s="3172"/>
      <c r="N22" s="3172"/>
      <c r="O22" s="3172"/>
      <c r="P22" s="3172"/>
      <c r="Q22" s="3309"/>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35368</v>
      </c>
      <c r="C2" s="2" t="s">
        <v>133</v>
      </c>
      <c r="D2" s="243"/>
      <c r="E2" s="243"/>
      <c r="F2" s="243"/>
      <c r="G2" s="243"/>
    </row>
    <row r="3" spans="1:7" s="244" customFormat="1" ht="18" customHeight="1" thickBot="1">
      <c r="A3" s="247" t="s">
        <v>85</v>
      </c>
      <c r="B3" s="248">
        <f ca="1">ROUND(B2*10000/'数据-汇总表'!E3,0)</f>
        <v>10858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32573.120000000003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554</v>
      </c>
      <c r="D19" s="1036">
        <f>'数据-汇总表'!E3</f>
        <v>32573.120000000003</v>
      </c>
      <c r="E19" s="255">
        <f>'数据-取费表'!B31</f>
        <v>170</v>
      </c>
      <c r="F19" s="275"/>
      <c r="G19" s="1" t="s">
        <v>1074</v>
      </c>
    </row>
    <row r="20" spans="1:7" s="258" customFormat="1" ht="13.5" customHeight="1">
      <c r="A20" s="948" t="s">
        <v>1057</v>
      </c>
      <c r="B20" s="254" t="s">
        <v>104</v>
      </c>
      <c r="C20" s="276">
        <f>ROUND((C5+C19)*F20,0)</f>
        <v>423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1486</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2914</v>
      </c>
      <c r="D27" s="279">
        <f>C29</f>
        <v>2.7000000000000001E-3</v>
      </c>
      <c r="E27" s="280" t="s">
        <v>126</v>
      </c>
      <c r="F27" s="290">
        <f>'数据-取费表'!Q16</f>
        <v>0.18</v>
      </c>
      <c r="G27" s="291" t="s">
        <v>1069</v>
      </c>
    </row>
    <row r="28" spans="1:7" s="258" customFormat="1" ht="13.5" customHeight="1">
      <c r="A28" s="951" t="s">
        <v>794</v>
      </c>
      <c r="B28" s="292" t="s">
        <v>1062</v>
      </c>
      <c r="C28" s="293">
        <f>ROUND((C5+C19+C20)*F27*'数据-取费表'!B21/'数据-取费表'!B20,0)</f>
        <v>2914</v>
      </c>
      <c r="D28" s="279"/>
      <c r="E28" s="280"/>
      <c r="F28" s="290"/>
      <c r="G28" s="291"/>
    </row>
    <row r="29" spans="1:7" s="258" customFormat="1" ht="13.5" customHeight="1">
      <c r="A29" s="951" t="s">
        <v>792</v>
      </c>
      <c r="B29" s="292" t="s">
        <v>1063</v>
      </c>
      <c r="C29" s="282">
        <f>ROUND(C21*F27*'数据-取费表'!B21/'数据-取费表'!B20,4)</f>
        <v>2.7000000000000001E-3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4756</v>
      </c>
      <c r="D34" s="261"/>
      <c r="E34" s="264"/>
      <c r="F34" s="301">
        <f>IF('数据-取费表'!B24=0,1,'数据-取费表'!N16)</f>
        <v>0.55000000000000004</v>
      </c>
      <c r="G34" s="263" t="s">
        <v>116</v>
      </c>
    </row>
    <row r="35" spans="1:7" ht="13.5" customHeight="1">
      <c r="A35" s="951" t="s">
        <v>796</v>
      </c>
      <c r="B35" s="259" t="s">
        <v>60</v>
      </c>
      <c r="C35" s="264">
        <f>ROUND(C34*F35,0)</f>
        <v>143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358</v>
      </c>
      <c r="D37" s="261">
        <f>'数据-汇总表'!E3</f>
        <v>32573.120000000003</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107</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193</v>
      </c>
      <c r="D41" s="279">
        <f ca="1">C44</f>
        <v>6.9999999999999999E-4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189</v>
      </c>
      <c r="D42" s="282"/>
      <c r="E42" s="282"/>
      <c r="F42" s="283"/>
      <c r="G42" s="3176" t="s">
        <v>121</v>
      </c>
    </row>
    <row r="43" spans="1:7" ht="13.5" customHeight="1">
      <c r="A43" s="951" t="s">
        <v>792</v>
      </c>
      <c r="B43" s="259" t="s">
        <v>1064</v>
      </c>
      <c r="C43" s="282">
        <f ca="1">ROUND(IF('数据-取费表'!B22&lt;=1,C39*F22*'数据-取费表'!B21/2,C39*(POWER((1+F22),'数据-取费表'!B21/2)-1)),0)</f>
        <v>4</v>
      </c>
      <c r="D43" s="282"/>
      <c r="E43" s="282"/>
      <c r="F43" s="283"/>
      <c r="G43" s="3177"/>
    </row>
    <row r="44" spans="1:7" ht="13.5" customHeight="1">
      <c r="A44" s="951" t="s">
        <v>793</v>
      </c>
      <c r="B44" s="259" t="s">
        <v>1066</v>
      </c>
      <c r="C44" s="282">
        <f ca="1">ROUND(IF('数据-取费表'!B22&lt;=1,C40*F22*'数据-取费表'!B21/2,C40*(POWER((1+F22),'数据-取费表'!B21/2)-1)),4)</f>
        <v>6.9999999999999999E-4</v>
      </c>
      <c r="D44" s="282"/>
      <c r="E44" s="282"/>
      <c r="F44" s="283"/>
      <c r="G44" s="3178"/>
    </row>
    <row r="45" spans="1:7" s="258" customFormat="1" ht="13.5" customHeight="1">
      <c r="A45" s="948" t="s">
        <v>786</v>
      </c>
      <c r="B45" s="288" t="s">
        <v>112</v>
      </c>
      <c r="C45" s="289">
        <f>C46</f>
        <v>978</v>
      </c>
      <c r="D45" s="279">
        <f>C47</f>
        <v>3.5999999999999999E-3</v>
      </c>
      <c r="E45" s="280" t="s">
        <v>129</v>
      </c>
      <c r="F45" s="290"/>
      <c r="G45" s="291" t="s">
        <v>1072</v>
      </c>
    </row>
    <row r="46" spans="1:7" s="258" customFormat="1" ht="13.5" customHeight="1">
      <c r="A46" s="951" t="s">
        <v>794</v>
      </c>
      <c r="B46" s="292" t="s">
        <v>1065</v>
      </c>
      <c r="C46" s="293">
        <f>ROUND((C33+C39)*F27,0)</f>
        <v>978</v>
      </c>
      <c r="D46" s="307"/>
      <c r="E46" s="280"/>
      <c r="F46" s="290"/>
      <c r="G46" s="291"/>
    </row>
    <row r="47" spans="1:7" s="258" customFormat="1" ht="13.5" customHeight="1">
      <c r="A47" s="951" t="s">
        <v>792</v>
      </c>
      <c r="B47" s="292" t="s">
        <v>1067</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7162</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7162</v>
      </c>
      <c r="D51" s="276"/>
      <c r="E51" s="276"/>
      <c r="F51" s="308"/>
      <c r="G51" s="278" t="s">
        <v>64</v>
      </c>
    </row>
    <row r="52" spans="1:7" s="252" customFormat="1" ht="16.5" thickBot="1">
      <c r="A52" s="309" t="s">
        <v>65</v>
      </c>
      <c r="B52" s="310"/>
      <c r="C52" s="311">
        <f ca="1">C31+C51</f>
        <v>35368</v>
      </c>
      <c r="D52" s="310"/>
      <c r="E52" s="310"/>
      <c r="F52" s="310"/>
      <c r="G52" s="312"/>
    </row>
    <row r="55" spans="1:7" ht="15">
      <c r="B55" s="314" t="s">
        <v>66</v>
      </c>
      <c r="C55" s="315"/>
    </row>
    <row r="56" spans="1:7">
      <c r="B56" s="317" t="s">
        <v>67</v>
      </c>
      <c r="C56" s="318">
        <f ca="1">ROUND(C51/C52,3)</f>
        <v>0.20200000000000001</v>
      </c>
    </row>
    <row r="57" spans="1:7">
      <c r="B57" s="317" t="s">
        <v>68</v>
      </c>
      <c r="C57" s="319">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3138</v>
      </c>
      <c r="B1" s="2961" t="s">
        <v>3139</v>
      </c>
      <c r="C1" s="2961" t="s">
        <v>3140</v>
      </c>
      <c r="D1" s="2961" t="s">
        <v>3141</v>
      </c>
      <c r="E1" s="2961" t="s">
        <v>3142</v>
      </c>
      <c r="F1" s="2961" t="s">
        <v>3143</v>
      </c>
      <c r="G1" s="2961" t="s">
        <v>3144</v>
      </c>
      <c r="H1" s="2961" t="s">
        <v>3145</v>
      </c>
      <c r="I1" s="2961" t="s">
        <v>3146</v>
      </c>
      <c r="J1" s="2961" t="s">
        <v>3147</v>
      </c>
      <c r="K1" s="2961" t="s">
        <v>3148</v>
      </c>
      <c r="L1" s="2961" t="s">
        <v>3149</v>
      </c>
      <c r="M1" s="2961" t="s">
        <v>3150</v>
      </c>
    </row>
    <row r="2" spans="1:13">
      <c r="A2" s="2961" t="s">
        <v>3151</v>
      </c>
      <c r="B2" s="2961" t="s">
        <v>3052</v>
      </c>
      <c r="C2" s="2961" t="s">
        <v>3056</v>
      </c>
      <c r="D2" s="2961">
        <v>73230.3</v>
      </c>
      <c r="E2" s="2961">
        <v>124491.5</v>
      </c>
      <c r="F2" s="2961" t="s">
        <v>3152</v>
      </c>
      <c r="G2" s="2961" t="s">
        <v>3153</v>
      </c>
      <c r="H2" s="2961" t="s">
        <v>3154</v>
      </c>
      <c r="I2" s="2961">
        <v>9038.07</v>
      </c>
      <c r="J2" s="2961">
        <v>9038.07</v>
      </c>
      <c r="K2" s="2961">
        <v>726</v>
      </c>
      <c r="L2" s="2961">
        <v>0</v>
      </c>
      <c r="M2" s="2961" t="s">
        <v>3155</v>
      </c>
    </row>
    <row r="3" spans="1:13">
      <c r="A3" s="2961" t="s">
        <v>3156</v>
      </c>
      <c r="B3" s="2961" t="s">
        <v>3052</v>
      </c>
      <c r="C3" s="2961" t="s">
        <v>3056</v>
      </c>
      <c r="D3" s="2961">
        <v>11958.6</v>
      </c>
      <c r="E3" s="2961">
        <v>17937.900000000001</v>
      </c>
      <c r="F3" s="2961">
        <v>1.5</v>
      </c>
      <c r="G3" s="2961" t="s">
        <v>3153</v>
      </c>
      <c r="H3" s="2961" t="s">
        <v>3154</v>
      </c>
      <c r="I3" s="2961">
        <v>1302.28</v>
      </c>
      <c r="J3" s="2961">
        <v>1302.28</v>
      </c>
      <c r="K3" s="2961">
        <v>726</v>
      </c>
      <c r="L3" s="2961">
        <v>0</v>
      </c>
      <c r="M3" s="2961" t="s">
        <v>3157</v>
      </c>
    </row>
    <row r="4" spans="1:13">
      <c r="A4" s="2961" t="s">
        <v>3158</v>
      </c>
      <c r="B4" s="2961" t="s">
        <v>3052</v>
      </c>
      <c r="C4" s="2961" t="s">
        <v>3056</v>
      </c>
      <c r="D4" s="2961">
        <v>23044.5</v>
      </c>
      <c r="E4" s="2961">
        <v>46089</v>
      </c>
      <c r="F4" s="2961">
        <v>2</v>
      </c>
      <c r="G4" s="2961" t="s">
        <v>3153</v>
      </c>
      <c r="H4" s="2961" t="s">
        <v>3159</v>
      </c>
      <c r="I4" s="2961">
        <v>4977.6000000000004</v>
      </c>
      <c r="J4" s="2961">
        <v>4977.6000000000004</v>
      </c>
      <c r="K4" s="2961">
        <v>1080</v>
      </c>
      <c r="L4" s="2961">
        <v>0</v>
      </c>
      <c r="M4" s="2961" t="s">
        <v>3160</v>
      </c>
    </row>
    <row r="5" spans="1:13" s="2963" customFormat="1">
      <c r="A5" s="2963" t="s">
        <v>3291</v>
      </c>
      <c r="B5" s="2963" t="s">
        <v>3052</v>
      </c>
      <c r="C5" s="2963" t="s">
        <v>3056</v>
      </c>
      <c r="D5" s="2963">
        <v>4280.58</v>
      </c>
      <c r="E5" s="2963">
        <v>3424</v>
      </c>
      <c r="F5" s="2963">
        <v>0.8</v>
      </c>
      <c r="G5" s="2963" t="s">
        <v>3153</v>
      </c>
      <c r="H5" s="2963" t="s">
        <v>3161</v>
      </c>
      <c r="I5" s="2963">
        <v>642.09</v>
      </c>
      <c r="J5" s="2963">
        <v>642.09</v>
      </c>
      <c r="K5" s="2963">
        <v>1875.25</v>
      </c>
      <c r="L5" s="2963">
        <v>0</v>
      </c>
      <c r="M5" s="2963" t="s">
        <v>3162</v>
      </c>
    </row>
    <row r="6" spans="1:13">
      <c r="A6" s="2961" t="s">
        <v>3163</v>
      </c>
      <c r="B6" s="2961" t="s">
        <v>3052</v>
      </c>
      <c r="C6" s="2961" t="s">
        <v>3056</v>
      </c>
      <c r="D6" s="2961">
        <v>82687.360000000001</v>
      </c>
      <c r="E6" s="2961">
        <v>157106</v>
      </c>
      <c r="F6" s="2961">
        <v>1.9</v>
      </c>
      <c r="G6" s="2961" t="s">
        <v>3153</v>
      </c>
      <c r="H6" s="2961" t="s">
        <v>3164</v>
      </c>
      <c r="I6" s="2961">
        <v>14688.07</v>
      </c>
      <c r="J6" s="2961">
        <v>14688.07</v>
      </c>
      <c r="K6" s="2961">
        <v>934.91</v>
      </c>
      <c r="L6" s="2961">
        <v>0</v>
      </c>
      <c r="M6" s="2961" t="s">
        <v>3165</v>
      </c>
    </row>
    <row r="7" spans="1:13" s="2962" customFormat="1">
      <c r="A7" s="2962" t="s">
        <v>3286</v>
      </c>
      <c r="B7" s="2962" t="s">
        <v>3052</v>
      </c>
      <c r="C7" s="2962" t="s">
        <v>3056</v>
      </c>
      <c r="D7" s="2962">
        <v>791422.1</v>
      </c>
      <c r="E7" s="2962">
        <v>1187133</v>
      </c>
      <c r="F7" s="2962">
        <v>1.5</v>
      </c>
      <c r="G7" s="2962" t="s">
        <v>3153</v>
      </c>
      <c r="H7" s="2962" t="s">
        <v>3166</v>
      </c>
      <c r="I7" s="2962">
        <v>187820</v>
      </c>
      <c r="J7" s="2962">
        <v>187820</v>
      </c>
      <c r="K7" s="2962">
        <v>1582.13</v>
      </c>
      <c r="L7" s="2962">
        <v>0</v>
      </c>
      <c r="M7" s="2962" t="s">
        <v>3167</v>
      </c>
    </row>
    <row r="8" spans="1:13">
      <c r="A8" s="2961" t="s">
        <v>3168</v>
      </c>
      <c r="B8" s="2961" t="s">
        <v>3052</v>
      </c>
      <c r="C8" s="2961" t="s">
        <v>3056</v>
      </c>
      <c r="D8" s="2961">
        <v>23308.3</v>
      </c>
      <c r="E8" s="2961">
        <v>34962.449999999997</v>
      </c>
      <c r="F8" s="2961">
        <v>1.5</v>
      </c>
      <c r="G8" s="2961" t="s">
        <v>3153</v>
      </c>
      <c r="H8" s="2961" t="s">
        <v>3169</v>
      </c>
      <c r="I8" s="2961">
        <v>5244.36</v>
      </c>
      <c r="J8" s="2961">
        <v>5244.36</v>
      </c>
      <c r="K8" s="2961">
        <v>1500</v>
      </c>
      <c r="L8" s="2961">
        <v>0</v>
      </c>
      <c r="M8" s="2961" t="s">
        <v>3170</v>
      </c>
    </row>
    <row r="9" spans="1:13">
      <c r="A9" s="2961" t="s">
        <v>3171</v>
      </c>
      <c r="B9" s="2961" t="s">
        <v>3052</v>
      </c>
      <c r="C9" s="2961" t="s">
        <v>3056</v>
      </c>
      <c r="D9" s="2961">
        <v>19655.95</v>
      </c>
      <c r="E9" s="2961">
        <v>39312</v>
      </c>
      <c r="F9" s="2961">
        <v>8.3000000000000007</v>
      </c>
      <c r="G9" s="2961" t="s">
        <v>3153</v>
      </c>
      <c r="H9" s="2961" t="s">
        <v>3172</v>
      </c>
      <c r="I9" s="2961">
        <v>2634.78</v>
      </c>
      <c r="J9" s="2961">
        <v>2634.78</v>
      </c>
      <c r="K9" s="2961">
        <v>670.22</v>
      </c>
      <c r="L9" s="2961">
        <v>0</v>
      </c>
      <c r="M9" s="2961" t="s">
        <v>3173</v>
      </c>
    </row>
    <row r="10" spans="1:13">
      <c r="A10" s="2961" t="s">
        <v>3174</v>
      </c>
      <c r="B10" s="2961" t="s">
        <v>3052</v>
      </c>
      <c r="C10" s="2961" t="s">
        <v>3056</v>
      </c>
      <c r="D10" s="2961">
        <v>31386.9</v>
      </c>
      <c r="E10" s="2961">
        <v>25110</v>
      </c>
      <c r="F10" s="2961">
        <v>0.8</v>
      </c>
      <c r="G10" s="2961" t="s">
        <v>3153</v>
      </c>
      <c r="H10" s="2961" t="s">
        <v>3175</v>
      </c>
      <c r="I10" s="2961">
        <v>11547.52</v>
      </c>
      <c r="J10" s="2961">
        <v>11547.52</v>
      </c>
      <c r="K10" s="2961">
        <v>4598.7700000000004</v>
      </c>
      <c r="L10" s="2961">
        <v>0</v>
      </c>
      <c r="M10" s="2961" t="s">
        <v>3176</v>
      </c>
    </row>
    <row r="11" spans="1:13">
      <c r="A11" s="2961" t="s">
        <v>3177</v>
      </c>
      <c r="B11" s="2961" t="s">
        <v>3052</v>
      </c>
      <c r="C11" s="2961" t="s">
        <v>3056</v>
      </c>
      <c r="D11" s="2961">
        <v>45231.1</v>
      </c>
      <c r="E11" s="2961">
        <v>36185</v>
      </c>
      <c r="F11" s="2961">
        <v>0.8</v>
      </c>
      <c r="G11" s="2961" t="s">
        <v>3153</v>
      </c>
      <c r="H11" s="2961" t="s">
        <v>3178</v>
      </c>
      <c r="I11" s="2961">
        <v>13943.25</v>
      </c>
      <c r="J11" s="2961">
        <v>13943.25</v>
      </c>
      <c r="K11" s="2961">
        <v>3853.32</v>
      </c>
      <c r="L11" s="2961">
        <v>0</v>
      </c>
      <c r="M11" s="2961" t="s">
        <v>3179</v>
      </c>
    </row>
    <row r="12" spans="1:13">
      <c r="A12" s="2961" t="s">
        <v>3180</v>
      </c>
      <c r="B12" s="2961" t="s">
        <v>3052</v>
      </c>
      <c r="C12" s="2961" t="s">
        <v>3056</v>
      </c>
      <c r="D12" s="2961">
        <v>401615.3</v>
      </c>
      <c r="E12" s="2961">
        <v>401615</v>
      </c>
      <c r="F12" s="2961">
        <v>1</v>
      </c>
      <c r="G12" s="2961" t="s">
        <v>3153</v>
      </c>
      <c r="H12" s="2961" t="s">
        <v>3178</v>
      </c>
      <c r="I12" s="2961">
        <v>109378.8</v>
      </c>
      <c r="J12" s="2961">
        <v>109378.8</v>
      </c>
      <c r="K12" s="2961">
        <v>2723.46</v>
      </c>
      <c r="L12" s="2961">
        <v>0</v>
      </c>
      <c r="M12" s="2961" t="s">
        <v>3181</v>
      </c>
    </row>
    <row r="13" spans="1:13">
      <c r="A13" s="2961" t="s">
        <v>3182</v>
      </c>
      <c r="B13" s="2961" t="s">
        <v>3052</v>
      </c>
      <c r="C13" s="2961" t="s">
        <v>3056</v>
      </c>
      <c r="D13" s="2961">
        <v>72743.12</v>
      </c>
      <c r="E13" s="2961">
        <v>109114.7</v>
      </c>
      <c r="F13" s="2961" t="s">
        <v>3183</v>
      </c>
      <c r="G13" s="2961" t="s">
        <v>3153</v>
      </c>
      <c r="H13" s="2961" t="s">
        <v>3184</v>
      </c>
      <c r="I13" s="2961">
        <v>11784.38</v>
      </c>
      <c r="J13" s="2961">
        <v>11784.38</v>
      </c>
      <c r="K13" s="2961">
        <v>1080</v>
      </c>
      <c r="L13" s="2961">
        <v>0</v>
      </c>
      <c r="M13" s="2961" t="s">
        <v>3185</v>
      </c>
    </row>
    <row r="14" spans="1:13">
      <c r="A14" s="2961" t="s">
        <v>3186</v>
      </c>
      <c r="B14" s="2961" t="s">
        <v>3052</v>
      </c>
      <c r="C14" s="2961" t="s">
        <v>3056</v>
      </c>
      <c r="D14" s="2961">
        <v>20000.599999999999</v>
      </c>
      <c r="E14" s="2961">
        <v>30000.9</v>
      </c>
      <c r="F14" s="2961" t="s">
        <v>3187</v>
      </c>
      <c r="G14" s="2961" t="s">
        <v>3153</v>
      </c>
      <c r="H14" s="2961" t="s">
        <v>3184</v>
      </c>
      <c r="I14" s="2961">
        <v>3240.09</v>
      </c>
      <c r="J14" s="2961">
        <v>3240.09</v>
      </c>
      <c r="K14" s="2961">
        <v>1080</v>
      </c>
      <c r="L14" s="2961">
        <v>0</v>
      </c>
      <c r="M14" s="2961" t="s">
        <v>3188</v>
      </c>
    </row>
    <row r="15" spans="1:13">
      <c r="A15" s="2961" t="s">
        <v>3189</v>
      </c>
      <c r="B15" s="2961" t="s">
        <v>3052</v>
      </c>
      <c r="C15" s="2961" t="s">
        <v>3056</v>
      </c>
      <c r="D15" s="2961">
        <v>34726.1</v>
      </c>
      <c r="E15" s="2961">
        <v>52089.15</v>
      </c>
      <c r="F15" s="2961" t="s">
        <v>3183</v>
      </c>
      <c r="G15" s="2961" t="s">
        <v>3153</v>
      </c>
      <c r="H15" s="2961" t="s">
        <v>3190</v>
      </c>
      <c r="I15" s="2961">
        <v>5625.63</v>
      </c>
      <c r="J15" s="2961">
        <v>5625.63</v>
      </c>
      <c r="K15" s="2961">
        <v>1080</v>
      </c>
      <c r="L15" s="2961">
        <v>0</v>
      </c>
      <c r="M15" s="2961" t="s">
        <v>3191</v>
      </c>
    </row>
    <row r="16" spans="1:13" s="2962" customFormat="1">
      <c r="A16" s="2962" t="s">
        <v>3311</v>
      </c>
      <c r="B16" s="2962" t="s">
        <v>3052</v>
      </c>
      <c r="C16" s="2962" t="s">
        <v>3056</v>
      </c>
      <c r="D16" s="2962">
        <v>11912.8</v>
      </c>
      <c r="E16" s="2962">
        <v>9530</v>
      </c>
      <c r="F16" s="2962">
        <v>0.8</v>
      </c>
      <c r="G16" s="2962" t="s">
        <v>3153</v>
      </c>
      <c r="H16" s="2962" t="s">
        <v>3192</v>
      </c>
      <c r="I16" s="2962">
        <v>1798</v>
      </c>
      <c r="J16" s="2962">
        <v>1798</v>
      </c>
      <c r="K16" s="2962">
        <v>1886.67</v>
      </c>
      <c r="L16" s="2962">
        <v>0</v>
      </c>
      <c r="M16" s="2962" t="s">
        <v>3193</v>
      </c>
    </row>
    <row r="17" spans="1:13">
      <c r="A17" s="2961" t="s">
        <v>3194</v>
      </c>
      <c r="B17" s="2961" t="s">
        <v>3052</v>
      </c>
      <c r="C17" s="2961" t="s">
        <v>3056</v>
      </c>
      <c r="D17" s="2961">
        <v>103751.8</v>
      </c>
      <c r="E17" s="2961">
        <v>155627.70000000001</v>
      </c>
      <c r="F17" s="2961" t="s">
        <v>3183</v>
      </c>
      <c r="G17" s="2961" t="s">
        <v>3153</v>
      </c>
      <c r="H17" s="2961" t="s">
        <v>3195</v>
      </c>
      <c r="I17" s="2961">
        <v>16807.79</v>
      </c>
      <c r="J17" s="2961">
        <v>16807.79</v>
      </c>
      <c r="K17" s="2961">
        <v>1080</v>
      </c>
      <c r="L17" s="2961">
        <v>0</v>
      </c>
      <c r="M17" s="2961" t="s">
        <v>3196</v>
      </c>
    </row>
    <row r="18" spans="1:13">
      <c r="A18" s="2961" t="s">
        <v>3197</v>
      </c>
      <c r="B18" s="2961" t="s">
        <v>3052</v>
      </c>
      <c r="C18" s="2961" t="s">
        <v>3056</v>
      </c>
      <c r="D18" s="2961">
        <v>61106.9</v>
      </c>
      <c r="E18" s="2961">
        <v>122213.8</v>
      </c>
      <c r="F18" s="2961" t="s">
        <v>3198</v>
      </c>
      <c r="G18" s="2961" t="s">
        <v>3153</v>
      </c>
      <c r="H18" s="2961" t="s">
        <v>3199</v>
      </c>
      <c r="I18" s="2961">
        <v>13199.09</v>
      </c>
      <c r="J18" s="2961">
        <v>13199.09</v>
      </c>
      <c r="K18" s="2961">
        <v>1080</v>
      </c>
      <c r="L18" s="2961">
        <v>0</v>
      </c>
      <c r="M18" s="2961" t="s">
        <v>3200</v>
      </c>
    </row>
    <row r="19" spans="1:13" s="2963" customFormat="1">
      <c r="A19" s="2963" t="s">
        <v>3287</v>
      </c>
      <c r="B19" s="2963" t="s">
        <v>3052</v>
      </c>
      <c r="C19" s="2963" t="s">
        <v>3056</v>
      </c>
      <c r="D19" s="2963">
        <v>2718.4</v>
      </c>
      <c r="E19" s="2963">
        <v>4077.6</v>
      </c>
      <c r="F19" s="2963" t="s">
        <v>3187</v>
      </c>
      <c r="G19" s="2963" t="s">
        <v>3153</v>
      </c>
      <c r="H19" s="2963" t="s">
        <v>3201</v>
      </c>
      <c r="I19" s="2963">
        <v>611.63</v>
      </c>
      <c r="J19" s="2963">
        <v>611.63</v>
      </c>
      <c r="K19" s="2963">
        <v>1500</v>
      </c>
      <c r="L19" s="2963">
        <v>0</v>
      </c>
      <c r="M19" s="2963" t="s">
        <v>3202</v>
      </c>
    </row>
    <row r="20" spans="1:13" s="2963" customFormat="1">
      <c r="A20" s="2963" t="s">
        <v>3289</v>
      </c>
      <c r="B20" s="2963" t="s">
        <v>3052</v>
      </c>
      <c r="C20" s="2963" t="s">
        <v>3056</v>
      </c>
      <c r="D20" s="2963">
        <v>11807.8</v>
      </c>
      <c r="E20" s="2963">
        <v>17711.7</v>
      </c>
      <c r="F20" s="2963" t="s">
        <v>3183</v>
      </c>
      <c r="G20" s="2963" t="s">
        <v>3153</v>
      </c>
      <c r="H20" s="2963" t="s">
        <v>3203</v>
      </c>
      <c r="I20" s="2963">
        <v>2656.76</v>
      </c>
      <c r="J20" s="2963">
        <v>2656.76</v>
      </c>
      <c r="K20" s="2963">
        <v>1500</v>
      </c>
      <c r="L20" s="2963">
        <v>0</v>
      </c>
      <c r="M20" s="2963" t="s">
        <v>3204</v>
      </c>
    </row>
    <row r="21" spans="1:13">
      <c r="A21" s="2961" t="s">
        <v>3205</v>
      </c>
      <c r="B21" s="2961" t="s">
        <v>3052</v>
      </c>
      <c r="C21" s="2961" t="s">
        <v>3056</v>
      </c>
      <c r="D21" s="2961">
        <v>40514.6</v>
      </c>
      <c r="E21" s="2961">
        <v>81029.2</v>
      </c>
      <c r="F21" s="2961" t="s">
        <v>3198</v>
      </c>
      <c r="G21" s="2961" t="s">
        <v>3153</v>
      </c>
      <c r="H21" s="2961" t="s">
        <v>3203</v>
      </c>
      <c r="I21" s="2961">
        <v>7049.53</v>
      </c>
      <c r="J21" s="2961">
        <v>7049.53</v>
      </c>
      <c r="K21" s="2961">
        <v>870</v>
      </c>
      <c r="L21" s="2961">
        <v>0</v>
      </c>
      <c r="M21" s="2961" t="s">
        <v>3206</v>
      </c>
    </row>
    <row r="22" spans="1:13">
      <c r="A22" s="2961" t="s">
        <v>3207</v>
      </c>
      <c r="B22" s="2961" t="s">
        <v>3052</v>
      </c>
      <c r="C22" s="2961" t="s">
        <v>3056</v>
      </c>
      <c r="D22" s="2961">
        <v>31860</v>
      </c>
      <c r="E22" s="2961">
        <v>63720</v>
      </c>
      <c r="F22" s="2961" t="s">
        <v>3198</v>
      </c>
      <c r="G22" s="2961" t="s">
        <v>3153</v>
      </c>
      <c r="H22" s="2961" t="s">
        <v>3208</v>
      </c>
      <c r="I22" s="2961">
        <v>5543.64</v>
      </c>
      <c r="J22" s="2961">
        <v>5543.64</v>
      </c>
      <c r="K22" s="2961">
        <v>870</v>
      </c>
      <c r="L22" s="2961">
        <v>0</v>
      </c>
      <c r="M22" s="2961" t="s">
        <v>3209</v>
      </c>
    </row>
    <row r="23" spans="1:13">
      <c r="A23" s="2961" t="s">
        <v>3210</v>
      </c>
      <c r="B23" s="2961" t="s">
        <v>3052</v>
      </c>
      <c r="C23" s="2961" t="s">
        <v>3056</v>
      </c>
      <c r="D23" s="2961">
        <v>233050</v>
      </c>
      <c r="E23" s="2961">
        <v>279660</v>
      </c>
      <c r="F23" s="2961" t="s">
        <v>3211</v>
      </c>
      <c r="G23" s="2961" t="s">
        <v>3153</v>
      </c>
      <c r="H23" s="2961" t="s">
        <v>3212</v>
      </c>
      <c r="I23" s="2961">
        <v>21533.81</v>
      </c>
      <c r="J23" s="2961">
        <v>21533.81</v>
      </c>
      <c r="K23" s="2961">
        <v>770</v>
      </c>
      <c r="L23" s="2961">
        <v>0</v>
      </c>
      <c r="M23" s="2961" t="s">
        <v>3167</v>
      </c>
    </row>
    <row r="24" spans="1:13">
      <c r="A24" s="2961" t="s">
        <v>3213</v>
      </c>
      <c r="B24" s="2961" t="s">
        <v>3052</v>
      </c>
      <c r="C24" s="2961" t="s">
        <v>3056</v>
      </c>
      <c r="D24" s="2961">
        <v>26676.58</v>
      </c>
      <c r="E24" s="2961">
        <v>37347</v>
      </c>
      <c r="F24" s="2961" t="s">
        <v>3214</v>
      </c>
      <c r="G24" s="2961" t="s">
        <v>3153</v>
      </c>
      <c r="H24" s="2961" t="s">
        <v>3215</v>
      </c>
      <c r="I24" s="2961">
        <v>3035</v>
      </c>
      <c r="J24" s="2961">
        <v>3035</v>
      </c>
      <c r="K24" s="2961">
        <v>812.64</v>
      </c>
      <c r="L24" s="2961">
        <v>0</v>
      </c>
      <c r="M24" s="2961" t="s">
        <v>3216</v>
      </c>
    </row>
    <row r="25" spans="1:13">
      <c r="A25" s="2961" t="s">
        <v>3217</v>
      </c>
      <c r="B25" s="2961" t="s">
        <v>3052</v>
      </c>
      <c r="C25" s="2961" t="s">
        <v>3056</v>
      </c>
      <c r="D25" s="2961">
        <v>50030.87</v>
      </c>
      <c r="E25" s="2961">
        <v>75046</v>
      </c>
      <c r="F25" s="2961" t="s">
        <v>3187</v>
      </c>
      <c r="G25" s="2961" t="s">
        <v>3153</v>
      </c>
      <c r="H25" s="2961" t="s">
        <v>3218</v>
      </c>
      <c r="I25" s="2961">
        <v>5951</v>
      </c>
      <c r="J25" s="2961">
        <v>5951</v>
      </c>
      <c r="K25" s="2961">
        <v>792.98</v>
      </c>
      <c r="L25" s="2961">
        <v>0</v>
      </c>
      <c r="M25" s="2961" t="s">
        <v>3219</v>
      </c>
    </row>
    <row r="26" spans="1:13">
      <c r="A26" s="2961" t="s">
        <v>3220</v>
      </c>
      <c r="B26" s="2961" t="s">
        <v>3052</v>
      </c>
      <c r="C26" s="2961" t="s">
        <v>3056</v>
      </c>
      <c r="D26" s="2961">
        <v>49648.1</v>
      </c>
      <c r="E26" s="2961">
        <v>99296.2</v>
      </c>
      <c r="F26" s="2961" t="s">
        <v>3198</v>
      </c>
      <c r="G26" s="2961" t="s">
        <v>3153</v>
      </c>
      <c r="H26" s="2961" t="s">
        <v>3221</v>
      </c>
      <c r="I26" s="2961">
        <v>8638.77</v>
      </c>
      <c r="J26" s="2961">
        <v>8638.77</v>
      </c>
      <c r="K26" s="2961">
        <v>870</v>
      </c>
      <c r="L26" s="2961">
        <v>0</v>
      </c>
      <c r="M26" s="2961" t="s">
        <v>3222</v>
      </c>
    </row>
    <row r="27" spans="1:13">
      <c r="A27" s="2961" t="s">
        <v>3223</v>
      </c>
      <c r="B27" s="2961" t="s">
        <v>3052</v>
      </c>
      <c r="C27" s="2961" t="s">
        <v>3056</v>
      </c>
      <c r="D27" s="2961">
        <v>11642.35</v>
      </c>
      <c r="E27" s="2961">
        <v>23285</v>
      </c>
      <c r="F27" s="2961" t="s">
        <v>3198</v>
      </c>
      <c r="G27" s="2961" t="s">
        <v>3153</v>
      </c>
      <c r="H27" s="2961" t="s">
        <v>3224</v>
      </c>
      <c r="I27" s="2961">
        <v>1635</v>
      </c>
      <c r="J27" s="2961">
        <v>1635</v>
      </c>
      <c r="K27" s="2961">
        <v>702.16</v>
      </c>
      <c r="L27" s="2961">
        <v>0</v>
      </c>
      <c r="M27" s="2961" t="s">
        <v>3225</v>
      </c>
    </row>
    <row r="28" spans="1:13">
      <c r="A28" s="2961" t="s">
        <v>3226</v>
      </c>
      <c r="B28" s="2961" t="s">
        <v>3052</v>
      </c>
      <c r="C28" s="2961" t="s">
        <v>3056</v>
      </c>
      <c r="D28" s="2961">
        <v>5352.49</v>
      </c>
      <c r="E28" s="2961">
        <v>7493</v>
      </c>
      <c r="F28" s="2961" t="s">
        <v>3214</v>
      </c>
      <c r="G28" s="2961" t="s">
        <v>3153</v>
      </c>
      <c r="H28" s="2961" t="s">
        <v>3224</v>
      </c>
      <c r="I28" s="2961">
        <v>613</v>
      </c>
      <c r="J28" s="2961">
        <v>613</v>
      </c>
      <c r="K28" s="2961">
        <v>818.1</v>
      </c>
      <c r="L28" s="2961">
        <v>0</v>
      </c>
      <c r="M28" s="2961" t="s">
        <v>3227</v>
      </c>
    </row>
    <row r="29" spans="1:13">
      <c r="A29" s="2961" t="s">
        <v>3228</v>
      </c>
      <c r="B29" s="2961" t="s">
        <v>3052</v>
      </c>
      <c r="C29" s="2961" t="s">
        <v>3056</v>
      </c>
      <c r="D29" s="2961">
        <v>11276.71</v>
      </c>
      <c r="E29" s="2961">
        <v>16915</v>
      </c>
      <c r="F29" s="2961" t="s">
        <v>3187</v>
      </c>
      <c r="G29" s="2961" t="s">
        <v>3153</v>
      </c>
      <c r="H29" s="2961" t="s">
        <v>3224</v>
      </c>
      <c r="I29" s="2961">
        <v>1346</v>
      </c>
      <c r="J29" s="2961">
        <v>1346</v>
      </c>
      <c r="K29" s="2961">
        <v>795.74</v>
      </c>
      <c r="L29" s="2961">
        <v>0</v>
      </c>
      <c r="M29" s="2961" t="s">
        <v>3229</v>
      </c>
    </row>
    <row r="30" spans="1:13">
      <c r="A30" s="2961" t="s">
        <v>3230</v>
      </c>
      <c r="B30" s="2961" t="s">
        <v>3052</v>
      </c>
      <c r="C30" s="2961" t="s">
        <v>3056</v>
      </c>
      <c r="D30" s="2961">
        <v>11295.39</v>
      </c>
      <c r="E30" s="2961">
        <v>16943</v>
      </c>
      <c r="F30" s="2961" t="s">
        <v>3187</v>
      </c>
      <c r="G30" s="2961" t="s">
        <v>3153</v>
      </c>
      <c r="H30" s="2961" t="s">
        <v>3231</v>
      </c>
      <c r="I30" s="2961">
        <v>1347</v>
      </c>
      <c r="J30" s="2961">
        <v>1347</v>
      </c>
      <c r="K30" s="2961">
        <v>795.01</v>
      </c>
      <c r="L30" s="2961">
        <v>0</v>
      </c>
      <c r="M30" s="2961" t="s">
        <v>3232</v>
      </c>
    </row>
    <row r="31" spans="1:13">
      <c r="A31" s="2961" t="s">
        <v>3233</v>
      </c>
      <c r="B31" s="2961" t="s">
        <v>3052</v>
      </c>
      <c r="C31" s="2961" t="s">
        <v>3056</v>
      </c>
      <c r="D31" s="2961">
        <v>66765.320000000007</v>
      </c>
      <c r="E31" s="2961">
        <v>100148</v>
      </c>
      <c r="F31" s="2961" t="s">
        <v>3187</v>
      </c>
      <c r="G31" s="2961" t="s">
        <v>3153</v>
      </c>
      <c r="H31" s="2961" t="s">
        <v>3231</v>
      </c>
      <c r="I31" s="2961">
        <v>11186</v>
      </c>
      <c r="J31" s="2961">
        <v>11186</v>
      </c>
      <c r="K31" s="2961">
        <v>1116.95</v>
      </c>
      <c r="L31" s="2961">
        <v>0</v>
      </c>
      <c r="M31" s="2961" t="s">
        <v>3234</v>
      </c>
    </row>
    <row r="32" spans="1:13">
      <c r="A32" s="2961" t="s">
        <v>3235</v>
      </c>
      <c r="B32" s="2961" t="s">
        <v>3052</v>
      </c>
      <c r="C32" s="2961" t="s">
        <v>3056</v>
      </c>
      <c r="D32" s="2961">
        <v>109617.1</v>
      </c>
      <c r="E32" s="2961">
        <v>164426</v>
      </c>
      <c r="F32" s="2961" t="s">
        <v>3187</v>
      </c>
      <c r="G32" s="2961" t="s">
        <v>3153</v>
      </c>
      <c r="H32" s="2961" t="s">
        <v>3236</v>
      </c>
      <c r="I32" s="2961">
        <v>13011</v>
      </c>
      <c r="J32" s="2961">
        <v>13011</v>
      </c>
      <c r="K32" s="2961">
        <v>791.29</v>
      </c>
      <c r="L32" s="2961">
        <v>0</v>
      </c>
      <c r="M32" s="2961" t="s">
        <v>3237</v>
      </c>
    </row>
    <row r="33" spans="1:13">
      <c r="A33" s="2961" t="s">
        <v>3238</v>
      </c>
      <c r="B33" s="2961" t="s">
        <v>3052</v>
      </c>
      <c r="C33" s="2961" t="s">
        <v>3056</v>
      </c>
      <c r="D33" s="2961">
        <v>82247.570000000007</v>
      </c>
      <c r="E33" s="2961">
        <v>123371</v>
      </c>
      <c r="F33" s="2961" t="s">
        <v>3187</v>
      </c>
      <c r="G33" s="2961" t="s">
        <v>3153</v>
      </c>
      <c r="H33" s="2961" t="s">
        <v>3236</v>
      </c>
      <c r="I33" s="2961">
        <v>9770</v>
      </c>
      <c r="J33" s="2961">
        <v>9770</v>
      </c>
      <c r="K33" s="2961">
        <v>791.91</v>
      </c>
      <c r="L33" s="2961">
        <v>0</v>
      </c>
      <c r="M33" s="2961" t="s">
        <v>3239</v>
      </c>
    </row>
    <row r="34" spans="1:13">
      <c r="A34" s="2961" t="s">
        <v>3240</v>
      </c>
      <c r="B34" s="2961" t="s">
        <v>3052</v>
      </c>
      <c r="C34" s="2961" t="s">
        <v>3056</v>
      </c>
      <c r="D34" s="2961">
        <v>15638.6</v>
      </c>
      <c r="E34" s="2961">
        <v>21894</v>
      </c>
      <c r="F34" s="2961" t="s">
        <v>3214</v>
      </c>
      <c r="G34" s="2961" t="s">
        <v>3153</v>
      </c>
      <c r="H34" s="2961" t="s">
        <v>3236</v>
      </c>
      <c r="I34" s="2961">
        <v>1780</v>
      </c>
      <c r="J34" s="2961">
        <v>1780</v>
      </c>
      <c r="K34" s="2961">
        <v>813</v>
      </c>
      <c r="L34" s="2961">
        <v>0</v>
      </c>
      <c r="M34" s="2961" t="s">
        <v>3241</v>
      </c>
    </row>
    <row r="35" spans="1:13">
      <c r="A35" s="2961" t="s">
        <v>3242</v>
      </c>
      <c r="B35" s="2961" t="s">
        <v>3052</v>
      </c>
      <c r="C35" s="2961" t="s">
        <v>3056</v>
      </c>
      <c r="D35" s="2961">
        <v>42702.82</v>
      </c>
      <c r="E35" s="2961">
        <v>85406</v>
      </c>
      <c r="F35" s="2961" t="s">
        <v>3198</v>
      </c>
      <c r="G35" s="2961" t="s">
        <v>3153</v>
      </c>
      <c r="H35" s="2961" t="s">
        <v>3236</v>
      </c>
      <c r="I35" s="2961">
        <v>5984</v>
      </c>
      <c r="J35" s="2961">
        <v>5984</v>
      </c>
      <c r="K35" s="2961">
        <v>700.64</v>
      </c>
      <c r="L35" s="2961">
        <v>0</v>
      </c>
      <c r="M35" s="2961" t="s">
        <v>3243</v>
      </c>
    </row>
    <row r="36" spans="1:13">
      <c r="A36" s="2961" t="s">
        <v>3244</v>
      </c>
      <c r="B36" s="2961" t="s">
        <v>3052</v>
      </c>
      <c r="C36" s="2961" t="s">
        <v>3056</v>
      </c>
      <c r="D36" s="2961">
        <v>24937.14</v>
      </c>
      <c r="E36" s="2961">
        <v>49874</v>
      </c>
      <c r="F36" s="2961" t="s">
        <v>3198</v>
      </c>
      <c r="G36" s="2961" t="s">
        <v>3153</v>
      </c>
      <c r="H36" s="2961" t="s">
        <v>3236</v>
      </c>
      <c r="I36" s="2961">
        <v>3495</v>
      </c>
      <c r="J36" s="2961">
        <v>3495</v>
      </c>
      <c r="K36" s="2961">
        <v>700.76</v>
      </c>
      <c r="L36" s="2961">
        <v>0</v>
      </c>
      <c r="M36" s="2961" t="s">
        <v>3245</v>
      </c>
    </row>
    <row r="37" spans="1:13">
      <c r="A37" s="2961" t="s">
        <v>3246</v>
      </c>
      <c r="B37" s="2961" t="s">
        <v>3052</v>
      </c>
      <c r="C37" s="2961" t="s">
        <v>3056</v>
      </c>
      <c r="D37" s="2961">
        <v>47274.78</v>
      </c>
      <c r="E37" s="2961">
        <v>70912</v>
      </c>
      <c r="F37" s="2961" t="s">
        <v>3187</v>
      </c>
      <c r="G37" s="2961" t="s">
        <v>3153</v>
      </c>
      <c r="H37" s="2961" t="s">
        <v>3236</v>
      </c>
      <c r="I37" s="2961">
        <v>5615</v>
      </c>
      <c r="J37" s="2961">
        <v>5615</v>
      </c>
      <c r="K37" s="2961">
        <v>791.83</v>
      </c>
      <c r="L37" s="2961">
        <v>0</v>
      </c>
      <c r="M37" s="2961" t="s">
        <v>3247</v>
      </c>
    </row>
    <row r="38" spans="1:13">
      <c r="A38" s="2961" t="s">
        <v>3248</v>
      </c>
      <c r="B38" s="2961" t="s">
        <v>3052</v>
      </c>
      <c r="C38" s="2961" t="s">
        <v>3056</v>
      </c>
      <c r="D38" s="2961">
        <v>106517.9</v>
      </c>
      <c r="E38" s="2961">
        <v>213035.8</v>
      </c>
      <c r="F38" s="2961" t="s">
        <v>3198</v>
      </c>
      <c r="G38" s="2961" t="s">
        <v>3153</v>
      </c>
      <c r="H38" s="2961" t="s">
        <v>3249</v>
      </c>
      <c r="I38" s="2961">
        <v>18534.11</v>
      </c>
      <c r="J38" s="2961">
        <v>18534.11</v>
      </c>
      <c r="K38" s="2961">
        <v>870</v>
      </c>
      <c r="L38" s="2961">
        <v>0</v>
      </c>
      <c r="M38" s="2961" t="s">
        <v>3250</v>
      </c>
    </row>
    <row r="39" spans="1:13">
      <c r="A39" s="2961" t="s">
        <v>3251</v>
      </c>
      <c r="B39" s="2961" t="s">
        <v>3052</v>
      </c>
      <c r="C39" s="2961" t="s">
        <v>3056</v>
      </c>
      <c r="D39" s="2961">
        <v>13289.21</v>
      </c>
      <c r="E39" s="2961">
        <v>10631</v>
      </c>
      <c r="F39" s="2961">
        <v>0.8</v>
      </c>
      <c r="G39" s="2961" t="s">
        <v>3153</v>
      </c>
      <c r="H39" s="2961" t="s">
        <v>3252</v>
      </c>
      <c r="I39" s="2961">
        <v>1597.44</v>
      </c>
      <c r="J39" s="2961">
        <v>1597.44</v>
      </c>
      <c r="K39" s="2961">
        <v>1502.61</v>
      </c>
      <c r="L39" s="2961">
        <v>0</v>
      </c>
      <c r="M39" s="2961" t="s">
        <v>3253</v>
      </c>
    </row>
    <row r="40" spans="1:13">
      <c r="A40" s="2961" t="s">
        <v>3254</v>
      </c>
      <c r="B40" s="2961" t="s">
        <v>3052</v>
      </c>
      <c r="C40" s="2961" t="s">
        <v>3056</v>
      </c>
      <c r="D40" s="2961">
        <v>56802.68</v>
      </c>
      <c r="E40" s="2961">
        <v>45442</v>
      </c>
      <c r="F40" s="2961">
        <v>0.8</v>
      </c>
      <c r="G40" s="2961" t="s">
        <v>3153</v>
      </c>
      <c r="H40" s="2961" t="s">
        <v>3252</v>
      </c>
      <c r="I40" s="2961">
        <v>7121.07</v>
      </c>
      <c r="J40" s="2961">
        <v>7121.07</v>
      </c>
      <c r="K40" s="2961">
        <v>1567.06</v>
      </c>
      <c r="L40" s="2961">
        <v>0</v>
      </c>
      <c r="M40" s="2961" t="s">
        <v>3255</v>
      </c>
    </row>
    <row r="41" spans="1:13">
      <c r="A41" s="2961" t="s">
        <v>3256</v>
      </c>
      <c r="B41" s="2961" t="s">
        <v>3052</v>
      </c>
      <c r="C41" s="2961" t="s">
        <v>3056</v>
      </c>
      <c r="D41" s="2961">
        <v>71328.36</v>
      </c>
      <c r="E41" s="2961">
        <v>57063</v>
      </c>
      <c r="F41" s="2961">
        <v>0.8</v>
      </c>
      <c r="G41" s="2961" t="s">
        <v>3153</v>
      </c>
      <c r="H41" s="2961" t="s">
        <v>3257</v>
      </c>
      <c r="I41" s="2961">
        <v>8967.77</v>
      </c>
      <c r="J41" s="2961">
        <v>8967.77</v>
      </c>
      <c r="K41" s="2961">
        <v>1571.55</v>
      </c>
      <c r="L41" s="2961">
        <v>0</v>
      </c>
      <c r="M41" s="2961" t="s">
        <v>3258</v>
      </c>
    </row>
    <row r="42" spans="1:13">
      <c r="A42" s="2961" t="s">
        <v>3259</v>
      </c>
      <c r="B42" s="2961" t="s">
        <v>3052</v>
      </c>
      <c r="C42" s="2961" t="s">
        <v>3056</v>
      </c>
      <c r="D42" s="2961">
        <v>41930.26</v>
      </c>
      <c r="E42" s="2961">
        <v>33544</v>
      </c>
      <c r="F42" s="2961">
        <v>0.8</v>
      </c>
      <c r="G42" s="2961" t="s">
        <v>3153</v>
      </c>
      <c r="H42" s="2961" t="s">
        <v>3260</v>
      </c>
      <c r="I42" s="2961">
        <v>5256.6</v>
      </c>
      <c r="J42" s="2961">
        <v>5256.6</v>
      </c>
      <c r="K42" s="2961">
        <v>1567.07</v>
      </c>
      <c r="L42" s="2961">
        <v>0</v>
      </c>
      <c r="M42" s="2961" t="s">
        <v>3261</v>
      </c>
    </row>
    <row r="43" spans="1:13">
      <c r="A43" s="2961" t="s">
        <v>3262</v>
      </c>
      <c r="B43" s="2961" t="s">
        <v>3052</v>
      </c>
      <c r="C43" s="2961" t="s">
        <v>3056</v>
      </c>
      <c r="D43" s="2961">
        <v>19503.599999999999</v>
      </c>
      <c r="E43" s="2961">
        <v>29255.4</v>
      </c>
      <c r="F43" s="2961" t="s">
        <v>3183</v>
      </c>
      <c r="G43" s="2961" t="s">
        <v>3153</v>
      </c>
      <c r="H43" s="2961" t="s">
        <v>3263</v>
      </c>
      <c r="I43" s="2961">
        <v>2145.4</v>
      </c>
      <c r="J43" s="2961">
        <v>2145.4</v>
      </c>
      <c r="K43" s="2961">
        <v>733.33</v>
      </c>
      <c r="L43" s="2961">
        <v>0</v>
      </c>
      <c r="M43" s="2961" t="s">
        <v>3264</v>
      </c>
    </row>
    <row r="44" spans="1:13">
      <c r="A44" s="2961" t="s">
        <v>3265</v>
      </c>
      <c r="B44" s="2961" t="s">
        <v>3052</v>
      </c>
      <c r="C44" s="2961" t="s">
        <v>3056</v>
      </c>
      <c r="D44" s="2961">
        <v>20637.13</v>
      </c>
      <c r="E44" s="2961">
        <v>41274</v>
      </c>
      <c r="F44" s="2961" t="s">
        <v>3198</v>
      </c>
      <c r="G44" s="2961" t="s">
        <v>3153</v>
      </c>
      <c r="H44" s="2961" t="s">
        <v>3266</v>
      </c>
      <c r="I44" s="2961">
        <v>2360</v>
      </c>
      <c r="J44" s="2961">
        <v>2360</v>
      </c>
      <c r="K44" s="2961">
        <v>571.78</v>
      </c>
      <c r="L44" s="2961">
        <v>0</v>
      </c>
      <c r="M44" s="2961" t="s">
        <v>3267</v>
      </c>
    </row>
    <row r="45" spans="1:13">
      <c r="A45" s="2961" t="s">
        <v>3268</v>
      </c>
      <c r="B45" s="2961" t="s">
        <v>3052</v>
      </c>
      <c r="C45" s="2961" t="s">
        <v>3056</v>
      </c>
      <c r="D45" s="2961">
        <v>43210.55</v>
      </c>
      <c r="E45" s="2961">
        <v>86421</v>
      </c>
      <c r="F45" s="2961" t="s">
        <v>3198</v>
      </c>
      <c r="G45" s="2961" t="s">
        <v>3153</v>
      </c>
      <c r="H45" s="2961" t="s">
        <v>3269</v>
      </c>
      <c r="I45" s="2961">
        <v>4128</v>
      </c>
      <c r="J45" s="2961">
        <v>4128</v>
      </c>
      <c r="K45" s="2961">
        <v>477.66</v>
      </c>
      <c r="L45" s="2961">
        <v>0</v>
      </c>
      <c r="M45" s="2961" t="s">
        <v>3270</v>
      </c>
    </row>
    <row r="46" spans="1:13">
      <c r="A46" s="2961" t="s">
        <v>3271</v>
      </c>
      <c r="B46" s="2961" t="s">
        <v>3052</v>
      </c>
      <c r="C46" s="2961" t="s">
        <v>3056</v>
      </c>
      <c r="D46" s="2961">
        <v>9391.2999999999993</v>
      </c>
      <c r="E46" s="2961">
        <v>14087</v>
      </c>
      <c r="F46" s="2961" t="s">
        <v>3187</v>
      </c>
      <c r="G46" s="2961" t="s">
        <v>3153</v>
      </c>
      <c r="H46" s="2961" t="s">
        <v>3269</v>
      </c>
      <c r="I46" s="2961">
        <v>1025</v>
      </c>
      <c r="J46" s="2961">
        <v>1025</v>
      </c>
      <c r="K46" s="2961">
        <v>727.62</v>
      </c>
      <c r="L46" s="2961">
        <v>0</v>
      </c>
      <c r="M46" s="2961" t="s">
        <v>3272</v>
      </c>
    </row>
    <row r="47" spans="1:13">
      <c r="A47" s="2961" t="s">
        <v>3273</v>
      </c>
      <c r="B47" s="2961" t="s">
        <v>3052</v>
      </c>
      <c r="C47" s="2961" t="s">
        <v>3056</v>
      </c>
      <c r="D47" s="2961">
        <v>21332.080000000002</v>
      </c>
      <c r="E47" s="2961">
        <v>42664</v>
      </c>
      <c r="F47" s="2961" t="s">
        <v>3274</v>
      </c>
      <c r="G47" s="2961" t="s">
        <v>3153</v>
      </c>
      <c r="H47" s="2961" t="s">
        <v>3269</v>
      </c>
      <c r="I47" s="2961">
        <v>1509</v>
      </c>
      <c r="J47" s="2961">
        <v>1509</v>
      </c>
      <c r="K47" s="2961">
        <v>353.68</v>
      </c>
      <c r="L47" s="2961">
        <v>0</v>
      </c>
      <c r="M47" s="2961" t="s">
        <v>3275</v>
      </c>
    </row>
    <row r="48" spans="1:13">
      <c r="A48" s="2961" t="s">
        <v>3276</v>
      </c>
      <c r="B48" s="2961" t="s">
        <v>3052</v>
      </c>
      <c r="C48" s="2961" t="s">
        <v>3056</v>
      </c>
      <c r="D48" s="2961">
        <v>8666</v>
      </c>
      <c r="E48" s="2961">
        <v>17332</v>
      </c>
      <c r="F48" s="2961" t="s">
        <v>3198</v>
      </c>
      <c r="G48" s="2961" t="s">
        <v>3153</v>
      </c>
      <c r="H48" s="2961" t="s">
        <v>3269</v>
      </c>
      <c r="I48" s="2961">
        <v>1094</v>
      </c>
      <c r="J48" s="2961">
        <v>1094</v>
      </c>
      <c r="K48" s="2961">
        <v>631.20000000000005</v>
      </c>
      <c r="L48" s="2961">
        <v>0</v>
      </c>
      <c r="M48" s="2961" t="s">
        <v>3277</v>
      </c>
    </row>
    <row r="49" spans="1:13">
      <c r="A49" s="2961" t="s">
        <v>3278</v>
      </c>
      <c r="B49" s="2961" t="s">
        <v>3052</v>
      </c>
      <c r="C49" s="2961" t="s">
        <v>3056</v>
      </c>
      <c r="D49" s="2961">
        <v>5513.1</v>
      </c>
      <c r="E49" s="2961">
        <v>8269.65</v>
      </c>
      <c r="F49" s="2961" t="s">
        <v>3183</v>
      </c>
      <c r="G49" s="2961" t="s">
        <v>3153</v>
      </c>
      <c r="H49" s="2961" t="s">
        <v>3279</v>
      </c>
      <c r="I49" s="2961">
        <v>826.97</v>
      </c>
      <c r="J49" s="2961">
        <v>826.97</v>
      </c>
      <c r="K49" s="2961">
        <v>1000</v>
      </c>
      <c r="L49" s="2961">
        <v>0</v>
      </c>
      <c r="M49" s="2961" t="s">
        <v>3280</v>
      </c>
    </row>
    <row r="50" spans="1:13">
      <c r="A50" s="2961" t="s">
        <v>3281</v>
      </c>
      <c r="B50" s="2961" t="s">
        <v>3052</v>
      </c>
      <c r="C50" s="2961" t="s">
        <v>3056</v>
      </c>
      <c r="D50" s="2961">
        <v>8849.2000000000007</v>
      </c>
      <c r="E50" s="2961">
        <v>17698.400000000001</v>
      </c>
      <c r="F50" s="2961" t="s">
        <v>3282</v>
      </c>
      <c r="G50" s="2961" t="s">
        <v>3153</v>
      </c>
      <c r="H50" s="2961" t="s">
        <v>3279</v>
      </c>
      <c r="I50" s="2961">
        <v>1327.38</v>
      </c>
      <c r="J50" s="2961">
        <v>1327.38</v>
      </c>
      <c r="K50" s="2961">
        <v>750</v>
      </c>
      <c r="L50" s="2961">
        <v>0</v>
      </c>
      <c r="M50" s="2961" t="s">
        <v>3283</v>
      </c>
    </row>
    <row r="51" spans="1:13">
      <c r="A51" s="2961" t="s">
        <v>3284</v>
      </c>
      <c r="B51" s="2961" t="s">
        <v>3052</v>
      </c>
      <c r="C51" s="2961" t="s">
        <v>3056</v>
      </c>
      <c r="D51" s="2961">
        <v>9956.2999999999993</v>
      </c>
      <c r="E51" s="2961">
        <v>14934.45</v>
      </c>
      <c r="F51" s="2961" t="s">
        <v>3187</v>
      </c>
      <c r="G51" s="2961" t="s">
        <v>3153</v>
      </c>
      <c r="H51" s="2961" t="s">
        <v>3279</v>
      </c>
      <c r="I51" s="2961">
        <v>1493.45</v>
      </c>
      <c r="J51" s="2961">
        <v>1493.45</v>
      </c>
      <c r="K51" s="2961">
        <v>1000</v>
      </c>
      <c r="L51" s="2961">
        <v>0</v>
      </c>
      <c r="M51" s="2961" t="s">
        <v>3285</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32573.120000000003</v>
      </c>
      <c r="C4" s="1044">
        <f>项目基本情况!C18</f>
        <v>11931.94</v>
      </c>
      <c r="D4" s="1044" t="e">
        <f ca="1">结果表!D118</f>
        <v>#REF!</v>
      </c>
      <c r="E4" s="1044" t="e">
        <f ca="1">结果表!E118</f>
        <v>#REF!</v>
      </c>
      <c r="F4" s="1044" t="e">
        <f ca="1">结果表!F118</f>
        <v>#REF!</v>
      </c>
      <c r="G4" s="1044" t="e">
        <f ca="1">结果表!G118</f>
        <v>#REF!</v>
      </c>
      <c r="H4" s="1044">
        <f ca="1">结果表!H118</f>
        <v>19570</v>
      </c>
      <c r="I4" s="1044">
        <f ca="1">结果表!I118</f>
        <v>6008</v>
      </c>
    </row>
    <row r="5" spans="1:9" ht="30" customHeight="1">
      <c r="A5" s="3005" t="s">
        <v>1640</v>
      </c>
      <c r="B5" s="3005"/>
      <c r="C5" s="3005"/>
      <c r="D5" s="3006" t="e">
        <f ca="1">结果表!D119</f>
        <v>#REF!</v>
      </c>
      <c r="E5" s="3006"/>
      <c r="F5" s="3006" t="e">
        <f ca="1">结果表!F119</f>
        <v>#REF!</v>
      </c>
      <c r="G5" s="3006"/>
      <c r="H5" s="3006" t="str">
        <f ca="1">结果表!H119</f>
        <v>壹亿玖仟伍佰柒拾万元整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19570</v>
      </c>
      <c r="E8" s="3004"/>
      <c r="F8" s="3004"/>
      <c r="G8" s="3004"/>
      <c r="H8" s="3004"/>
      <c r="I8" s="3004"/>
    </row>
    <row r="9" spans="1:9" ht="15">
      <c r="A9" s="3005" t="s">
        <v>1640</v>
      </c>
      <c r="B9" s="3005"/>
      <c r="C9" s="3005"/>
      <c r="D9" s="3006" t="str">
        <f ca="1">结果表!D123</f>
        <v>壹亿玖仟伍佰柒拾万元整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8" t="s">
        <v>1662</v>
      </c>
      <c r="B1" s="3018"/>
      <c r="C1" s="3018"/>
      <c r="D1" s="3018"/>
    </row>
    <row r="2" spans="1:4" ht="18">
      <c r="A2" s="3019" t="s">
        <v>1646</v>
      </c>
      <c r="B2" s="3019"/>
      <c r="C2" s="3019"/>
      <c r="D2" s="3019"/>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9" t="s">
        <v>1652</v>
      </c>
      <c r="B6" s="3019"/>
      <c r="C6" s="3019"/>
      <c r="D6" s="3019"/>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3048</v>
      </c>
      <c r="B12" s="1022">
        <v>1120110054</v>
      </c>
      <c r="C12" s="2941">
        <v>43937</v>
      </c>
      <c r="D12" s="1702" t="s">
        <v>3048</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2018-06-27T02:52:25Z</dcterms:modified>
</cp:coreProperties>
</file>